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Data\krv\Рабочий стол\Проект 2020-2022\2 вариант\"/>
    </mc:Choice>
  </mc:AlternateContent>
  <bookViews>
    <workbookView xWindow="0" yWindow="0" windowWidth="28770" windowHeight="11670"/>
  </bookViews>
  <sheets>
    <sheet name="Таблица3" sheetId="1" r:id="rId1"/>
  </sheets>
  <definedNames>
    <definedName name="_xlnm._FilterDatabase" localSheetId="0" hidden="1">Таблица3!$A$11:$P$354</definedName>
    <definedName name="_xlnm.Print_Area" localSheetId="0">Таблица3!$A$1:$P$370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7" i="1" l="1"/>
  <c r="N195" i="1" l="1"/>
  <c r="I120" i="1"/>
  <c r="J120" i="1"/>
  <c r="K120" i="1"/>
  <c r="L120" i="1"/>
  <c r="N87" i="1"/>
  <c r="M87" i="1"/>
  <c r="H87" i="1"/>
  <c r="N71" i="1"/>
  <c r="M71" i="1"/>
  <c r="M31" i="1"/>
  <c r="M317" i="1" l="1"/>
  <c r="M318" i="1"/>
  <c r="M319" i="1"/>
  <c r="M320" i="1"/>
  <c r="N316" i="1"/>
  <c r="M316" i="1"/>
  <c r="I317" i="1"/>
  <c r="J317" i="1"/>
  <c r="K317" i="1"/>
  <c r="L317" i="1"/>
  <c r="I318" i="1"/>
  <c r="J318" i="1"/>
  <c r="K318" i="1"/>
  <c r="L318" i="1"/>
  <c r="I319" i="1"/>
  <c r="J319" i="1"/>
  <c r="K319" i="1"/>
  <c r="L319" i="1"/>
  <c r="I320" i="1"/>
  <c r="J320" i="1"/>
  <c r="K320" i="1"/>
  <c r="L320" i="1"/>
  <c r="J316" i="1"/>
  <c r="K316" i="1"/>
  <c r="L316" i="1"/>
  <c r="I316" i="1"/>
  <c r="J293" i="1"/>
  <c r="K293" i="1"/>
  <c r="L293" i="1"/>
  <c r="H299" i="1"/>
  <c r="J287" i="1"/>
  <c r="K287" i="1"/>
  <c r="L287" i="1"/>
  <c r="I287" i="1"/>
  <c r="K289" i="1"/>
  <c r="L289" i="1"/>
  <c r="H290" i="1"/>
  <c r="H291" i="1"/>
  <c r="H297" i="1"/>
  <c r="H296" i="1"/>
  <c r="H295" i="1"/>
  <c r="H294" i="1"/>
  <c r="N293" i="1"/>
  <c r="M293" i="1"/>
  <c r="I293" i="1"/>
  <c r="M308" i="1"/>
  <c r="I309" i="1"/>
  <c r="J309" i="1"/>
  <c r="K309" i="1"/>
  <c r="L309" i="1"/>
  <c r="H309" i="1" s="1"/>
  <c r="M309" i="1"/>
  <c r="H310" i="1"/>
  <c r="N310" i="1"/>
  <c r="N309" i="1" s="1"/>
  <c r="H311" i="1"/>
  <c r="N311" i="1"/>
  <c r="H312" i="1"/>
  <c r="N312" i="1"/>
  <c r="H313" i="1"/>
  <c r="H314" i="1"/>
  <c r="H293" i="1" l="1"/>
  <c r="H287" i="1"/>
  <c r="H253" i="1"/>
  <c r="H249" i="1"/>
  <c r="N248" i="1"/>
  <c r="M248" i="1"/>
  <c r="L248" i="1"/>
  <c r="H248" i="1"/>
  <c r="H247" i="1" s="1"/>
  <c r="N247" i="1"/>
  <c r="M247" i="1"/>
  <c r="H245" i="1"/>
  <c r="H244" i="1"/>
  <c r="H243" i="1"/>
  <c r="H242" i="1"/>
  <c r="N241" i="1"/>
  <c r="N240" i="1" s="1"/>
  <c r="M241" i="1"/>
  <c r="M240" i="1" s="1"/>
  <c r="L241" i="1"/>
  <c r="L240" i="1" s="1"/>
  <c r="K241" i="1"/>
  <c r="K240" i="1" s="1"/>
  <c r="J241" i="1"/>
  <c r="I241" i="1"/>
  <c r="I240" i="1" s="1"/>
  <c r="H241" i="1" l="1"/>
  <c r="H240" i="1" s="1"/>
  <c r="J240" i="1"/>
  <c r="M151" i="1" l="1"/>
  <c r="M174" i="1" l="1"/>
  <c r="M165" i="1"/>
  <c r="H150" i="1" l="1"/>
  <c r="H149" i="1"/>
  <c r="H148" i="1"/>
  <c r="H147" i="1"/>
  <c r="H146" i="1" s="1"/>
  <c r="N146" i="1"/>
  <c r="M146" i="1"/>
  <c r="L146" i="1"/>
  <c r="K146" i="1"/>
  <c r="J146" i="1"/>
  <c r="I146" i="1"/>
  <c r="H145" i="1"/>
  <c r="H144" i="1"/>
  <c r="K143" i="1"/>
  <c r="K141" i="1" s="1"/>
  <c r="H141" i="1" s="1"/>
  <c r="H143" i="1"/>
  <c r="N142" i="1"/>
  <c r="M142" i="1"/>
  <c r="L142" i="1"/>
  <c r="K142" i="1"/>
  <c r="J142" i="1"/>
  <c r="I142" i="1"/>
  <c r="N141" i="1"/>
  <c r="M141" i="1"/>
  <c r="L141" i="1"/>
  <c r="J141" i="1"/>
  <c r="I141" i="1"/>
  <c r="N139" i="1"/>
  <c r="M139" i="1"/>
  <c r="L139" i="1"/>
  <c r="K139" i="1"/>
  <c r="H139" i="1" s="1"/>
  <c r="H140" i="1" l="1"/>
  <c r="M140" i="1"/>
  <c r="H142" i="1"/>
  <c r="N140" i="1"/>
  <c r="M41" i="1"/>
  <c r="N41" i="1"/>
  <c r="J41" i="1"/>
  <c r="K41" i="1"/>
  <c r="L41" i="1"/>
  <c r="I41" i="1"/>
  <c r="H61" i="1" l="1"/>
  <c r="H54" i="1"/>
  <c r="H99" i="1" l="1"/>
  <c r="H355" i="1"/>
  <c r="H349" i="1"/>
  <c r="H343" i="1"/>
  <c r="H337" i="1"/>
  <c r="H306" i="1"/>
  <c r="H320" i="1"/>
  <c r="H298" i="1" l="1"/>
  <c r="H280" i="1" l="1"/>
  <c r="H274" i="1"/>
  <c r="H259" i="1"/>
  <c r="H237" i="1"/>
  <c r="H229" i="1"/>
  <c r="H221" i="1"/>
  <c r="H210" i="1"/>
  <c r="H201" i="1"/>
  <c r="H193" i="1"/>
  <c r="H185" i="1"/>
  <c r="H178" i="1"/>
  <c r="H169" i="1"/>
  <c r="H160" i="1"/>
  <c r="H138" i="1"/>
  <c r="H130" i="1"/>
  <c r="H118" i="1"/>
  <c r="H93" i="1" l="1"/>
  <c r="H85" i="1"/>
  <c r="H77" i="1"/>
  <c r="H69" i="1"/>
  <c r="H53" i="1"/>
  <c r="H37" i="1"/>
  <c r="H29" i="1"/>
  <c r="H329" i="1"/>
  <c r="H268" i="1"/>
  <c r="H108" i="1"/>
  <c r="H45" i="1"/>
  <c r="H21" i="1"/>
  <c r="N211" i="1" l="1"/>
  <c r="M211" i="1"/>
  <c r="J211" i="1"/>
  <c r="H184" i="1"/>
  <c r="N151" i="1" l="1"/>
  <c r="L119" i="1"/>
  <c r="K119" i="1"/>
  <c r="L109" i="1"/>
  <c r="N30" i="1" l="1"/>
  <c r="M30" i="1"/>
  <c r="H30" i="1"/>
  <c r="L30" i="1"/>
  <c r="J213" i="1" l="1"/>
  <c r="K213" i="1"/>
  <c r="M213" i="1"/>
  <c r="N213" i="1"/>
  <c r="I213" i="1"/>
  <c r="N233" i="1" l="1"/>
  <c r="M233" i="1"/>
  <c r="L233" i="1"/>
  <c r="L214" i="1"/>
  <c r="L213" i="1" s="1"/>
  <c r="N205" i="1"/>
  <c r="M206" i="1"/>
  <c r="M205" i="1"/>
  <c r="L206" i="1"/>
  <c r="L205" i="1"/>
  <c r="K206" i="1"/>
  <c r="K205" i="1"/>
  <c r="N174" i="1"/>
  <c r="L174" i="1"/>
  <c r="N165" i="1"/>
  <c r="M164" i="1"/>
  <c r="L165" i="1"/>
  <c r="L164" i="1"/>
  <c r="N155" i="1"/>
  <c r="M156" i="1"/>
  <c r="M155" i="1"/>
  <c r="L156" i="1"/>
  <c r="L155" i="1"/>
  <c r="K123" i="1"/>
  <c r="J133" i="1"/>
  <c r="K133" i="1"/>
  <c r="L133" i="1"/>
  <c r="M133" i="1"/>
  <c r="N133" i="1"/>
  <c r="I133" i="1"/>
  <c r="H134" i="1"/>
  <c r="H133" i="1" l="1"/>
  <c r="L112" i="1" l="1"/>
  <c r="L32" i="1" l="1"/>
  <c r="M289" i="1" l="1"/>
  <c r="N289" i="1"/>
  <c r="N70" i="1" l="1"/>
  <c r="M70" i="1"/>
  <c r="K70" i="1"/>
  <c r="J372" i="1"/>
  <c r="K372" i="1"/>
  <c r="L372" i="1"/>
  <c r="M372" i="1"/>
  <c r="N372" i="1"/>
  <c r="I372" i="1"/>
  <c r="J17" i="1" l="1"/>
  <c r="J95" i="1" s="1"/>
  <c r="K17" i="1"/>
  <c r="K95" i="1" s="1"/>
  <c r="L17" i="1"/>
  <c r="L95" i="1" s="1"/>
  <c r="M17" i="1"/>
  <c r="M95" i="1" s="1"/>
  <c r="N17" i="1"/>
  <c r="N95" i="1" s="1"/>
  <c r="I17" i="1"/>
  <c r="I95" i="1" s="1"/>
  <c r="I375" i="1" l="1"/>
  <c r="J377" i="1"/>
  <c r="K377" i="1"/>
  <c r="I377" i="1"/>
  <c r="N319" i="1"/>
  <c r="J375" i="1"/>
  <c r="L380" i="1"/>
  <c r="J376" i="1"/>
  <c r="K380" i="1"/>
  <c r="M380" i="1"/>
  <c r="N380" i="1"/>
  <c r="I380" i="1"/>
  <c r="I315" i="1" l="1"/>
  <c r="M315" i="1"/>
  <c r="I376" i="1"/>
  <c r="J380" i="1"/>
  <c r="H380" i="1" s="1"/>
  <c r="J315" i="1"/>
  <c r="H41" i="1"/>
  <c r="H89" i="1"/>
  <c r="N88" i="1"/>
  <c r="M88" i="1"/>
  <c r="L88" i="1"/>
  <c r="K88" i="1"/>
  <c r="J88" i="1"/>
  <c r="I88" i="1"/>
  <c r="H86" i="1"/>
  <c r="H78" i="1"/>
  <c r="H81" i="1"/>
  <c r="L80" i="1"/>
  <c r="M80" i="1"/>
  <c r="M79" i="1" s="1"/>
  <c r="N80" i="1"/>
  <c r="N79" i="1" s="1"/>
  <c r="I80" i="1"/>
  <c r="J80" i="1"/>
  <c r="K80" i="1"/>
  <c r="H70" i="1"/>
  <c r="H73" i="1"/>
  <c r="L72" i="1"/>
  <c r="M72" i="1"/>
  <c r="N72" i="1"/>
  <c r="I72" i="1"/>
  <c r="J72" i="1"/>
  <c r="K72" i="1"/>
  <c r="H62" i="1"/>
  <c r="J64" i="1"/>
  <c r="K64" i="1"/>
  <c r="L64" i="1"/>
  <c r="M64" i="1"/>
  <c r="N64" i="1"/>
  <c r="I64" i="1"/>
  <c r="H65" i="1"/>
  <c r="H64" i="1" l="1"/>
  <c r="H72" i="1"/>
  <c r="H80" i="1"/>
  <c r="H79" i="1" s="1"/>
  <c r="H88" i="1"/>
  <c r="M119" i="1"/>
  <c r="L376" i="1"/>
  <c r="K373" i="1"/>
  <c r="K375" i="1"/>
  <c r="J374" i="1"/>
  <c r="K374" i="1"/>
  <c r="L374" i="1"/>
  <c r="M374" i="1"/>
  <c r="N374" i="1"/>
  <c r="I374" i="1"/>
  <c r="J373" i="1"/>
  <c r="L373" i="1"/>
  <c r="M373" i="1"/>
  <c r="N373" i="1"/>
  <c r="I373" i="1"/>
  <c r="H372" i="1"/>
  <c r="H374" i="1" l="1"/>
  <c r="J378" i="1"/>
  <c r="H373" i="1"/>
  <c r="I378" i="1"/>
  <c r="N204" i="1"/>
  <c r="M204" i="1"/>
  <c r="L377" i="1"/>
  <c r="H377" i="1" s="1"/>
  <c r="J204" i="1"/>
  <c r="K204" i="1"/>
  <c r="I204" i="1"/>
  <c r="H183" i="1"/>
  <c r="L163" i="1"/>
  <c r="J163" i="1"/>
  <c r="K163" i="1"/>
  <c r="I163" i="1"/>
  <c r="J153" i="1"/>
  <c r="K153" i="1"/>
  <c r="I153" i="1"/>
  <c r="H151" i="1"/>
  <c r="N119" i="1"/>
  <c r="H112" i="1"/>
  <c r="I111" i="1"/>
  <c r="J111" i="1"/>
  <c r="K111" i="1"/>
  <c r="L111" i="1"/>
  <c r="L153" i="1" l="1"/>
  <c r="L375" i="1"/>
  <c r="N153" i="1"/>
  <c r="N375" i="1"/>
  <c r="M153" i="1"/>
  <c r="M375" i="1"/>
  <c r="M163" i="1"/>
  <c r="M377" i="1"/>
  <c r="N163" i="1"/>
  <c r="N377" i="1"/>
  <c r="N212" i="1"/>
  <c r="L204" i="1"/>
  <c r="H181" i="1"/>
  <c r="H375" i="1" l="1"/>
  <c r="L378" i="1"/>
  <c r="J216" i="1"/>
  <c r="K216" i="1"/>
  <c r="L121" i="1" l="1"/>
  <c r="N342" i="1" l="1"/>
  <c r="M342" i="1" s="1"/>
  <c r="L342" i="1" s="1"/>
  <c r="K342" i="1" s="1"/>
  <c r="J342" i="1" s="1"/>
  <c r="I342" i="1" s="1"/>
  <c r="H342" i="1" s="1"/>
  <c r="N341" i="1"/>
  <c r="M341" i="1" s="1"/>
  <c r="L341" i="1" s="1"/>
  <c r="K341" i="1" s="1"/>
  <c r="J341" i="1" s="1"/>
  <c r="I341" i="1" s="1"/>
  <c r="H341" i="1" s="1"/>
  <c r="N340" i="1"/>
  <c r="M340" i="1" s="1"/>
  <c r="L340" i="1" s="1"/>
  <c r="K340" i="1" s="1"/>
  <c r="J340" i="1" s="1"/>
  <c r="I340" i="1" s="1"/>
  <c r="H340" i="1" s="1"/>
  <c r="N339" i="1"/>
  <c r="M339" i="1" s="1"/>
  <c r="L339" i="1" s="1"/>
  <c r="K339" i="1" s="1"/>
  <c r="J339" i="1" s="1"/>
  <c r="I339" i="1" s="1"/>
  <c r="H339" i="1" s="1"/>
  <c r="N338" i="1"/>
  <c r="M338" i="1" s="1"/>
  <c r="L338" i="1" s="1"/>
  <c r="K338" i="1" s="1"/>
  <c r="J338" i="1" s="1"/>
  <c r="I338" i="1" s="1"/>
  <c r="H338" i="1" s="1"/>
  <c r="N335" i="1"/>
  <c r="M335" i="1" s="1"/>
  <c r="L335" i="1" s="1"/>
  <c r="K335" i="1" s="1"/>
  <c r="J335" i="1" s="1"/>
  <c r="I335" i="1" s="1"/>
  <c r="H335" i="1" s="1"/>
  <c r="N336" i="1"/>
  <c r="M336" i="1" s="1"/>
  <c r="L336" i="1" s="1"/>
  <c r="K336" i="1" s="1"/>
  <c r="J336" i="1" s="1"/>
  <c r="I336" i="1" s="1"/>
  <c r="H336" i="1" s="1"/>
  <c r="N327" i="1"/>
  <c r="M327" i="1" s="1"/>
  <c r="L327" i="1" s="1"/>
  <c r="K327" i="1" s="1"/>
  <c r="J327" i="1" s="1"/>
  <c r="I327" i="1" s="1"/>
  <c r="H327" i="1" s="1"/>
  <c r="N328" i="1"/>
  <c r="M328" i="1" s="1"/>
  <c r="L328" i="1" s="1"/>
  <c r="K328" i="1" s="1"/>
  <c r="J328" i="1" s="1"/>
  <c r="I328" i="1" s="1"/>
  <c r="H328" i="1" s="1"/>
  <c r="N334" i="1"/>
  <c r="M334" i="1" s="1"/>
  <c r="L334" i="1" s="1"/>
  <c r="K334" i="1" s="1"/>
  <c r="J334" i="1" s="1"/>
  <c r="I334" i="1" s="1"/>
  <c r="H334" i="1" s="1"/>
  <c r="N333" i="1"/>
  <c r="M333" i="1" s="1"/>
  <c r="L333" i="1" s="1"/>
  <c r="K333" i="1" s="1"/>
  <c r="J333" i="1" s="1"/>
  <c r="I333" i="1" s="1"/>
  <c r="H333" i="1" s="1"/>
  <c r="N332" i="1"/>
  <c r="M332" i="1" s="1"/>
  <c r="L332" i="1" s="1"/>
  <c r="K332" i="1" s="1"/>
  <c r="J332" i="1" s="1"/>
  <c r="I332" i="1" s="1"/>
  <c r="H332" i="1" s="1"/>
  <c r="N326" i="1"/>
  <c r="M326" i="1" s="1"/>
  <c r="L326" i="1" s="1"/>
  <c r="K326" i="1" s="1"/>
  <c r="J326" i="1" s="1"/>
  <c r="I326" i="1" s="1"/>
  <c r="H326" i="1" s="1"/>
  <c r="N325" i="1"/>
  <c r="M325" i="1" s="1"/>
  <c r="L325" i="1" s="1"/>
  <c r="K325" i="1" s="1"/>
  <c r="J325" i="1" s="1"/>
  <c r="I325" i="1" s="1"/>
  <c r="H325" i="1" s="1"/>
  <c r="N324" i="1"/>
  <c r="M324" i="1" s="1"/>
  <c r="L324" i="1" s="1"/>
  <c r="K324" i="1" s="1"/>
  <c r="J324" i="1" s="1"/>
  <c r="I324" i="1" s="1"/>
  <c r="H324" i="1" s="1"/>
  <c r="H303" i="1"/>
  <c r="H301" i="1"/>
  <c r="N286" i="1"/>
  <c r="N272" i="1"/>
  <c r="M272" i="1" s="1"/>
  <c r="L272" i="1" s="1"/>
  <c r="K272" i="1" s="1"/>
  <c r="J272" i="1" s="1"/>
  <c r="I272" i="1" s="1"/>
  <c r="H272" i="1" s="1"/>
  <c r="N273" i="1"/>
  <c r="M273" i="1" s="1"/>
  <c r="L273" i="1" s="1"/>
  <c r="K273" i="1" s="1"/>
  <c r="J273" i="1" s="1"/>
  <c r="I273" i="1" s="1"/>
  <c r="H273" i="1" s="1"/>
  <c r="N271" i="1"/>
  <c r="M271" i="1" s="1"/>
  <c r="L271" i="1" s="1"/>
  <c r="K271" i="1" s="1"/>
  <c r="J271" i="1" s="1"/>
  <c r="I271" i="1" s="1"/>
  <c r="H271" i="1" s="1"/>
  <c r="N270" i="1"/>
  <c r="M270" i="1" s="1"/>
  <c r="L270" i="1" s="1"/>
  <c r="K270" i="1" s="1"/>
  <c r="J270" i="1" s="1"/>
  <c r="I270" i="1" s="1"/>
  <c r="H270" i="1" s="1"/>
  <c r="N269" i="1"/>
  <c r="M269" i="1" s="1"/>
  <c r="L269" i="1" s="1"/>
  <c r="K269" i="1" s="1"/>
  <c r="J269" i="1" s="1"/>
  <c r="I269" i="1" s="1"/>
  <c r="H269" i="1" s="1"/>
  <c r="N267" i="1"/>
  <c r="M267" i="1" s="1"/>
  <c r="L267" i="1" s="1"/>
  <c r="K267" i="1" s="1"/>
  <c r="J267" i="1" s="1"/>
  <c r="I267" i="1" s="1"/>
  <c r="H267" i="1" s="1"/>
  <c r="N266" i="1"/>
  <c r="M266" i="1" s="1"/>
  <c r="L266" i="1" s="1"/>
  <c r="K266" i="1" s="1"/>
  <c r="J266" i="1" s="1"/>
  <c r="I266" i="1" s="1"/>
  <c r="H266" i="1" s="1"/>
  <c r="N265" i="1"/>
  <c r="M265" i="1" s="1"/>
  <c r="L265" i="1" s="1"/>
  <c r="K265" i="1" s="1"/>
  <c r="J265" i="1" s="1"/>
  <c r="I265" i="1" s="1"/>
  <c r="H265" i="1" s="1"/>
  <c r="N264" i="1"/>
  <c r="M264" i="1" s="1"/>
  <c r="L264" i="1" s="1"/>
  <c r="K264" i="1" s="1"/>
  <c r="J264" i="1" s="1"/>
  <c r="I264" i="1" s="1"/>
  <c r="H264" i="1" s="1"/>
  <c r="N263" i="1"/>
  <c r="M263" i="1" s="1"/>
  <c r="L263" i="1" s="1"/>
  <c r="K263" i="1" s="1"/>
  <c r="J263" i="1" s="1"/>
  <c r="I263" i="1" s="1"/>
  <c r="H263" i="1" s="1"/>
  <c r="N262" i="1"/>
  <c r="M262" i="1" s="1"/>
  <c r="L262" i="1" s="1"/>
  <c r="K262" i="1" s="1"/>
  <c r="J262" i="1" s="1"/>
  <c r="I262" i="1" s="1"/>
  <c r="H262" i="1" s="1"/>
  <c r="L288" i="1" l="1"/>
  <c r="L286" i="1"/>
  <c r="J289" i="1"/>
  <c r="N318" i="1"/>
  <c r="N288" i="1"/>
  <c r="N317" i="1"/>
  <c r="N287" i="1"/>
  <c r="N234" i="1"/>
  <c r="N235" i="1"/>
  <c r="M235" i="1" s="1"/>
  <c r="L235" i="1" s="1"/>
  <c r="K235" i="1" s="1"/>
  <c r="J235" i="1" s="1"/>
  <c r="I235" i="1" s="1"/>
  <c r="N236" i="1"/>
  <c r="M236" i="1" s="1"/>
  <c r="L236" i="1" s="1"/>
  <c r="K236" i="1" s="1"/>
  <c r="J236" i="1" s="1"/>
  <c r="I236" i="1" s="1"/>
  <c r="K288" i="1" l="1"/>
  <c r="K286" i="1"/>
  <c r="H305" i="1"/>
  <c r="I289" i="1"/>
  <c r="H289" i="1" s="1"/>
  <c r="N315" i="1"/>
  <c r="M234" i="1"/>
  <c r="N232" i="1"/>
  <c r="I216" i="1"/>
  <c r="L216" i="1"/>
  <c r="M216" i="1"/>
  <c r="N216" i="1"/>
  <c r="N198" i="1"/>
  <c r="M198" i="1" s="1"/>
  <c r="L198" i="1" s="1"/>
  <c r="K198" i="1" s="1"/>
  <c r="J198" i="1" s="1"/>
  <c r="I198" i="1" s="1"/>
  <c r="N199" i="1"/>
  <c r="N200" i="1"/>
  <c r="N189" i="1"/>
  <c r="N190" i="1"/>
  <c r="M190" i="1" s="1"/>
  <c r="L190" i="1" s="1"/>
  <c r="K190" i="1" s="1"/>
  <c r="J190" i="1" s="1"/>
  <c r="I190" i="1" s="1"/>
  <c r="I154" i="1"/>
  <c r="J154" i="1"/>
  <c r="K154" i="1"/>
  <c r="L154" i="1"/>
  <c r="I126" i="1"/>
  <c r="J126" i="1"/>
  <c r="K126" i="1"/>
  <c r="L126" i="1"/>
  <c r="M126" i="1"/>
  <c r="N126" i="1"/>
  <c r="J122" i="1"/>
  <c r="L122" i="1"/>
  <c r="M122" i="1"/>
  <c r="N122" i="1"/>
  <c r="H129" i="1"/>
  <c r="H117" i="1"/>
  <c r="N105" i="1"/>
  <c r="M105" i="1" s="1"/>
  <c r="L105" i="1" s="1"/>
  <c r="K105" i="1" s="1"/>
  <c r="J105" i="1" s="1"/>
  <c r="I105" i="1" s="1"/>
  <c r="N96" i="1"/>
  <c r="M96" i="1" s="1"/>
  <c r="L96" i="1" s="1"/>
  <c r="K96" i="1" s="1"/>
  <c r="J96" i="1" s="1"/>
  <c r="I96" i="1" s="1"/>
  <c r="N97" i="1"/>
  <c r="M97" i="1" s="1"/>
  <c r="L97" i="1" s="1"/>
  <c r="K97" i="1" s="1"/>
  <c r="J97" i="1" s="1"/>
  <c r="I97" i="1" s="1"/>
  <c r="N98" i="1"/>
  <c r="M98" i="1" s="1"/>
  <c r="L98" i="1" s="1"/>
  <c r="K98" i="1" s="1"/>
  <c r="J98" i="1" s="1"/>
  <c r="I98" i="1" s="1"/>
  <c r="I114" i="1"/>
  <c r="N114" i="1"/>
  <c r="N111" i="1" s="1"/>
  <c r="K285" i="1" l="1"/>
  <c r="J288" i="1"/>
  <c r="J286" i="1"/>
  <c r="N106" i="1"/>
  <c r="M189" i="1"/>
  <c r="M199" i="1"/>
  <c r="L199" i="1" s="1"/>
  <c r="K199" i="1" s="1"/>
  <c r="M200" i="1"/>
  <c r="N107" i="1"/>
  <c r="L234" i="1"/>
  <c r="M232" i="1"/>
  <c r="N42" i="1"/>
  <c r="M42" i="1" s="1"/>
  <c r="L42" i="1" s="1"/>
  <c r="K42" i="1" s="1"/>
  <c r="J42" i="1" s="1"/>
  <c r="I42" i="1" s="1"/>
  <c r="N43" i="1"/>
  <c r="M43" i="1" s="1"/>
  <c r="L43" i="1" s="1"/>
  <c r="K43" i="1" s="1"/>
  <c r="J43" i="1" s="1"/>
  <c r="I43" i="1" s="1"/>
  <c r="N44" i="1"/>
  <c r="M44" i="1" s="1"/>
  <c r="L44" i="1" s="1"/>
  <c r="K44" i="1" s="1"/>
  <c r="J44" i="1" s="1"/>
  <c r="I44" i="1" s="1"/>
  <c r="N26" i="1"/>
  <c r="M26" i="1" s="1"/>
  <c r="L26" i="1" s="1"/>
  <c r="K26" i="1" s="1"/>
  <c r="J26" i="1" s="1"/>
  <c r="I26" i="1" s="1"/>
  <c r="N27" i="1"/>
  <c r="M27" i="1" s="1"/>
  <c r="L27" i="1" s="1"/>
  <c r="K27" i="1" s="1"/>
  <c r="J27" i="1" s="1"/>
  <c r="I27" i="1" s="1"/>
  <c r="N28" i="1"/>
  <c r="M28" i="1" s="1"/>
  <c r="L28" i="1" s="1"/>
  <c r="K28" i="1" s="1"/>
  <c r="J28" i="1" s="1"/>
  <c r="I28" i="1" s="1"/>
  <c r="N110" i="1"/>
  <c r="H304" i="1" l="1"/>
  <c r="I288" i="1"/>
  <c r="H288" i="1" s="1"/>
  <c r="H302" i="1"/>
  <c r="I286" i="1"/>
  <c r="H286" i="1" s="1"/>
  <c r="L189" i="1"/>
  <c r="L200" i="1"/>
  <c r="M107" i="1"/>
  <c r="J199" i="1"/>
  <c r="K234" i="1"/>
  <c r="L232" i="1"/>
  <c r="H194" i="1"/>
  <c r="K189" i="1" l="1"/>
  <c r="I199" i="1"/>
  <c r="I106" i="1" s="1"/>
  <c r="K200" i="1"/>
  <c r="L107" i="1"/>
  <c r="J234" i="1"/>
  <c r="K232" i="1"/>
  <c r="J189" i="1" l="1"/>
  <c r="J200" i="1"/>
  <c r="K107" i="1"/>
  <c r="I234" i="1"/>
  <c r="I232" i="1" s="1"/>
  <c r="J232" i="1"/>
  <c r="N181" i="1"/>
  <c r="I189" i="1" l="1"/>
  <c r="I200" i="1"/>
  <c r="I107" i="1" s="1"/>
  <c r="J107" i="1"/>
  <c r="H232" i="1"/>
  <c r="H33" i="1"/>
  <c r="H32" i="1" s="1"/>
  <c r="H179" i="1" l="1"/>
  <c r="H161" i="1"/>
  <c r="H165" i="1"/>
  <c r="K121" i="1" l="1"/>
  <c r="H128" i="1"/>
  <c r="H127" i="1"/>
  <c r="H125" i="1"/>
  <c r="H124" i="1"/>
  <c r="N121" i="1"/>
  <c r="N120" i="1" s="1"/>
  <c r="M121" i="1"/>
  <c r="M120" i="1" s="1"/>
  <c r="J121" i="1"/>
  <c r="I121" i="1"/>
  <c r="M154" i="1" l="1"/>
  <c r="H123" i="1"/>
  <c r="H122" i="1" s="1"/>
  <c r="N154" i="1"/>
  <c r="H126" i="1"/>
  <c r="K122" i="1"/>
  <c r="H119" i="1"/>
  <c r="H121" i="1"/>
  <c r="H109" i="1"/>
  <c r="H46" i="1"/>
  <c r="N31" i="1"/>
  <c r="H222" i="1"/>
  <c r="H211" i="1"/>
  <c r="J188" i="1"/>
  <c r="K188" i="1"/>
  <c r="L188" i="1"/>
  <c r="M188" i="1"/>
  <c r="N188" i="1"/>
  <c r="I188" i="1"/>
  <c r="H186" i="1"/>
  <c r="K114" i="1"/>
  <c r="K106" i="1" s="1"/>
  <c r="J114" i="1"/>
  <c r="J106" i="1" s="1"/>
  <c r="L114" i="1" l="1"/>
  <c r="L106" i="1" s="1"/>
  <c r="H106" i="1" s="1"/>
  <c r="M114" i="1"/>
  <c r="M111" i="1" s="1"/>
  <c r="J257" i="1"/>
  <c r="H188" i="1"/>
  <c r="M110" i="1" l="1"/>
  <c r="M106" i="1"/>
  <c r="M257" i="1" s="1"/>
  <c r="H71" i="1"/>
  <c r="H31" i="1" l="1"/>
  <c r="K16" i="1" l="1"/>
  <c r="H17" i="1" l="1"/>
  <c r="K376" i="1"/>
  <c r="K378" i="1" s="1"/>
  <c r="M376" i="1"/>
  <c r="M378" i="1" s="1"/>
  <c r="N376" i="1"/>
  <c r="N378" i="1" s="1"/>
  <c r="H376" i="1" l="1"/>
  <c r="H378" i="1" s="1"/>
  <c r="I40" i="1"/>
  <c r="J40" i="1"/>
  <c r="L40" i="1"/>
  <c r="K40" i="1"/>
  <c r="N40" i="1"/>
  <c r="M40" i="1"/>
  <c r="J181" i="1"/>
  <c r="K181" i="1"/>
  <c r="L181" i="1"/>
  <c r="M181" i="1"/>
  <c r="M180" i="1" s="1"/>
  <c r="N180" i="1"/>
  <c r="I181" i="1"/>
  <c r="J346" i="1" l="1"/>
  <c r="K346" i="1"/>
  <c r="L346" i="1"/>
  <c r="M346" i="1"/>
  <c r="N346" i="1"/>
  <c r="N347" i="1"/>
  <c r="J347" i="1"/>
  <c r="K347" i="1"/>
  <c r="L347" i="1"/>
  <c r="M347" i="1"/>
  <c r="I346" i="1"/>
  <c r="I347" i="1"/>
  <c r="J345" i="1"/>
  <c r="K345" i="1"/>
  <c r="L345" i="1"/>
  <c r="M345" i="1"/>
  <c r="N345" i="1"/>
  <c r="I345" i="1"/>
  <c r="K315" i="1"/>
  <c r="L315" i="1"/>
  <c r="N285" i="1"/>
  <c r="H316" i="1"/>
  <c r="H317" i="1"/>
  <c r="H318" i="1"/>
  <c r="L285" i="1"/>
  <c r="J278" i="1"/>
  <c r="K257" i="1"/>
  <c r="K278" i="1" s="1"/>
  <c r="M278" i="1"/>
  <c r="N257" i="1"/>
  <c r="N278" i="1" s="1"/>
  <c r="M152" i="1"/>
  <c r="N152" i="1"/>
  <c r="H155" i="1"/>
  <c r="H164" i="1"/>
  <c r="J258" i="1"/>
  <c r="J279" i="1" s="1"/>
  <c r="K258" i="1"/>
  <c r="K279" i="1" s="1"/>
  <c r="L258" i="1"/>
  <c r="L279" i="1" s="1"/>
  <c r="M258" i="1"/>
  <c r="M279" i="1" s="1"/>
  <c r="N258" i="1"/>
  <c r="N279" i="1" s="1"/>
  <c r="I258" i="1"/>
  <c r="I279" i="1" s="1"/>
  <c r="J256" i="1"/>
  <c r="J277" i="1" s="1"/>
  <c r="K256" i="1"/>
  <c r="K277" i="1" s="1"/>
  <c r="L256" i="1"/>
  <c r="L277" i="1" s="1"/>
  <c r="M256" i="1"/>
  <c r="M277" i="1" s="1"/>
  <c r="N256" i="1"/>
  <c r="N277" i="1" s="1"/>
  <c r="H233" i="1"/>
  <c r="H234" i="1"/>
  <c r="H235" i="1"/>
  <c r="H236" i="1"/>
  <c r="K224" i="1"/>
  <c r="J224" i="1"/>
  <c r="L224" i="1"/>
  <c r="M224" i="1"/>
  <c r="M223" i="1" s="1"/>
  <c r="N224" i="1"/>
  <c r="N223" i="1" s="1"/>
  <c r="I224" i="1"/>
  <c r="H228" i="1"/>
  <c r="H225" i="1"/>
  <c r="H226" i="1"/>
  <c r="H227" i="1"/>
  <c r="M212" i="1"/>
  <c r="H214" i="1"/>
  <c r="H215" i="1"/>
  <c r="H217" i="1"/>
  <c r="H218" i="1"/>
  <c r="H219" i="1"/>
  <c r="M203" i="1"/>
  <c r="N203" i="1"/>
  <c r="H205" i="1"/>
  <c r="H206" i="1"/>
  <c r="J196" i="1"/>
  <c r="K196" i="1"/>
  <c r="L196" i="1"/>
  <c r="M196" i="1"/>
  <c r="M195" i="1" s="1"/>
  <c r="N196" i="1"/>
  <c r="I196" i="1"/>
  <c r="H198" i="1"/>
  <c r="H199" i="1"/>
  <c r="H200" i="1"/>
  <c r="H197" i="1"/>
  <c r="M187" i="1"/>
  <c r="N187" i="1"/>
  <c r="H189" i="1"/>
  <c r="H190" i="1"/>
  <c r="H191" i="1"/>
  <c r="N172" i="1"/>
  <c r="N104" i="1" s="1"/>
  <c r="N255" i="1" s="1"/>
  <c r="N254" i="1" s="1"/>
  <c r="J172" i="1"/>
  <c r="J104" i="1" s="1"/>
  <c r="J255" i="1" s="1"/>
  <c r="J254" i="1" s="1"/>
  <c r="K172" i="1"/>
  <c r="K104" i="1" s="1"/>
  <c r="K255" i="1" s="1"/>
  <c r="K254" i="1" s="1"/>
  <c r="L172" i="1"/>
  <c r="L104" i="1" s="1"/>
  <c r="L255" i="1" s="1"/>
  <c r="M172" i="1"/>
  <c r="M104" i="1" s="1"/>
  <c r="M255" i="1" s="1"/>
  <c r="M254" i="1" s="1"/>
  <c r="I172" i="1"/>
  <c r="I104" i="1" s="1"/>
  <c r="I255" i="1" s="1"/>
  <c r="H173" i="1"/>
  <c r="H174" i="1"/>
  <c r="M162" i="1"/>
  <c r="N162" i="1"/>
  <c r="H156" i="1"/>
  <c r="H157" i="1"/>
  <c r="H158" i="1"/>
  <c r="H116" i="1"/>
  <c r="H115" i="1"/>
  <c r="H113" i="1"/>
  <c r="H96" i="1"/>
  <c r="H97" i="1"/>
  <c r="H98" i="1"/>
  <c r="H44" i="1"/>
  <c r="H42" i="1"/>
  <c r="H43" i="1"/>
  <c r="L24" i="1"/>
  <c r="H26" i="1"/>
  <c r="H27" i="1"/>
  <c r="H28" i="1"/>
  <c r="H18" i="1"/>
  <c r="H19" i="1"/>
  <c r="H20" i="1"/>
  <c r="H25" i="1"/>
  <c r="M24" i="1"/>
  <c r="M23" i="1" s="1"/>
  <c r="N24" i="1"/>
  <c r="N23" i="1" s="1"/>
  <c r="I24" i="1"/>
  <c r="J24" i="1"/>
  <c r="K24" i="1"/>
  <c r="L16" i="1"/>
  <c r="M16" i="1"/>
  <c r="N16" i="1"/>
  <c r="J16" i="1"/>
  <c r="I16" i="1"/>
  <c r="M379" i="1" l="1"/>
  <c r="M381" i="1" s="1"/>
  <c r="M382" i="1" s="1"/>
  <c r="J276" i="1"/>
  <c r="J351" i="1" s="1"/>
  <c r="J379" i="1"/>
  <c r="J381" i="1" s="1"/>
  <c r="J382" i="1" s="1"/>
  <c r="I379" i="1"/>
  <c r="I381" i="1" s="1"/>
  <c r="I382" i="1" s="1"/>
  <c r="L379" i="1"/>
  <c r="L381" i="1" s="1"/>
  <c r="L382" i="1" s="1"/>
  <c r="K379" i="1"/>
  <c r="K381" i="1" s="1"/>
  <c r="K382" i="1" s="1"/>
  <c r="N171" i="1"/>
  <c r="N103" i="1"/>
  <c r="H95" i="1"/>
  <c r="H315" i="1"/>
  <c r="H204" i="1"/>
  <c r="H114" i="1"/>
  <c r="H111" i="1" s="1"/>
  <c r="H110" i="1" s="1"/>
  <c r="H216" i="1"/>
  <c r="H154" i="1"/>
  <c r="M285" i="1"/>
  <c r="M353" i="1"/>
  <c r="L348" i="1"/>
  <c r="L354" i="1" s="1"/>
  <c r="K352" i="1"/>
  <c r="K353" i="1"/>
  <c r="N352" i="1"/>
  <c r="J352" i="1"/>
  <c r="M352" i="1"/>
  <c r="L352" i="1"/>
  <c r="N353" i="1"/>
  <c r="J353" i="1"/>
  <c r="H345" i="1"/>
  <c r="H279" i="1"/>
  <c r="H347" i="1"/>
  <c r="K348" i="1"/>
  <c r="K354" i="1" s="1"/>
  <c r="J348" i="1"/>
  <c r="J344" i="1" s="1"/>
  <c r="I348" i="1"/>
  <c r="H346" i="1"/>
  <c r="H153" i="1"/>
  <c r="H152" i="1" s="1"/>
  <c r="J285" i="1"/>
  <c r="I285" i="1"/>
  <c r="H319" i="1"/>
  <c r="J103" i="1"/>
  <c r="L103" i="1"/>
  <c r="H107" i="1"/>
  <c r="I103" i="1"/>
  <c r="H105" i="1"/>
  <c r="I257" i="1"/>
  <c r="I278" i="1" s="1"/>
  <c r="I353" i="1" s="1"/>
  <c r="H104" i="1"/>
  <c r="I256" i="1"/>
  <c r="K103" i="1"/>
  <c r="L257" i="1"/>
  <c r="L254" i="1" s="1"/>
  <c r="M103" i="1"/>
  <c r="H258" i="1"/>
  <c r="H224" i="1"/>
  <c r="H223" i="1" s="1"/>
  <c r="H213" i="1"/>
  <c r="H212" i="1" s="1"/>
  <c r="H196" i="1"/>
  <c r="H195" i="1" s="1"/>
  <c r="H187" i="1"/>
  <c r="H163" i="1"/>
  <c r="H162" i="1" s="1"/>
  <c r="H172" i="1"/>
  <c r="H171" i="1" s="1"/>
  <c r="K94" i="1"/>
  <c r="M94" i="1"/>
  <c r="H16" i="1"/>
  <c r="H24" i="1"/>
  <c r="H23" i="1" s="1"/>
  <c r="H285" i="1" l="1"/>
  <c r="L344" i="1"/>
  <c r="N379" i="1"/>
  <c r="N381" i="1" s="1"/>
  <c r="N382" i="1" s="1"/>
  <c r="H379" i="1"/>
  <c r="H381" i="1" s="1"/>
  <c r="H382" i="1" s="1"/>
  <c r="N94" i="1"/>
  <c r="I254" i="1"/>
  <c r="H40" i="1"/>
  <c r="H255" i="1"/>
  <c r="I276" i="1"/>
  <c r="I351" i="1" s="1"/>
  <c r="L276" i="1"/>
  <c r="L351" i="1" s="1"/>
  <c r="M276" i="1"/>
  <c r="M351" i="1" s="1"/>
  <c r="K276" i="1"/>
  <c r="J94" i="1"/>
  <c r="J354" i="1"/>
  <c r="H348" i="1"/>
  <c r="H344" i="1" s="1"/>
  <c r="K344" i="1"/>
  <c r="I277" i="1"/>
  <c r="I352" i="1" s="1"/>
  <c r="H352" i="1" s="1"/>
  <c r="N348" i="1"/>
  <c r="L278" i="1"/>
  <c r="L353" i="1" s="1"/>
  <c r="H353" i="1" s="1"/>
  <c r="M348" i="1"/>
  <c r="I344" i="1"/>
  <c r="I354" i="1"/>
  <c r="H256" i="1"/>
  <c r="H103" i="1"/>
  <c r="H257" i="1"/>
  <c r="L94" i="1"/>
  <c r="N276" i="1" l="1"/>
  <c r="N351" i="1" s="1"/>
  <c r="H276" i="1"/>
  <c r="H254" i="1"/>
  <c r="J350" i="1"/>
  <c r="M275" i="1"/>
  <c r="H94" i="1"/>
  <c r="H354" i="1"/>
  <c r="H278" i="1"/>
  <c r="K351" i="1"/>
  <c r="H351" i="1" s="1"/>
  <c r="K275" i="1"/>
  <c r="L350" i="1"/>
  <c r="H277" i="1"/>
  <c r="M344" i="1"/>
  <c r="M354" i="1"/>
  <c r="M350" i="1" s="1"/>
  <c r="L275" i="1"/>
  <c r="N344" i="1"/>
  <c r="N354" i="1"/>
  <c r="I275" i="1"/>
  <c r="I94" i="1"/>
  <c r="N350" i="1" l="1"/>
  <c r="N275" i="1"/>
  <c r="K350" i="1"/>
  <c r="J275" i="1"/>
  <c r="H275" i="1" s="1"/>
  <c r="H350" i="1" l="1"/>
  <c r="I350" i="1"/>
  <c r="H180" i="1"/>
  <c r="H202" i="1"/>
  <c r="H203" i="1" s="1"/>
</calcChain>
</file>

<file path=xl/comments1.xml><?xml version="1.0" encoding="utf-8"?>
<comments xmlns="http://schemas.openxmlformats.org/spreadsheetml/2006/main">
  <authors>
    <author>Кузнецов Роман Вячеславович</author>
    <author>Овсянникова Екатерина Александровна</author>
  </authors>
  <commentList>
    <comment ref="H30" authorId="0" shapeId="0">
      <text>
        <r>
          <rPr>
            <b/>
            <sz val="9"/>
            <color indexed="81"/>
            <rFont val="Tahoma"/>
            <family val="2"/>
            <charset val="204"/>
          </rPr>
          <t>Кузнецов Роман Вячеславович:</t>
        </r>
        <r>
          <rPr>
            <sz val="9"/>
            <color indexed="81"/>
            <rFont val="Tahoma"/>
            <family val="2"/>
            <charset val="204"/>
          </rPr>
          <t xml:space="preserve">
12 телепередач
9 реклам</t>
        </r>
      </text>
    </comment>
    <comment ref="M30" authorId="0" shapeId="0">
      <text>
        <r>
          <rPr>
            <b/>
            <sz val="9"/>
            <color indexed="81"/>
            <rFont val="Tahoma"/>
            <family val="2"/>
            <charset val="204"/>
          </rPr>
          <t>Кузнецов Роман Вячеславович:</t>
        </r>
        <r>
          <rPr>
            <sz val="9"/>
            <color indexed="81"/>
            <rFont val="Tahoma"/>
            <family val="2"/>
            <charset val="204"/>
          </rPr>
          <t xml:space="preserve">
12 телепередач
1 видеоролик</t>
        </r>
      </text>
    </comment>
    <comment ref="N30" authorId="0" shapeId="0">
      <text>
        <r>
          <rPr>
            <b/>
            <sz val="9"/>
            <color indexed="81"/>
            <rFont val="Tahoma"/>
            <family val="2"/>
            <charset val="204"/>
          </rPr>
          <t>Кузнецов Роман Вячеславович:</t>
        </r>
        <r>
          <rPr>
            <sz val="9"/>
            <color indexed="81"/>
            <rFont val="Tahoma"/>
            <family val="2"/>
            <charset val="204"/>
          </rPr>
          <t xml:space="preserve">
12 телепередач
1 видеоролик</t>
        </r>
      </text>
    </comment>
    <comment ref="H70" authorId="1" shapeId="0">
      <text>
        <r>
          <rPr>
            <b/>
            <sz val="9"/>
            <color indexed="81"/>
            <rFont val="Tahoma"/>
            <family val="2"/>
            <charset val="204"/>
          </rPr>
          <t>Овсянникова Екатерина Александровна:</t>
        </r>
        <r>
          <rPr>
            <sz val="9"/>
            <color indexed="81"/>
            <rFont val="Tahoma"/>
            <family val="2"/>
            <charset val="204"/>
          </rPr>
          <t xml:space="preserve">
ЦОДД- 11 меропри-й
УГИБДД- 50 меропр-й</t>
        </r>
      </text>
    </comment>
    <comment ref="K70" authorId="1" shapeId="0">
      <text>
        <r>
          <rPr>
            <b/>
            <sz val="9"/>
            <color indexed="81"/>
            <rFont val="Tahoma"/>
            <family val="2"/>
            <charset val="204"/>
          </rPr>
          <t>Кузнецов:</t>
        </r>
        <r>
          <rPr>
            <sz val="9"/>
            <color indexed="81"/>
            <rFont val="Tahoma"/>
            <family val="2"/>
            <charset val="204"/>
          </rPr>
          <t xml:space="preserve">
ЦОДД- 11 меропри-й
УГИБДД- 15 меропр-й</t>
        </r>
      </text>
    </comment>
    <comment ref="M70" authorId="1" shapeId="0">
      <text>
        <r>
          <rPr>
            <b/>
            <sz val="9"/>
            <color indexed="81"/>
            <rFont val="Tahoma"/>
            <family val="2"/>
            <charset val="204"/>
          </rPr>
          <t>Кузнецов:</t>
        </r>
        <r>
          <rPr>
            <sz val="9"/>
            <color indexed="81"/>
            <rFont val="Tahoma"/>
            <family val="2"/>
            <charset val="204"/>
          </rPr>
          <t xml:space="preserve">
ЦОДД- 11 меропри-й
УГИБДД- 50 меропр-й</t>
        </r>
      </text>
    </comment>
    <comment ref="N70" authorId="1" shapeId="0">
      <text>
        <r>
          <rPr>
            <b/>
            <sz val="9"/>
            <color indexed="81"/>
            <rFont val="Tahoma"/>
            <family val="2"/>
            <charset val="204"/>
          </rPr>
          <t>Кузнецов:</t>
        </r>
        <r>
          <rPr>
            <sz val="9"/>
            <color indexed="81"/>
            <rFont val="Tahoma"/>
            <family val="2"/>
            <charset val="204"/>
          </rPr>
          <t xml:space="preserve">
ЦОДД- 11 меропри-й
УГИБДД- 50 меропр-й</t>
        </r>
      </text>
    </comment>
    <comment ref="H109" authorId="0" shapeId="0">
      <text>
        <r>
          <rPr>
            <b/>
            <sz val="9"/>
            <color indexed="81"/>
            <rFont val="Tahoma"/>
            <family val="2"/>
            <charset val="204"/>
          </rPr>
          <t>Кузнецов Роман Вячеславович:</t>
        </r>
        <r>
          <rPr>
            <sz val="9"/>
            <color indexed="81"/>
            <rFont val="Tahoma"/>
            <family val="2"/>
            <charset val="204"/>
          </rPr>
          <t xml:space="preserve">
1 - ТУАД
33 - Мэрия</t>
        </r>
      </text>
    </comment>
    <comment ref="L109" authorId="0" shapeId="0">
      <text>
        <r>
          <rPr>
            <b/>
            <sz val="9"/>
            <color indexed="81"/>
            <rFont val="Tahoma"/>
            <family val="2"/>
            <charset val="204"/>
          </rPr>
          <t>Кузнецов Роман Вячеславович:</t>
        </r>
        <r>
          <rPr>
            <sz val="9"/>
            <color indexed="81"/>
            <rFont val="Tahoma"/>
            <family val="2"/>
            <charset val="204"/>
          </rPr>
          <t xml:space="preserve">
1 - ТУАД
17 - Мэрия</t>
        </r>
      </text>
    </comment>
    <comment ref="H119" authorId="0" shapeId="0">
      <text>
        <r>
          <rPr>
            <b/>
            <sz val="9"/>
            <color indexed="81"/>
            <rFont val="Tahoma"/>
            <family val="2"/>
            <charset val="204"/>
          </rPr>
          <t>Кузнецов Роман Вячеславович:</t>
        </r>
        <r>
          <rPr>
            <sz val="9"/>
            <color indexed="81"/>
            <rFont val="Tahoma"/>
            <family val="2"/>
            <charset val="204"/>
          </rPr>
          <t xml:space="preserve">
5000 дор. знак. - Мэрия
27 пеш. пер. - ТУАД </t>
        </r>
      </text>
    </comment>
    <comment ref="K119" authorId="0" shapeId="0">
      <text>
        <r>
          <rPr>
            <b/>
            <sz val="9"/>
            <color indexed="81"/>
            <rFont val="Tahoma"/>
            <family val="2"/>
            <charset val="204"/>
          </rPr>
          <t>Кузнецов Роман Вячеславович:</t>
        </r>
        <r>
          <rPr>
            <sz val="9"/>
            <color indexed="81"/>
            <rFont val="Tahoma"/>
            <family val="2"/>
            <charset val="204"/>
          </rPr>
          <t xml:space="preserve">
2000 дор знак - Мэрия
22 пеш пер - ТУАД</t>
        </r>
      </text>
    </comment>
    <comment ref="L119" authorId="0" shapeId="0">
      <text>
        <r>
          <rPr>
            <b/>
            <sz val="9"/>
            <color indexed="81"/>
            <rFont val="Tahoma"/>
            <family val="2"/>
            <charset val="204"/>
          </rPr>
          <t>Кузнецов Роман Вячеславович:</t>
        </r>
        <r>
          <rPr>
            <sz val="9"/>
            <color indexed="81"/>
            <rFont val="Tahoma"/>
            <family val="2"/>
            <charset val="204"/>
          </rPr>
          <t xml:space="preserve">
1000 дор знак - Мэрия
5 пеш пер - ТУАД</t>
        </r>
      </text>
    </comment>
    <comment ref="N119" authorId="0" shapeId="0">
      <text>
        <r>
          <rPr>
            <b/>
            <sz val="9"/>
            <color indexed="81"/>
            <rFont val="Tahoma"/>
            <family val="2"/>
            <charset val="204"/>
          </rPr>
          <t>Кузнецов Роман Вячеславович:</t>
        </r>
        <r>
          <rPr>
            <sz val="9"/>
            <color indexed="81"/>
            <rFont val="Tahoma"/>
            <family val="2"/>
            <charset val="204"/>
          </rPr>
          <t xml:space="preserve">
ТУАД - 417 дор. знак.
Мэрия - 5000 дор. знак.</t>
        </r>
      </text>
    </comment>
    <comment ref="H139" authorId="0" shapeId="0">
      <text>
        <r>
          <rPr>
            <b/>
            <sz val="9"/>
            <color indexed="81"/>
            <rFont val="Tahoma"/>
            <family val="2"/>
            <charset val="204"/>
          </rPr>
          <t>Кузнецов Роман Вячеславович:</t>
        </r>
        <r>
          <rPr>
            <sz val="9"/>
            <color indexed="81"/>
            <rFont val="Tahoma"/>
            <family val="2"/>
            <charset val="204"/>
          </rPr>
          <t xml:space="preserve">
5000 дор. знак. - Мэрия
27 пеш. пер. - ТУАД </t>
        </r>
      </text>
    </comment>
    <comment ref="K139" authorId="0" shapeId="0">
      <text>
        <r>
          <rPr>
            <b/>
            <sz val="9"/>
            <color indexed="81"/>
            <rFont val="Tahoma"/>
            <family val="2"/>
            <charset val="204"/>
          </rPr>
          <t>Кузнецов Роман Вячеславович:</t>
        </r>
        <r>
          <rPr>
            <sz val="9"/>
            <color indexed="81"/>
            <rFont val="Tahoma"/>
            <family val="2"/>
            <charset val="204"/>
          </rPr>
          <t xml:space="preserve">
2000 дор знак - Мэрия
22 пеш пер - ТУАД</t>
        </r>
      </text>
    </comment>
    <comment ref="L139" authorId="0" shapeId="0">
      <text>
        <r>
          <rPr>
            <b/>
            <sz val="9"/>
            <color indexed="81"/>
            <rFont val="Tahoma"/>
            <family val="2"/>
            <charset val="204"/>
          </rPr>
          <t>Кузнецов Роман Вячеславович:</t>
        </r>
        <r>
          <rPr>
            <sz val="9"/>
            <color indexed="81"/>
            <rFont val="Tahoma"/>
            <family val="2"/>
            <charset val="204"/>
          </rPr>
          <t xml:space="preserve">
1000 дор знак - Мэрия
5 пеш пер - ТУАД</t>
        </r>
      </text>
    </comment>
    <comment ref="N139" authorId="0" shapeId="0">
      <text>
        <r>
          <rPr>
            <b/>
            <sz val="9"/>
            <color indexed="81"/>
            <rFont val="Tahoma"/>
            <family val="2"/>
            <charset val="204"/>
          </rPr>
          <t>Кузнецов Роман Вячеславович:</t>
        </r>
        <r>
          <rPr>
            <sz val="9"/>
            <color indexed="81"/>
            <rFont val="Tahoma"/>
            <family val="2"/>
            <charset val="204"/>
          </rPr>
          <t xml:space="preserve">
ТУАД - 417 дор. знак.
Мэрия - 5000 дор. знак.</t>
        </r>
      </text>
    </comment>
    <comment ref="H151" authorId="0" shapeId="0">
      <text>
        <r>
          <rPr>
            <b/>
            <sz val="9"/>
            <color indexed="81"/>
            <rFont val="Tahoma"/>
            <family val="2"/>
            <charset val="204"/>
          </rPr>
          <t>Кузнецов Роман Вячеславович:</t>
        </r>
        <r>
          <rPr>
            <sz val="9"/>
            <color indexed="81"/>
            <rFont val="Tahoma"/>
            <family val="2"/>
            <charset val="204"/>
          </rPr>
          <t xml:space="preserve">
ТУАД - 8,7
Мэрия - 5,7</t>
        </r>
      </text>
    </comment>
    <comment ref="L151" authorId="0" shapeId="0">
      <text>
        <r>
          <rPr>
            <b/>
            <sz val="9"/>
            <color indexed="81"/>
            <rFont val="Tahoma"/>
            <family val="2"/>
            <charset val="204"/>
          </rPr>
          <t>Кузнецов Роман Вячеславович:</t>
        </r>
        <r>
          <rPr>
            <sz val="9"/>
            <color indexed="81"/>
            <rFont val="Tahoma"/>
            <family val="2"/>
            <charset val="204"/>
          </rPr>
          <t xml:space="preserve">
ТУАД - 8,7 км</t>
        </r>
      </text>
    </comment>
    <comment ref="M151" authorId="0" shapeId="0">
      <text>
        <r>
          <rPr>
            <b/>
            <sz val="9"/>
            <color indexed="81"/>
            <rFont val="Tahoma"/>
            <family val="2"/>
            <charset val="204"/>
          </rPr>
          <t>Кузнецов Роман Вячеславович:</t>
        </r>
        <r>
          <rPr>
            <sz val="9"/>
            <color indexed="81"/>
            <rFont val="Tahoma"/>
            <family val="2"/>
            <charset val="204"/>
          </rPr>
          <t xml:space="preserve">
6,5 - ТУАД
4,4 - Мэрия</t>
        </r>
      </text>
    </comment>
    <comment ref="N151" authorId="0" shapeId="0">
      <text>
        <r>
          <rPr>
            <b/>
            <sz val="9"/>
            <color indexed="81"/>
            <rFont val="Tahoma"/>
            <family val="2"/>
            <charset val="204"/>
          </rPr>
          <t>Кузнецов Роман Вячеславович:</t>
        </r>
        <r>
          <rPr>
            <sz val="9"/>
            <color indexed="81"/>
            <rFont val="Tahoma"/>
            <family val="2"/>
            <charset val="204"/>
          </rPr>
          <t xml:space="preserve">
ТУАД - 17,8
Мэрия - 4,4</t>
        </r>
      </text>
    </comment>
    <comment ref="H211" authorId="0" shapeId="0">
      <text>
        <r>
          <rPr>
            <b/>
            <sz val="9"/>
            <color indexed="81"/>
            <rFont val="Tahoma"/>
            <family val="2"/>
            <charset val="204"/>
          </rPr>
          <t>Кузнецов Роман Вячеславович:</t>
        </r>
        <r>
          <rPr>
            <sz val="9"/>
            <color indexed="81"/>
            <rFont val="Tahoma"/>
            <family val="2"/>
            <charset val="204"/>
          </rPr>
          <t xml:space="preserve">
ТУАД - 3281
Мэрия - 1775</t>
        </r>
      </text>
    </comment>
    <comment ref="J211" authorId="0" shapeId="0">
      <text>
        <r>
          <rPr>
            <b/>
            <sz val="9"/>
            <color indexed="81"/>
            <rFont val="Tahoma"/>
            <family val="2"/>
            <charset val="204"/>
          </rPr>
          <t>Кузнецов Роман Вячеславович:</t>
        </r>
        <r>
          <rPr>
            <sz val="9"/>
            <color indexed="81"/>
            <rFont val="Tahoma"/>
            <family val="2"/>
            <charset val="204"/>
          </rPr>
          <t xml:space="preserve">
ТУАД - 3281
Мэрия - 600</t>
        </r>
      </text>
    </comment>
    <comment ref="M211" authorId="0" shapeId="0">
      <text>
        <r>
          <rPr>
            <b/>
            <sz val="9"/>
            <color indexed="81"/>
            <rFont val="Tahoma"/>
            <family val="2"/>
            <charset val="204"/>
          </rPr>
          <t>Кузнецов Роман Вячеславович:</t>
        </r>
        <r>
          <rPr>
            <sz val="9"/>
            <color indexed="81"/>
            <rFont val="Tahoma"/>
            <family val="2"/>
            <charset val="204"/>
          </rPr>
          <t xml:space="preserve">
ТУАД - 3281
Мэрия - 1250</t>
        </r>
      </text>
    </comment>
    <comment ref="N211" authorId="0" shapeId="0">
      <text>
        <r>
          <rPr>
            <b/>
            <sz val="9"/>
            <color indexed="81"/>
            <rFont val="Tahoma"/>
            <family val="2"/>
            <charset val="204"/>
          </rPr>
          <t>Кузнецов Роман Вячеславович:</t>
        </r>
        <r>
          <rPr>
            <sz val="9"/>
            <color indexed="81"/>
            <rFont val="Tahoma"/>
            <family val="2"/>
            <charset val="204"/>
          </rPr>
          <t xml:space="preserve">
ТУАД - 3281
Мэрия - 1250</t>
        </r>
      </text>
    </comment>
  </commentList>
</comments>
</file>

<file path=xl/sharedStrings.xml><?xml version="1.0" encoding="utf-8"?>
<sst xmlns="http://schemas.openxmlformats.org/spreadsheetml/2006/main" count="748" uniqueCount="184">
  <si>
    <t>Наименование мероприятия</t>
  </si>
  <si>
    <t>Наименование показателя</t>
  </si>
  <si>
    <t>Ответственный исполнитель</t>
  </si>
  <si>
    <t>Ожидаемый результат (краткое описание)</t>
  </si>
  <si>
    <t>ГРБС</t>
  </si>
  <si>
    <t>РЗ</t>
  </si>
  <si>
    <t>ПР</t>
  </si>
  <si>
    <t>ЦСР</t>
  </si>
  <si>
    <t>ВР</t>
  </si>
  <si>
    <t>Значение показателя на 2020 год</t>
  </si>
  <si>
    <t>Значение показателя на 2021 год</t>
  </si>
  <si>
    <t>1 кв.</t>
  </si>
  <si>
    <t>2 кв.</t>
  </si>
  <si>
    <t>3 кв.</t>
  </si>
  <si>
    <t>4 кв.</t>
  </si>
  <si>
    <t>Количество мероприятий, единиц</t>
  </si>
  <si>
    <t>Минтранс Новосибирской области, Минобразования Новосибирской области, ГКУ НСО ТУАД во взаимодействии с ГУ МВД России по Новосибирской области, УГИБДД ГУ МВД России по Новосибирской области, ГБУ ДО НСО «АВТОМОТОЦЕНТР»</t>
  </si>
  <si>
    <t>Стоимость единицы</t>
  </si>
  <si>
    <t>X</t>
  </si>
  <si>
    <t>Сумма затрат всего, в том числе</t>
  </si>
  <si>
    <t>областной бюджет</t>
  </si>
  <si>
    <t>местные бюджеты</t>
  </si>
  <si>
    <t>внебюджетные источники</t>
  </si>
  <si>
    <t>федеральный бюджет</t>
  </si>
  <si>
    <t>Наименование показателя                  (ед. изм.)</t>
  </si>
  <si>
    <r>
      <t xml:space="preserve">Минтранс Новосибирской области, ГКУ НСО ТУАД во взаимодействии с ГУ МВД России по Новосибирской области, УГИБДД ГУ МВД России по Новосибирской области, </t>
    </r>
    <r>
      <rPr>
        <sz val="8"/>
        <color rgb="FF000000"/>
        <rFont val="Times New Roman"/>
        <family val="1"/>
        <charset val="204"/>
      </rPr>
      <t>ГКУ НСО ЦОДД во взаимодействии с ГУ МВД России по Новосибирской области</t>
    </r>
  </si>
  <si>
    <t xml:space="preserve"> Минтранс Новосибирской области, ГКУ НСО ТУАД во взаимодействии с ГУ МВД России по Новосибирской области, УГИБДД ГУ МВД России по Новосибирской области</t>
  </si>
  <si>
    <t>Количество публикаций, единиц</t>
  </si>
  <si>
    <t>Минтранс Новосибирской области, ГКУ НСО ТУАД во взаимодействии с ГУ МВД России по Новосибирской области, УГИБДД ГУ МВД России по Новосибирской области, ГКУ НСО ЦОДД во взаимодействии с ГУ МВД России по Новосибирской области</t>
  </si>
  <si>
    <t>Минтранс Новосибирской области, ГКУ НСО ТУАД во взаимодействии с ГУ МВД России по Новосибирской области, УГИБДД ГУ МВД России по Новосибирской области</t>
  </si>
  <si>
    <t>Всего, в том числе:</t>
  </si>
  <si>
    <t>Количество единиц</t>
  </si>
  <si>
    <t>Количество светофорных объектов, единиц</t>
  </si>
  <si>
    <t>Минтранс Новосибирской области, ГКУ НСО ТУАД, ГБУ НСО СМЭУ во взаимодействии с мэрией города Новосибирска</t>
  </si>
  <si>
    <t>Количество дорожных знаков, пешеходных переходов, единиц</t>
  </si>
  <si>
    <t>Количество км, единиц</t>
  </si>
  <si>
    <t>Количество павильонов, единиц</t>
  </si>
  <si>
    <t>Минтранс Новосибирской области, ГКУ НСО ТУАД</t>
  </si>
  <si>
    <t>Количество железнодорожных переездов, единиц</t>
  </si>
  <si>
    <t>1.3.1. Обучение участников дорожного движения, не имеющих медицинского образования (спасатели, работники государственной инспекции безопасности дорожного движения и др.) основам первой медицинской и психологической помощи пострадавшим в условиях различных чрезвычайных ситуаций, в том числе дорожно-транспортных происшествий, и повышение квалификации среднего медицинского персонала.</t>
  </si>
  <si>
    <t>Количество человек, единиц</t>
  </si>
  <si>
    <t xml:space="preserve">областной бюджет </t>
  </si>
  <si>
    <t>Сумма затрат по цели 1 государственной программы</t>
  </si>
  <si>
    <t>2.1.1. Оснащение объектов транспортной инфраструктуры инженерно-техническими средствами транспортной безопасности</t>
  </si>
  <si>
    <t>Количество объектов, единиц</t>
  </si>
  <si>
    <t>2.1.1.2. Проведение мониторинга реализации требований транспортной безопасности на территории Новосибирской области</t>
  </si>
  <si>
    <t>Количество итоговых материалов, единиц</t>
  </si>
  <si>
    <t>Х</t>
  </si>
  <si>
    <t>Количество информационных материалов, единиц</t>
  </si>
  <si>
    <t>Итого затрат по цели 2 государственной программы</t>
  </si>
  <si>
    <t>Сумма затрат по государственной программе</t>
  </si>
  <si>
    <t>31.0.03.02630</t>
  </si>
  <si>
    <t>Код бюджетной классификации</t>
  </si>
  <si>
    <t>Таблица 3</t>
  </si>
  <si>
    <t>Сумма затрат всего, в том числе:</t>
  </si>
  <si>
    <t>07.0.02.24130</t>
  </si>
  <si>
    <t>07.0.03.24280</t>
  </si>
  <si>
    <t>07.0.03.45350</t>
  </si>
  <si>
    <t>09.</t>
  </si>
  <si>
    <t>04.</t>
  </si>
  <si>
    <t xml:space="preserve">федеральный бюджет </t>
  </si>
  <si>
    <t>(тыс.руб.)</t>
  </si>
  <si>
    <t>Минтранс Новосибирской области, ГКУ НСО ЦОДД во взаимодействии с ГУ МВД России по Новосибирской области, УГИБДД ГУ МВД России по Новосибирской области</t>
  </si>
  <si>
    <t>Цель 1. Сокращение уровня смертности и травматизма в результате дорожно-транспортных происшествий на автомобильных дорогах в Новосибирской области</t>
  </si>
  <si>
    <t>Задача 1.2. Совершенствование организации дорожного движения на автомобильных дорогах Новосибирской области</t>
  </si>
  <si>
    <t>Задача 1.3. Обучение навыкам оказания медицинской помощи пострадавшим при дорожно-транспортных происшествиях в целях снижения смертности в догоспитальном периоде.</t>
  </si>
  <si>
    <t>Цель 2. Повышение степени защищенности жизни и здоровья населения на транспорте от актов незаконного вмешательства, в том числе террористической направленности, а также от чрезвычайных ситуаций природного и техногенного характера</t>
  </si>
  <si>
    <t xml:space="preserve"> Задача 2.1. Оснащение средствами и системами обеспечения транспортной безопасности объектов транспортной инфраструктуры, транспортных средств и специалистов, отвечающих за безопасность на транспорте</t>
  </si>
  <si>
    <t>Итого затрат на решение задачи 3 цели 1 государственной программы</t>
  </si>
  <si>
    <t>Итого затрат на решение задачи 2 цели 1 государственной программы</t>
  </si>
  <si>
    <t>Итого затрат на решение задачи 1. цели 1 государственной программы</t>
  </si>
  <si>
    <t>Итого затрат на решение задачи 1. цели 2 государственной программы</t>
  </si>
  <si>
    <t>Задача 2.2. Повышение грамотности населения в области обеспечения безопасности населения на транспорте</t>
  </si>
  <si>
    <t>х</t>
  </si>
  <si>
    <t>Итого затрат на решение задачи 2. цели 2 государственной программы</t>
  </si>
  <si>
    <t>Количество видеороликов</t>
  </si>
  <si>
    <t>2.2.1.1. Информирование населения о мерах, направленных на обеспечение безопасности на транспорте, реализованных в рамках государственной программы</t>
  </si>
  <si>
    <t>07.0.03.S0420</t>
  </si>
  <si>
    <t>31.0.02.02620</t>
  </si>
  <si>
    <t>в том числе:</t>
  </si>
  <si>
    <t>Минтранс Новосибирской области, ГКУ НСО ТУАД, ГБУ НСО СМЭУ во взаимодействии с мэрией города Новосибирска,  ЗСЖД</t>
  </si>
  <si>
    <t>Минтранс Новосибирской области, ГКУ НСО ТУАД,  мэрия города Новосибирска</t>
  </si>
  <si>
    <t>Минтранс Новосибирской области, ГКУ НСО ТУАД во взаимодействии с ЗСЖД</t>
  </si>
  <si>
    <t>Минтранс Новосибирской области, мэрия города Новосибирска</t>
  </si>
  <si>
    <t>Минтранс Новосибирской области, Минздрав Новосибирской области, ГКУЗ НСО «Территориальный центр медицины катастроф Новосибирской области», ГАПОУ НСО «Новосибирский медицинский колледж»</t>
  </si>
  <si>
    <t xml:space="preserve">Применяемые сокращения:
ГАПОУ НСО «Новосибирский медицинский колледж» –государственное автономное профессиональное образовательное учреждение Новосибирской области «Новосибирский медицинский колледж»;
ГБУ ДО НСО  «Автомотоцентр» – государственное бюджетное образовательное учреждение дополнительного образования детей Новосибирской области «Областной центр детского (юношеского) технического творчества «Автомотоцентр»»;
ГБУ НСО СМЭУ – государственное бюджетное учреждение Новосибирской области «Специализированное монтажно-эксплуатационное учреждение»;
ГКУ НСО ЦОДД – государственное казенное учреждение Новосибирской области «Центр организации дорожного движения»;
ГКУ НСО ТУАД – государственное казенное учреждение Новосибирской области «Территориальное управление автомобильных дорог Новосибирской области»;
ГКУЗ НСО «Территориальный центр медицины катастроф Новосибирской области» – государственное казенное учреждение здравоохранения Новосибирской области «Территориальный центр медицины катастроф Новосибирской области»;
ГУ МВД России по Новосибирской области – Главное управление Министерства внутренних дел Российской Федерации по Новосибирской области;
ДТП – дорожно-транспортные происшествия;
ЗСЖД – Западно-Сибирская дирекция инфраструктуры - структурное подразделение Центральной дирекции инфраструктуры - филиала открытого акционерного общества «Российские железные дороги»;
ГУ МЧС России по Новосибирской области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Новосибирской области;
Минздрав Новосибирской области – министерство здравоохранения Новосибирской области;
Минобразования Новосибирской области – министерство образования Новосибирской области;
Минтранс Новосибирской области – министерство транспорта и дорожного хозяйства Новосибирской области;
УГИБДД ГУ МВД России по Новосибирской области – Управление государственной инспекции безопасности дорожного движения Главного управления Министерства внутренних дел Российской Федерации по Новосибирской области;
УТ МВД России по СФО – Управление на транспорте Министерства внутренних дел Российской Федерации
по Сибирскому федеральному округу;
УФСБ России по Новосибирской области – Управление Федеральной службы безопасности Российской Федерации по Новосибирской области.
</t>
  </si>
  <si>
    <t>Минтранс Новосибирской области, Управление информационных проектов Новосибирской области во взаимодействии с УТ МВД России по СФО, ГУ МВД России по Новосибирской области, УФСБ России по Новосибирской области, ГУ МЧС России по Новосибирской области</t>
  </si>
  <si>
    <t>Подробный перечень планируемых к реализации мероприятий государственной программы Новосибирской области
«Повышение безопасности дорожного движения на автомобильных дорогах и обеспечение безопасности населения на транспорте в Новосибирской области»                                                                                                                                                 на очередной 2020 год и плановый период 2021 и 2022 года</t>
  </si>
  <si>
    <t>Значение показателя на 2022 год</t>
  </si>
  <si>
    <t xml:space="preserve">1.1.1. Региональный проект «Безопасность дорожного движения (Новосибирская область)» </t>
  </si>
  <si>
    <t>31.0.R3.02610</t>
  </si>
  <si>
    <t>31.0.R3.02620</t>
  </si>
  <si>
    <t>31.0.R2.06360</t>
  </si>
  <si>
    <t>За период 2020-2022 годов будет размещено 12 информационных материалов, что позволит проинформировать население о проведенных в рамках государственной программы мерах по обеспечению безопасности на транспорте.</t>
  </si>
  <si>
    <t>Комплекс мероприятий</t>
  </si>
  <si>
    <t>ЦОДД</t>
  </si>
  <si>
    <t>ТУАД</t>
  </si>
  <si>
    <t>31.0.04.06330</t>
  </si>
  <si>
    <t>Минтранс Новосибирской области во взаимодействии с субъектами транспортной инфраструктуры, органами местного самоуправления, УТ МВД России по СФО, ГУ МВД России по Новосибирской области, мэрия города Новосибирска</t>
  </si>
  <si>
    <t>Минтранс Новосибирской области, Минобразования Новосибирской области, ГКУ НСО ТУАД, ГКУ НСО ТУАД во взаимодействии с ГУ МВД России по Новосибирской области, УГИБДД ГУ МВД России по Новосибирской области, ГБУ ДО НСО «АВТОМОТОЦЕНТР»</t>
  </si>
  <si>
    <t>За период 2020-2022 годов будут проведены мероприятия, направленные на повышение культуры поведения участников движения, способствующих снижению нарушений ПДД.</t>
  </si>
  <si>
    <t>Количество пунктов весового контроля</t>
  </si>
  <si>
    <t>1.1.2. Проведение мероприятий, направленных на повышение культуры поведения участников дорожного движения</t>
  </si>
  <si>
    <t xml:space="preserve">1.1.2.3. Публикация материалов по безопасности дорожного движения, профилактике детского дорожно-транспортного травматизма в средствах массовой информации </t>
  </si>
  <si>
    <t>За период 2020-2022 годов будет проведено не менее 183  мероприятий.</t>
  </si>
  <si>
    <t>Минтранс Новосибирской области, ГКУ НСО ЦОДД во взаимодействии с ЦАФАП ОДД ГИБДД ГУ МВД России по Новосибирской области, исполнители, привлекаемые в соответствии с законодательством</t>
  </si>
  <si>
    <t>08.</t>
  </si>
  <si>
    <t>В период 2020-2022 годов будет произведено 3 комплекса мероприятий, в результате которых общий объем пересылаемых почтовых отправлений об уплате штрафов за нарушение законодательства РФ в области дорожного движения составит по 1 850,0 тыс. единиц в год.</t>
  </si>
  <si>
    <t>К концу 2022 года количество проведенных массовых профилактических мероприятий в области безопасности дорожного движения с участием учащихся общеобразовательных учреждений составит не менее 6 мероприятий/год, в ходе которых будет охвачено не менее 10,0 тыс. учащихся.</t>
  </si>
  <si>
    <t>29.0.02.24140</t>
  </si>
  <si>
    <t>29.0.03.24220</t>
  </si>
  <si>
    <t>29.0.03.24230</t>
  </si>
  <si>
    <t>29.0.03.24240</t>
  </si>
  <si>
    <t>29.0.03.24210</t>
  </si>
  <si>
    <t>Количество телепередач, видеороликов, реклам</t>
  </si>
  <si>
    <t>Проведение массовых мероприятий, повышающих уровень осведомленности населения в области безопасности дорожного движения; оборудование площадок для работы пунктов весового контроля.</t>
  </si>
  <si>
    <t>1.1.2.6. Проведение мероприятий, направленных на создание условий, обеспечивающих неотвратимость наказания за нарушения правил дорожного движения РФ, оформление материалов (в том числе, материалов по рассмотрению жалоб на постановления по делам об административных правонарушениях и привлечении к административной ответственности лиц, уклоняющихся от уплаты назначенных им административных штрафов по таким правонарушениям, приобретение бумажной и иной печатной продукции для обеспечения оформления и отправки постановлений и материалов по делам об административных правонарушениях в области обеспечения безопасности дорожного движения) и рассылкой почтовых отправлений (в том числе международных) и СМС сообщений об уплате штрафов за нарушение законодательства в области дорожного движения, выявленные на территории Новосибирской области с помощью специальных технических средств фото- и видеофиксации, автоматических комплексов весового и габаритного контроля</t>
  </si>
  <si>
    <t>К концу 2022 года сеть автомобильных дорог в Новосибирской области будет обустроена элементами безопасности дорожного движения, обеспечивающими условия для безопасного движения автомобильного транспорта и пешеходов.</t>
  </si>
  <si>
    <t>За период 2020-2022 годов общее количество построенных/ реконструированных светофорных объектов будет составлять не менее 82 шт.</t>
  </si>
  <si>
    <t>В 2020 году будет оплачена кредиторская задолженность за выполненные работы в 2019 году.</t>
  </si>
  <si>
    <t>За период 2020-2022 годов общее количество построенных и обустроенных остановочных павильонов будет составлять не менее 30 шт.</t>
  </si>
  <si>
    <t>За период 2020-2022 годов общее количество приведенных в нормативное состояние подъездов к железнодорожным переездам будет составлять не менее 7.</t>
  </si>
  <si>
    <t>За период 2020-2022 годов будет произведено не менее 23,6 км поверхностной обработки проезжей части автомобильных дорог в Новосибирской области.</t>
  </si>
  <si>
    <t>За период 2020-2022 годов будут разработаны проекты организации дорожного движения на участке автомобильных дорог Новосибирской области протяженностью 9 000,0 км.</t>
  </si>
  <si>
    <t>За период 2020-2022 годов общая протяженность автомобильных дорог Новосибирской области с первичным нанесением дорожной разметки будет составлять не менее 14 118,0 км, при этом финансирование указано с учетом повторного нанесения.</t>
  </si>
  <si>
    <t>За период 2020-2022 годов общее количество построенных/замененных на автомобильных дорогах в Новосибирской области ограждений составит не менее 72,0 км.</t>
  </si>
  <si>
    <t>К концу 2022 года в рамках текущей деятельности пройдут обучение основам первой медицинской и психологической помощи пострадавшим в условиях различных чрезвычайных ситуаций, в том числе ДТП, участники дорожного движения, не имеющие медицинского образования, а также повысят квалификацию средний медицинский персонал, в общем количестве 1590 человек.</t>
  </si>
  <si>
    <t>Минтранс Новосибирской области во взаимодействии с Территориальными органами федеральных органов исполнительной власти в разрезе отраслей (Ространснадзор, Росжелдор, Росавтодор, Росавиация, Росморречфлот), органы местного самоуправления, УТ МВД России по СФО, ГУ МВД России по Новосибирской области</t>
  </si>
  <si>
    <t>2.2.1. Обеспечение проведения тематических информационно-пропагандистких мероприятий по вопросам обеспечения транспортной безопасности населения Новосибирской области</t>
  </si>
  <si>
    <r>
      <t xml:space="preserve">Значение показателя на очередной финансовый                </t>
    </r>
    <r>
      <rPr>
        <b/>
        <u/>
        <sz val="8"/>
        <color rgb="FF000000"/>
        <rFont val="Times New Roman"/>
        <family val="1"/>
        <charset val="204"/>
      </rPr>
      <t>2020</t>
    </r>
    <r>
      <rPr>
        <b/>
        <sz val="8"/>
        <color rgb="FF000000"/>
        <rFont val="Times New Roman"/>
        <family val="1"/>
        <charset val="204"/>
      </rPr>
      <t xml:space="preserve"> год (поквартально)</t>
    </r>
  </si>
  <si>
    <t>налоговые расходы</t>
  </si>
  <si>
    <t>1.1.2.1. Проведение лекций, семинаров, бесед с участниками дорожного движения</t>
  </si>
  <si>
    <t>1.1.2.2. Проведение круглых столов, конференций, встреч с участниками дорожного движения, курсантами автошкол, водителями автопредприятий с показом киновидеопродукции по безопасности дорожного движения</t>
  </si>
  <si>
    <t>За период 2020-2022 годов будет проведено не менее 84,0 тыс. мероприятий.</t>
  </si>
  <si>
    <t>За период 2020-2022 годов будет проведено не менее 1 200 мероприятий.</t>
  </si>
  <si>
    <t>За период 2020-2022 годов будет произведено не менее 24,0 тыс. публикаций статистических и информационных данных.</t>
  </si>
  <si>
    <t>Приложение 1 к приказу</t>
  </si>
  <si>
    <t>Минтранса Новосибирской области</t>
  </si>
  <si>
    <t xml:space="preserve">от             №    </t>
  </si>
  <si>
    <t xml:space="preserve"> Задача 1.1. Развитие комплексной системы профилактики и предупреждения опасного поведения участников дорожного движения.</t>
  </si>
  <si>
    <t>В период 2020-2022 годов будут произведены 3 видеоролика по теме функционирования системы автоматического контроля и выявления нарушений правил дорожного движения на автомобильных дорогах на территории Новосибирской области, c охватом аудитории не менее 1 тыс. человек ежегодно.</t>
  </si>
  <si>
    <t>В 2020 году будет произведено не менее 12 телепередач с охватом аудитории не менее 1 500 тыс. человек, реализовано 9 социальных реклам с охватом аудитории не менее 40 000 тыс. человек с учетом повторного информирования.
За период 2021-2022 годов будет произведено не менее 24 телепередач и 2 видеороликов по профилактике ДТП с охватом аудитории не менее 1 500 тыс. человек ежегодно.</t>
  </si>
  <si>
    <t>1.1.2.5. Производство короткометражных социальных фильмов, видео-, аудиороликов по профилактике ДТП</t>
  </si>
  <si>
    <t>1.1.2.4. Проведение комплекса рейдовых и пропагандистских мероприятий по профилактике правонарушений участниками дорожного движения: «Вежливый водитель», «Нетрезвый водитель», «Пешеходный переход», «Ремень безопасности», «Дети на дороге», «Стань заметный», «Внимание-каникулы!», «Внимание-камера!», «Детское кресло», «Трасса»</t>
  </si>
  <si>
    <t>Оборудование автомобильных дорог регионального и межмуниципального значения  площадками для работы пунктов весового контроля, системами динамического контроля массы движущихся транспортных средств.</t>
  </si>
  <si>
    <t>За период 2020-2022 годов на автомобильных дорогах регионального и межмуниципального значения будут оборудованы не менее 11 ед. площадок для работы пунктов весового контроля, систем динамического контроля массы движущихся транспортных средств.</t>
  </si>
  <si>
    <t>Повышение уровня обеспеченности транспортной безопасности на объектах транспортной инфраструктуры посредством оснащения техническими средствами, которое будет использоваться при проведении досмотра пассажиров и багажа подразделениями транспортной безопасности.</t>
  </si>
  <si>
    <t>За период 2020-2022 годов будет сформировано 6 итоговых материалов, на основании которых планируется принятие мер по реализации действующего законодательства РФ в области обеспечения транспортной безопасности.</t>
  </si>
  <si>
    <t>Повышение уровня информированности населения в вопросах антитеррористической защищенности, предупреждения и ликвидации ЧС на транспорте.</t>
  </si>
  <si>
    <t>За период 2020-2022 годов общее количество установленных/замененных дорожных знаков будет составлять 15 417 шт. В 2020 году 27 пешеходных переходов, прилегающих к общеобразовательным организациям, будет оборудовано в соответствии с национальными стандартами.</t>
  </si>
  <si>
    <t>За период 2020-2022 годов общее количество установленных/замененных дорожных знаков будет составлять 15 417 шт. В 2020 году 27 пешеходных переходов, прилегающих к общеобразовательным организациям, будет оборудовано в соответствии с национальными стандартами. В том числе будет оплачена кредиторская задолженность по выполненным в 2019 году работам.</t>
  </si>
  <si>
    <t>+0,4</t>
  </si>
  <si>
    <t>+1600</t>
  </si>
  <si>
    <t>-1600</t>
  </si>
  <si>
    <t>1.2.1. Обустройство автомобильных дорог и обеспечение условий для безопасного дорожного движения на территории Новосибирской области в соответствии с требованиями действующих отраслевых нормативов</t>
  </si>
  <si>
    <t>1.2.1.2. Совершенствование систем маршрутного ориентирования участников дорожного движения (в том числе установка и замена дорожных знаков), в том числе проектно-изыскательские работы</t>
  </si>
  <si>
    <t>1.2.1.2.1. Оплата кредиторской задолженности за работы, выполненные в 2019 году</t>
  </si>
  <si>
    <t>1.2.1.2.2. Совершенствование систем маршрутного ориентирования участников дорожного движения (в том числе установка и замена дорожных знаков), в том числе проектно-изыскательские работы</t>
  </si>
  <si>
    <r>
      <t xml:space="preserve">1.2.1.3. </t>
    </r>
    <r>
      <rPr>
        <sz val="8"/>
        <color theme="1"/>
        <rFont val="Times New Roman"/>
        <family val="1"/>
        <charset val="204"/>
      </rPr>
      <t>Строительство тротуаров в рамках реконструкции участка автодороги, устройство недостающих тротуаров в рамках капитального ремонта участка автодороги, в том числе проектно-изыскательские работы</t>
    </r>
  </si>
  <si>
    <r>
      <t xml:space="preserve">1.2.1.4. </t>
    </r>
    <r>
      <rPr>
        <sz val="8"/>
        <color theme="1"/>
        <rFont val="Times New Roman"/>
        <family val="1"/>
        <charset val="204"/>
      </rPr>
      <t>Строительство остановочных пунктов в рамках реконструкции участка автодороги, обустройство остановочных пунктов, устройство недостающих остановочных пунктов в рамках капитального ремонта участка автодороги, в том числе проектно-изыскательские работы</t>
    </r>
  </si>
  <si>
    <t>1.2.1.5. Строительство переходно-скоростных полос разгона и торможения, пересечений и примыканий в одном уровне, в том числе проектно-изыскательские работы</t>
  </si>
  <si>
    <t>1.2.1.6. Приведение в нормативное состояние железнодорожных переездов и подъездов к ним, в том числе проектно-изыскательские работы</t>
  </si>
  <si>
    <t>1.2.1.7. Повышение сцепных качеств дорожного покрытия</t>
  </si>
  <si>
    <t>1.2.1.8. Разработка проектов организации движения</t>
  </si>
  <si>
    <t>1.2.1.10. Разметка автомобильных дорог в рамках содержания, в том числе приемочный контроль</t>
  </si>
  <si>
    <t>1.2.1.11. Устройство новых и замена несоответствующих ГОСТу барьерных, осевых и пешеходных ограждений, в том числе проектно‑изыскательские работы</t>
  </si>
  <si>
    <t>1.2.1.12. Обеспечение сохранности автомобильных дорог в рамках капитального ремонта, в том числе устройство и совершенствование площадок для работы пунктов весового контроля, устройство системы динамического контроля массы движущихся транспортных средств и проектно-изыскательские работы</t>
  </si>
  <si>
    <t xml:space="preserve">1.2.2. Региональный проект «Общесистемные меры развития дорожного хозяйства (Новосибирская область)» </t>
  </si>
  <si>
    <t>1.2.2.1. Обеспечение сохранности автомобильных дорог в рамках капитального ремонта, в том числе устройство и совершенствование площадок для работы пунктов весового контроля, устройство системы динамического контроля массы движущихся транспортных средств</t>
  </si>
  <si>
    <t>За период 2020-2022 годов планируется оборудовать площадки для работы пунктов весового контроля в количестве 11 единиц (физ.объемы указаны в мероприятии 1.2.2.1.).</t>
  </si>
  <si>
    <t>2.1.1.3. Оснащение объектов транспортной инфраструктуры средствами и системами обеспечения транспортной безопасности.</t>
  </si>
  <si>
    <t>2.1.1.1. Оснащение объектов АО «Экспресс-Пригород» средствами и системами обеспечения транспортной безопасности.</t>
  </si>
  <si>
    <t>Минтранс Новосибирской области, АО «Экспресс-Пригород»</t>
  </si>
  <si>
    <t>В 2022 году АО "Экспресс-пригород" планируется закупка и установка на пригородном вокзале станции Новосибирск-Главный средств и систем обеспечения транспортной безопасности. Финансирование за счет средств внебюджетных источников будет указано после уточнения стоимости.
В 2020-2021 годах выполнение работ не предусмотрено.</t>
  </si>
  <si>
    <t>1.2.1.1. Строительство и реконструкция светофорных объектов (светофоров), оснащение действующих светодиодными линзами, детекторами, контроллерами и звуком, в том числе проектно-изыскательские работы</t>
  </si>
  <si>
    <t>В 2020 и 2022 году общая протяженность устроенных переходно-скоростных полос, обустроенных пересечений и примыканий будет составлять              1,2 км. В 2021 году сумма затрат предусмотрена на проектно-изыскательские работы.</t>
  </si>
  <si>
    <t>Протяженность, км</t>
  </si>
  <si>
    <t>За период 2020-2022 годов общая протяженность построенных тротуаров будет составлять не менее 47,5 км.</t>
  </si>
  <si>
    <t>За период 2020-2022 годов будут оборудованы искусственным освещением места концентрации ДТП в населенных пунктах с транзитным движением автотранспорта на участках общей протяженностью не менее 41 км.</t>
  </si>
  <si>
    <t>В соответствии с распоряжением Правительства РФ от 04.07.2019 № 1460-р в период 2020-2021 годов средствами и системами обеспечения транспортной безопасности будет оснащено 14 объектов Новосибирского метрополитена (метромост на перегоне между станцией метро «Речной вокзал» и станцией метро «Студенческая»; станции метро «Заельцовская», «Гагаринская», «Красный проспект», «Сибирская», «Площадь Ленина», «Октябрьская», «Речной вокзал», «Студенческая», «Площадь Маркса», «Площадь Гарина-Михайловского», «Маршала Покрышкина», «Березовая роща»,  «Золотая Нива») с завершением работ на всех объектах в 2021 году. В 2020 году будут проведены конкурсные процедуры на препроектные изыскания и проектирование оснащения объектов метрополитена, проведено оснащение 1 объекта метрополитена инженерно-техническими средствами обеспечения транспортной безопасности. В 2022 году выполнение работ не предусмотрено.</t>
  </si>
  <si>
    <t>-</t>
  </si>
  <si>
    <t>1.1.1.1. Проведение массовых мероприятий с детьми: конкурсов «Безопасное колесо», «Зеленая волна», «Телерадиопрограмм по безопасности дорожного движения», профильных смен «Юные инспектора движения», социальной акции «Домой в автолюльке» (приуроченная ко Дню защиты детей)</t>
  </si>
  <si>
    <t>1.1.1.2. Производство и размещение регулярной телепрограммы по безопасности дорожного движения, производство короткометражных социальных фильмов, видео-, аудиороликов по профилактике ДТП, разработка коммуникационного фирменного стиля «Дизайн-код в сфере безопасности дорожного движения», изготовление и размещение стендов наружной рекламы, полиграфической продукции по безопасности дорожного движения</t>
  </si>
  <si>
    <r>
      <t>1.2.1.9. Строительство искусственного</t>
    </r>
    <r>
      <rPr>
        <sz val="8"/>
        <color theme="1"/>
        <rFont val="Times New Roman"/>
        <family val="1"/>
        <charset val="204"/>
      </rPr>
      <t xml:space="preserve"> освещения в рамках реконструкции участков автодорог, устройство недостающего освещения в рамках капитального ремонта участков автодорог, в том числе проектно-изыскательские работы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</si>
</sst>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_-* #,##0.0\ _₽_-;\-* #,##0.0\ _₽_-;_-* &quot;-&quot;?\ _₽_-;_-@_-"/>
    <numFmt numFmtId="166" formatCode="#,##0.0"/>
    <numFmt numFmtId="167" formatCode="_-* #,##0\ _₽_-;\-* #,##0\ _₽_-;_-* &quot;-&quot;?\ _₽_-;_-@_-"/>
    <numFmt numFmtId="168" formatCode="0.0"/>
    <numFmt numFmtId="169" formatCode="_-* #,##0.00\ _₽_-;\-* #,##0.00\ _₽_-;_-* &quot;-&quot;?\ _₽_-;_-@_-"/>
  </numFmts>
  <fonts count="18" x14ac:knownFonts="1">
    <font>
      <sz val="11"/>
      <color theme="1"/>
      <name val="Calibri"/>
      <family val="2"/>
      <charset val="204"/>
      <scheme val="minor"/>
    </font>
    <font>
      <sz val="8"/>
      <color rgb="FF000000"/>
      <name val="Times New Roman"/>
      <family val="1"/>
      <charset val="204"/>
    </font>
    <font>
      <sz val="8"/>
      <color theme="1"/>
      <name val="Times New Roman"/>
      <family val="1"/>
      <charset val="204"/>
    </font>
    <font>
      <b/>
      <sz val="8"/>
      <color rgb="FF000000"/>
      <name val="Times New Roman"/>
      <family val="1"/>
      <charset val="204"/>
    </font>
    <font>
      <b/>
      <sz val="7.5"/>
      <color rgb="FF000000"/>
      <name val="Times New Roman"/>
      <family val="1"/>
      <charset val="204"/>
    </font>
    <font>
      <b/>
      <u/>
      <sz val="8"/>
      <color rgb="FF000000"/>
      <name val="Times New Roman"/>
      <family val="1"/>
      <charset val="204"/>
    </font>
    <font>
      <sz val="10"/>
      <color theme="1"/>
      <name val="Times New Roman"/>
      <family val="1"/>
      <charset val="204"/>
    </font>
    <font>
      <sz val="11"/>
      <color theme="1"/>
      <name val="Times New Roman"/>
      <family val="1"/>
      <charset val="204"/>
    </font>
    <font>
      <b/>
      <sz val="10"/>
      <color theme="1"/>
      <name val="Times New Roman"/>
      <family val="1"/>
      <charset val="204"/>
    </font>
    <font>
      <b/>
      <sz val="8"/>
      <color theme="1"/>
      <name val="Times New Roman"/>
      <family val="1"/>
      <charset val="204"/>
    </font>
    <font>
      <sz val="14"/>
      <color rgb="FF000000"/>
      <name val="Times New Roman"/>
      <family val="1"/>
      <charset val="204"/>
    </font>
    <font>
      <sz val="9"/>
      <color theme="1"/>
      <name val="Times New Roman"/>
      <family val="1"/>
      <charset val="204"/>
    </font>
    <font>
      <sz val="8"/>
      <name val="Times New Roman"/>
      <family val="1"/>
      <charset val="204"/>
    </font>
    <font>
      <sz val="10"/>
      <name val="Times New Roman"/>
      <family val="1"/>
      <charset val="204"/>
    </font>
    <font>
      <sz val="9"/>
      <color indexed="81"/>
      <name val="Tahoma"/>
      <family val="2"/>
      <charset val="204"/>
    </font>
    <font>
      <b/>
      <sz val="9"/>
      <color indexed="81"/>
      <name val="Tahoma"/>
      <family val="2"/>
      <charset val="204"/>
    </font>
    <font>
      <b/>
      <i/>
      <sz val="8"/>
      <color theme="1"/>
      <name val="Times New Roman"/>
      <family val="1"/>
      <charset val="204"/>
    </font>
    <font>
      <i/>
      <sz val="8"/>
      <color theme="1"/>
      <name val="Times New Roman"/>
      <family val="1"/>
      <charset val="204"/>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211">
    <xf numFmtId="0" fontId="0" fillId="0" borderId="0" xfId="0"/>
    <xf numFmtId="165" fontId="1" fillId="0" borderId="1" xfId="0" applyNumberFormat="1" applyFont="1" applyFill="1" applyBorder="1" applyAlignment="1">
      <alignment horizontal="center" vertical="center"/>
    </xf>
    <xf numFmtId="0" fontId="7" fillId="0" borderId="0" xfId="0" applyFont="1" applyFill="1"/>
    <xf numFmtId="0" fontId="1" fillId="0" borderId="1" xfId="0" applyFont="1" applyFill="1" applyBorder="1" applyAlignment="1">
      <alignment vertical="center"/>
    </xf>
    <xf numFmtId="0" fontId="10" fillId="0" borderId="0" xfId="0" applyFont="1" applyFill="1" applyAlignment="1"/>
    <xf numFmtId="0" fontId="7" fillId="0" borderId="0" xfId="0" applyFont="1" applyFill="1" applyAlignment="1">
      <alignment horizontal="center"/>
    </xf>
    <xf numFmtId="0" fontId="10" fillId="0" borderId="0" xfId="0" applyFont="1" applyFill="1" applyAlignment="1">
      <alignment horizontal="center"/>
    </xf>
    <xf numFmtId="0" fontId="2" fillId="0" borderId="1" xfId="0" applyFont="1" applyFill="1" applyBorder="1" applyAlignment="1">
      <alignment vertical="center"/>
    </xf>
    <xf numFmtId="165" fontId="1" fillId="0" borderId="10" xfId="0" applyNumberFormat="1" applyFont="1" applyFill="1" applyBorder="1" applyAlignment="1">
      <alignment horizontal="center" vertical="center"/>
    </xf>
    <xf numFmtId="165" fontId="1" fillId="0" borderId="1" xfId="0" applyNumberFormat="1" applyFont="1" applyFill="1" applyBorder="1" applyAlignment="1">
      <alignment horizontal="center" vertical="center" wrapText="1"/>
    </xf>
    <xf numFmtId="0" fontId="7" fillId="0" borderId="0" xfId="0" applyFont="1" applyFill="1" applyBorder="1" applyAlignment="1">
      <alignment horizontal="center"/>
    </xf>
    <xf numFmtId="0" fontId="7" fillId="0" borderId="0" xfId="0" applyFont="1" applyFill="1" applyBorder="1"/>
    <xf numFmtId="0" fontId="11" fillId="0" borderId="0" xfId="0" applyFont="1" applyFill="1" applyBorder="1"/>
    <xf numFmtId="165" fontId="2" fillId="0" borderId="30" xfId="0" applyNumberFormat="1" applyFont="1" applyFill="1" applyBorder="1"/>
    <xf numFmtId="165" fontId="9" fillId="0" borderId="33" xfId="0" applyNumberFormat="1" applyFont="1" applyFill="1" applyBorder="1" applyAlignment="1">
      <alignment horizontal="center"/>
    </xf>
    <xf numFmtId="165" fontId="9" fillId="0" borderId="32" xfId="0" applyNumberFormat="1" applyFont="1" applyFill="1" applyBorder="1" applyAlignment="1">
      <alignment horizontal="center"/>
    </xf>
    <xf numFmtId="165" fontId="9" fillId="0" borderId="35" xfId="0" applyNumberFormat="1" applyFont="1" applyFill="1" applyBorder="1" applyAlignment="1">
      <alignment horizontal="center"/>
    </xf>
    <xf numFmtId="165" fontId="16" fillId="0" borderId="0" xfId="0" applyNumberFormat="1" applyFont="1" applyFill="1" applyBorder="1"/>
    <xf numFmtId="165" fontId="17" fillId="0" borderId="0" xfId="0" applyNumberFormat="1" applyFont="1" applyFill="1" applyBorder="1"/>
    <xf numFmtId="165" fontId="2" fillId="0" borderId="37" xfId="0" applyNumberFormat="1" applyFont="1" applyFill="1" applyBorder="1"/>
    <xf numFmtId="165" fontId="2" fillId="0" borderId="36" xfId="0" applyNumberFormat="1" applyFont="1" applyFill="1" applyBorder="1" applyAlignment="1">
      <alignment horizontal="center"/>
    </xf>
    <xf numFmtId="165" fontId="2" fillId="0" borderId="32" xfId="0" applyNumberFormat="1" applyFont="1" applyFill="1" applyBorder="1"/>
    <xf numFmtId="165" fontId="2" fillId="0" borderId="3" xfId="0" applyNumberFormat="1" applyFont="1" applyFill="1" applyBorder="1" applyAlignment="1">
      <alignment horizontal="center"/>
    </xf>
    <xf numFmtId="165" fontId="2" fillId="0" borderId="38" xfId="0" applyNumberFormat="1" applyFont="1" applyFill="1" applyBorder="1" applyAlignment="1">
      <alignment horizontal="center"/>
    </xf>
    <xf numFmtId="165" fontId="2" fillId="0" borderId="6" xfId="0" applyNumberFormat="1" applyFont="1" applyFill="1" applyBorder="1"/>
    <xf numFmtId="165" fontId="2" fillId="0" borderId="39" xfId="0" applyNumberFormat="1" applyFont="1" applyFill="1" applyBorder="1"/>
    <xf numFmtId="165" fontId="2" fillId="0" borderId="8" xfId="0" applyNumberFormat="1" applyFont="1" applyFill="1" applyBorder="1"/>
    <xf numFmtId="165" fontId="2" fillId="0" borderId="40" xfId="0" applyNumberFormat="1" applyFont="1" applyFill="1" applyBorder="1"/>
    <xf numFmtId="165" fontId="2" fillId="0" borderId="21" xfId="0" applyNumberFormat="1" applyFont="1" applyFill="1" applyBorder="1"/>
    <xf numFmtId="165" fontId="2" fillId="0" borderId="36" xfId="0" applyNumberFormat="1" applyFont="1" applyFill="1" applyBorder="1"/>
    <xf numFmtId="165" fontId="2" fillId="0" borderId="4" xfId="0" applyNumberFormat="1" applyFont="1" applyFill="1" applyBorder="1"/>
    <xf numFmtId="165" fontId="2" fillId="0" borderId="9" xfId="0" applyNumberFormat="1" applyFont="1" applyFill="1" applyBorder="1"/>
    <xf numFmtId="0" fontId="11" fillId="0" borderId="36" xfId="0" applyFont="1" applyFill="1" applyBorder="1"/>
    <xf numFmtId="0" fontId="11" fillId="0" borderId="37" xfId="0" applyFont="1" applyFill="1" applyBorder="1"/>
    <xf numFmtId="165" fontId="2" fillId="0" borderId="0" xfId="0" applyNumberFormat="1" applyFont="1" applyFill="1"/>
    <xf numFmtId="0" fontId="2" fillId="0" borderId="3" xfId="0" applyFont="1" applyFill="1" applyBorder="1" applyAlignment="1">
      <alignment horizontal="center"/>
    </xf>
    <xf numFmtId="0" fontId="2" fillId="0" borderId="11" xfId="0" applyFont="1" applyFill="1" applyBorder="1" applyAlignment="1">
      <alignment horizontal="center"/>
    </xf>
    <xf numFmtId="0" fontId="2" fillId="0" borderId="6" xfId="0" applyFont="1" applyFill="1" applyBorder="1" applyAlignment="1">
      <alignment horizontal="center"/>
    </xf>
    <xf numFmtId="0" fontId="2" fillId="0" borderId="10" xfId="0" applyFont="1" applyFill="1" applyBorder="1" applyAlignment="1">
      <alignment horizontal="center"/>
    </xf>
    <xf numFmtId="0" fontId="2" fillId="0" borderId="34" xfId="0" applyFont="1" applyFill="1" applyBorder="1" applyAlignment="1">
      <alignment horizontal="center"/>
    </xf>
    <xf numFmtId="165" fontId="2" fillId="0" borderId="16" xfId="0" applyNumberFormat="1" applyFont="1" applyFill="1" applyBorder="1"/>
    <xf numFmtId="165" fontId="2" fillId="0" borderId="19" xfId="0" applyNumberFormat="1" applyFont="1" applyFill="1" applyBorder="1"/>
    <xf numFmtId="165" fontId="2" fillId="0" borderId="16" xfId="0" applyNumberFormat="1" applyFont="1" applyFill="1" applyBorder="1" applyAlignment="1">
      <alignment horizontal="center"/>
    </xf>
    <xf numFmtId="165" fontId="2" fillId="0" borderId="17" xfId="0" applyNumberFormat="1" applyFont="1" applyFill="1" applyBorder="1"/>
    <xf numFmtId="165" fontId="2" fillId="0" borderId="4" xfId="0" applyNumberFormat="1" applyFont="1" applyFill="1" applyBorder="1" applyAlignment="1">
      <alignment horizontal="center"/>
    </xf>
    <xf numFmtId="0" fontId="7" fillId="0" borderId="0" xfId="0" applyFont="1" applyFill="1" applyAlignment="1">
      <alignment horizontal="right" vertical="center"/>
    </xf>
    <xf numFmtId="0" fontId="6" fillId="0" borderId="0" xfId="0" applyFont="1" applyFill="1" applyBorder="1" applyAlignment="1">
      <alignment horizontal="right" wrapText="1"/>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2" fillId="0" borderId="4" xfId="0" applyFont="1" applyFill="1" applyBorder="1" applyAlignment="1">
      <alignment vertical="center"/>
    </xf>
    <xf numFmtId="165" fontId="2" fillId="0" borderId="4" xfId="0" applyNumberFormat="1" applyFont="1" applyFill="1" applyBorder="1" applyAlignment="1">
      <alignment horizontal="center" vertical="center"/>
    </xf>
    <xf numFmtId="165" fontId="2" fillId="0" borderId="4" xfId="0" applyNumberFormat="1" applyFont="1" applyFill="1" applyBorder="1" applyAlignment="1">
      <alignment vertical="center"/>
    </xf>
    <xf numFmtId="165" fontId="2" fillId="0" borderId="11" xfId="0" applyNumberFormat="1" applyFont="1" applyFill="1" applyBorder="1" applyAlignment="1">
      <alignment horizontal="center" vertical="center"/>
    </xf>
    <xf numFmtId="165"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65" fontId="2" fillId="0" borderId="1" xfId="0" applyNumberFormat="1" applyFont="1" applyFill="1" applyBorder="1" applyAlignment="1">
      <alignment vertical="center"/>
    </xf>
    <xf numFmtId="0" fontId="1" fillId="0" borderId="1" xfId="0" applyFont="1" applyFill="1" applyBorder="1" applyAlignment="1">
      <alignment horizontal="center" vertical="center"/>
    </xf>
    <xf numFmtId="0" fontId="2" fillId="0" borderId="2" xfId="0" applyFont="1" applyFill="1" applyBorder="1" applyAlignment="1">
      <alignment vertical="center"/>
    </xf>
    <xf numFmtId="165" fontId="2" fillId="0" borderId="2" xfId="0" applyNumberFormat="1" applyFont="1" applyFill="1" applyBorder="1" applyAlignment="1">
      <alignment vertical="center"/>
    </xf>
    <xf numFmtId="165"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6" fillId="0" borderId="1" xfId="0" applyFont="1" applyFill="1" applyBorder="1" applyAlignment="1">
      <alignment horizontal="right" vertical="center"/>
    </xf>
    <xf numFmtId="0" fontId="1" fillId="0" borderId="1" xfId="0" applyFont="1" applyFill="1" applyBorder="1" applyAlignment="1">
      <alignment horizontal="right" vertical="center"/>
    </xf>
    <xf numFmtId="165" fontId="1" fillId="0" borderId="1" xfId="0" applyNumberFormat="1" applyFont="1" applyFill="1" applyBorder="1" applyAlignment="1">
      <alignment horizontal="right" vertical="center"/>
    </xf>
    <xf numFmtId="165" fontId="6" fillId="0" borderId="1" xfId="0" applyNumberFormat="1" applyFont="1" applyFill="1" applyBorder="1" applyAlignment="1">
      <alignment horizontal="right" vertical="center"/>
    </xf>
    <xf numFmtId="0" fontId="1" fillId="0" borderId="2" xfId="0" applyFont="1" applyFill="1" applyBorder="1" applyAlignment="1">
      <alignment vertical="center" wrapText="1"/>
    </xf>
    <xf numFmtId="0" fontId="1" fillId="0" borderId="30" xfId="0" applyFont="1" applyFill="1" applyBorder="1" applyAlignment="1">
      <alignment horizontal="center" vertical="center"/>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31" xfId="0" applyFont="1" applyFill="1" applyBorder="1" applyAlignment="1">
      <alignment horizontal="center" vertical="center"/>
    </xf>
    <xf numFmtId="0" fontId="1" fillId="0" borderId="2" xfId="0" applyFont="1" applyFill="1" applyBorder="1" applyAlignment="1">
      <alignment horizontal="center" vertical="center"/>
    </xf>
    <xf numFmtId="165" fontId="1" fillId="0" borderId="2" xfId="0" applyNumberFormat="1" applyFont="1" applyFill="1" applyBorder="1" applyAlignment="1">
      <alignment horizontal="center" vertical="center"/>
    </xf>
    <xf numFmtId="165" fontId="6" fillId="0" borderId="1" xfId="0" applyNumberFormat="1" applyFont="1" applyFill="1" applyBorder="1" applyAlignment="1">
      <alignment vertical="center"/>
    </xf>
    <xf numFmtId="165" fontId="12" fillId="0" borderId="1" xfId="0" applyNumberFormat="1" applyFont="1" applyFill="1" applyBorder="1" applyAlignment="1">
      <alignment horizontal="center" vertical="center"/>
    </xf>
    <xf numFmtId="165" fontId="13" fillId="0" borderId="1" xfId="0" applyNumberFormat="1" applyFont="1" applyFill="1" applyBorder="1" applyAlignment="1">
      <alignment vertical="center"/>
    </xf>
    <xf numFmtId="166" fontId="1"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65" fontId="2" fillId="0" borderId="1" xfId="0" applyNumberFormat="1" applyFont="1" applyFill="1" applyBorder="1" applyAlignment="1">
      <alignment vertical="center" wrapText="1"/>
    </xf>
    <xf numFmtId="165" fontId="2" fillId="0" borderId="10" xfId="0" applyNumberFormat="1" applyFont="1" applyFill="1" applyBorder="1" applyAlignment="1">
      <alignment vertical="center" wrapText="1"/>
    </xf>
    <xf numFmtId="165" fontId="2" fillId="0" borderId="1"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0" fontId="9" fillId="0" borderId="4" xfId="0" applyFont="1" applyFill="1" applyBorder="1" applyAlignment="1">
      <alignment vertical="center"/>
    </xf>
    <xf numFmtId="165" fontId="3" fillId="0" borderId="4" xfId="0" applyNumberFormat="1" applyFont="1" applyFill="1" applyBorder="1" applyAlignment="1">
      <alignment horizontal="center" vertical="center"/>
    </xf>
    <xf numFmtId="0" fontId="9" fillId="0" borderId="1" xfId="0" applyFont="1" applyFill="1" applyBorder="1" applyAlignment="1">
      <alignment vertical="center"/>
    </xf>
    <xf numFmtId="0" fontId="3" fillId="0" borderId="9" xfId="0" applyFont="1" applyFill="1" applyBorder="1" applyAlignment="1">
      <alignment horizontal="left" vertical="center" wrapText="1"/>
    </xf>
    <xf numFmtId="165" fontId="3" fillId="0" borderId="9" xfId="0" applyNumberFormat="1" applyFont="1" applyFill="1" applyBorder="1" applyAlignment="1">
      <alignment horizontal="center" vertical="center"/>
    </xf>
    <xf numFmtId="0" fontId="7" fillId="0" borderId="0" xfId="0" applyFont="1" applyFill="1" applyBorder="1" applyAlignment="1">
      <alignment horizontal="center" wrapText="1"/>
    </xf>
    <xf numFmtId="0" fontId="1" fillId="0" borderId="2"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8" fillId="0" borderId="1" xfId="0" applyFont="1" applyFill="1" applyBorder="1" applyAlignment="1">
      <alignment vertical="center"/>
    </xf>
    <xf numFmtId="0" fontId="6" fillId="0" borderId="1" xfId="0" applyFont="1" applyFill="1" applyBorder="1" applyAlignment="1">
      <alignment vertical="center"/>
    </xf>
    <xf numFmtId="0" fontId="1" fillId="0" borderId="1" xfId="0" applyFont="1" applyFill="1" applyBorder="1" applyAlignment="1">
      <alignment vertical="center" wrapText="1"/>
    </xf>
    <xf numFmtId="0" fontId="3" fillId="0" borderId="1" xfId="0" applyFont="1" applyFill="1" applyBorder="1" applyAlignment="1">
      <alignment horizontal="center" vertical="center" wrapText="1"/>
    </xf>
    <xf numFmtId="167" fontId="1" fillId="0" borderId="1" xfId="0" applyNumberFormat="1" applyFont="1" applyFill="1" applyBorder="1" applyAlignment="1">
      <alignment horizontal="right" vertical="center"/>
    </xf>
    <xf numFmtId="0" fontId="2" fillId="0" borderId="2" xfId="0" applyFont="1" applyFill="1" applyBorder="1" applyAlignment="1">
      <alignment horizontal="left" vertical="center" wrapText="1"/>
    </xf>
    <xf numFmtId="0" fontId="8" fillId="0" borderId="4" xfId="0" applyFont="1" applyFill="1" applyBorder="1" applyAlignment="1">
      <alignment vertical="center"/>
    </xf>
    <xf numFmtId="0" fontId="8" fillId="0" borderId="9" xfId="0" applyFont="1" applyFill="1" applyBorder="1" applyAlignment="1">
      <alignment vertical="center"/>
    </xf>
    <xf numFmtId="0" fontId="3" fillId="0" borderId="50" xfId="0" applyFont="1" applyFill="1" applyBorder="1" applyAlignment="1">
      <alignment horizontal="left" vertical="center" wrapText="1"/>
    </xf>
    <xf numFmtId="0" fontId="9" fillId="0" borderId="50" xfId="0" applyFont="1" applyFill="1" applyBorder="1" applyAlignment="1">
      <alignment vertical="center"/>
    </xf>
    <xf numFmtId="165" fontId="3" fillId="0" borderId="50"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1" xfId="0" applyFont="1" applyFill="1" applyBorder="1" applyAlignment="1">
      <alignment horizontal="left" vertical="center" wrapText="1"/>
    </xf>
    <xf numFmtId="49" fontId="7" fillId="0" borderId="0" xfId="0" applyNumberFormat="1" applyFont="1" applyFill="1" applyAlignment="1">
      <alignment horizontal="center"/>
    </xf>
    <xf numFmtId="0" fontId="1" fillId="0" borderId="2" xfId="0" applyFont="1" applyFill="1" applyBorder="1" applyAlignment="1">
      <alignment horizontal="left" vertical="center" wrapText="1"/>
    </xf>
    <xf numFmtId="0" fontId="1" fillId="0" borderId="1" xfId="0" applyFont="1" applyFill="1" applyBorder="1" applyAlignment="1">
      <alignment horizontal="left" vertical="center" wrapText="1"/>
    </xf>
    <xf numFmtId="168" fontId="1" fillId="0"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165" fontId="6"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left" vertical="center"/>
    </xf>
    <xf numFmtId="169" fontId="2" fillId="0" borderId="1" xfId="0" applyNumberFormat="1" applyFont="1" applyFill="1" applyBorder="1" applyAlignment="1">
      <alignment vertical="center" wrapText="1"/>
    </xf>
    <xf numFmtId="164" fontId="2" fillId="0" borderId="1" xfId="0" applyNumberFormat="1" applyFont="1" applyFill="1" applyBorder="1" applyAlignment="1">
      <alignment horizontal="left" vertical="center" wrapText="1" indent="1"/>
    </xf>
    <xf numFmtId="166" fontId="1" fillId="0" borderId="1" xfId="0" applyNumberFormat="1" applyFont="1" applyFill="1" applyBorder="1" applyAlignment="1">
      <alignment horizontal="right" vertical="center" indent="2"/>
    </xf>
    <xf numFmtId="0" fontId="1" fillId="0" borderId="2"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1" fillId="0" borderId="1" xfId="0" applyFont="1" applyFill="1" applyBorder="1" applyAlignment="1">
      <alignment horizontal="left" vertical="center" wrapText="1"/>
    </xf>
    <xf numFmtId="0" fontId="7" fillId="0" borderId="0" xfId="0" applyFont="1" applyFill="1" applyAlignment="1">
      <alignment horizontal="left" wrapText="1"/>
    </xf>
    <xf numFmtId="0" fontId="1" fillId="0" borderId="10" xfId="0" applyFont="1" applyFill="1" applyBorder="1" applyAlignment="1">
      <alignment horizontal="left" vertical="center" wrapText="1"/>
    </xf>
    <xf numFmtId="0" fontId="1" fillId="0" borderId="29"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2" xfId="0" applyFont="1" applyFill="1" applyBorder="1" applyAlignment="1">
      <alignment horizontal="center" vertical="center"/>
    </xf>
    <xf numFmtId="0" fontId="1" fillId="0" borderId="15" xfId="0" applyFont="1" applyFill="1" applyBorder="1" applyAlignment="1">
      <alignment horizontal="left" vertical="top"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12" xfId="0" applyFont="1" applyFill="1" applyBorder="1" applyAlignment="1">
      <alignment horizontal="left" vertical="top" wrapText="1"/>
    </xf>
    <xf numFmtId="0" fontId="1" fillId="0" borderId="16"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42"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2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44"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8" fillId="0" borderId="22" xfId="0" applyFont="1" applyFill="1" applyBorder="1" applyAlignment="1">
      <alignment horizontal="left" vertical="center"/>
    </xf>
    <xf numFmtId="0" fontId="8" fillId="0" borderId="15" xfId="0" applyFont="1" applyFill="1" applyBorder="1" applyAlignment="1">
      <alignment horizontal="left" vertical="center"/>
    </xf>
    <xf numFmtId="0" fontId="8" fillId="0" borderId="50" xfId="0" applyFont="1" applyFill="1" applyBorder="1" applyAlignment="1">
      <alignment horizontal="left" vertical="center"/>
    </xf>
    <xf numFmtId="0" fontId="8" fillId="0" borderId="53" xfId="0" applyFont="1" applyFill="1" applyBorder="1" applyAlignment="1">
      <alignment horizontal="left" vertical="center"/>
    </xf>
    <xf numFmtId="0" fontId="8" fillId="0" borderId="52" xfId="0" applyFont="1" applyFill="1" applyBorder="1" applyAlignment="1">
      <alignment horizontal="left" vertical="center"/>
    </xf>
    <xf numFmtId="0" fontId="8" fillId="0" borderId="54" xfId="0" applyFont="1" applyFill="1" applyBorder="1" applyAlignment="1">
      <alignment horizontal="left" vertical="center"/>
    </xf>
    <xf numFmtId="0" fontId="7" fillId="0" borderId="0" xfId="0" applyFont="1" applyFill="1" applyBorder="1" applyAlignment="1">
      <alignment horizontal="center" wrapText="1"/>
    </xf>
    <xf numFmtId="0" fontId="4" fillId="0" borderId="22"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1" fillId="0" borderId="51"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47" xfId="0" applyFont="1" applyFill="1" applyBorder="1" applyAlignment="1">
      <alignment horizontal="left" vertical="center" wrapText="1"/>
    </xf>
    <xf numFmtId="0" fontId="6" fillId="0" borderId="48"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47"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1"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4" xfId="0" applyFont="1" applyFill="1" applyBorder="1" applyAlignment="1">
      <alignment horizontal="center" vertical="center"/>
    </xf>
    <xf numFmtId="0" fontId="1" fillId="0" borderId="47" xfId="0" applyFont="1" applyFill="1" applyBorder="1" applyAlignment="1">
      <alignment horizontal="left" vertical="center" wrapText="1"/>
    </xf>
    <xf numFmtId="0" fontId="1" fillId="0" borderId="48" xfId="0" applyFont="1" applyFill="1" applyBorder="1" applyAlignment="1">
      <alignment horizontal="left" vertical="center" wrapText="1"/>
    </xf>
  </cellXfs>
  <cellStyles count="1">
    <cellStyle name="Обычный" xfId="0" builtinId="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82"/>
  <sheetViews>
    <sheetView tabSelected="1" view="pageBreakPreview" zoomScale="90" zoomScaleNormal="70" zoomScaleSheetLayoutView="90" workbookViewId="0">
      <pane ySplit="11" topLeftCell="A12" activePane="bottomLeft" state="frozen"/>
      <selection pane="bottomLeft" activeCell="A246" sqref="A246:A253"/>
    </sheetView>
  </sheetViews>
  <sheetFormatPr defaultColWidth="8.85546875" defaultRowHeight="15" x14ac:dyDescent="0.25"/>
  <cols>
    <col min="1" max="1" width="27.28515625" style="2" customWidth="1"/>
    <col min="2" max="2" width="15.28515625" style="2" customWidth="1"/>
    <col min="3" max="4" width="5.85546875" style="2" customWidth="1"/>
    <col min="5" max="5" width="4.5703125" style="2" customWidth="1"/>
    <col min="6" max="6" width="11.7109375" style="2" customWidth="1"/>
    <col min="7" max="7" width="5.85546875" style="2" customWidth="1"/>
    <col min="8" max="8" width="11.5703125" style="2" customWidth="1"/>
    <col min="9" max="9" width="10.28515625" style="2" customWidth="1"/>
    <col min="10" max="10" width="10.7109375" style="2" customWidth="1"/>
    <col min="11" max="11" width="11.140625" style="2" customWidth="1"/>
    <col min="12" max="14" width="11.85546875" style="2" customWidth="1"/>
    <col min="15" max="15" width="23.85546875" style="2" customWidth="1"/>
    <col min="16" max="16" width="24.7109375" style="2" customWidth="1"/>
    <col min="17" max="17" width="15.85546875" style="2" customWidth="1"/>
    <col min="18" max="16384" width="8.85546875" style="2"/>
  </cols>
  <sheetData>
    <row r="1" spans="1:16" ht="19.899999999999999" customHeight="1" x14ac:dyDescent="0.25">
      <c r="P1" s="45" t="s">
        <v>136</v>
      </c>
    </row>
    <row r="2" spans="1:16" ht="19.899999999999999" customHeight="1" x14ac:dyDescent="0.25">
      <c r="P2" s="45" t="s">
        <v>137</v>
      </c>
    </row>
    <row r="3" spans="1:16" ht="19.899999999999999" customHeight="1" x14ac:dyDescent="0.25">
      <c r="P3" s="45" t="s">
        <v>138</v>
      </c>
    </row>
    <row r="4" spans="1:16" ht="19.899999999999999" customHeight="1" x14ac:dyDescent="0.25">
      <c r="P4" s="45"/>
    </row>
    <row r="5" spans="1:16" ht="19.899999999999999" customHeight="1" x14ac:dyDescent="0.25">
      <c r="P5" s="45" t="s">
        <v>53</v>
      </c>
    </row>
    <row r="6" spans="1:16" ht="42.6" customHeight="1" x14ac:dyDescent="0.25">
      <c r="A6" s="176" t="s">
        <v>87</v>
      </c>
      <c r="B6" s="176"/>
      <c r="C6" s="176"/>
      <c r="D6" s="176"/>
      <c r="E6" s="176"/>
      <c r="F6" s="176"/>
      <c r="G6" s="176"/>
      <c r="H6" s="176"/>
      <c r="I6" s="176"/>
      <c r="J6" s="176"/>
      <c r="K6" s="176"/>
      <c r="L6" s="176"/>
      <c r="M6" s="176"/>
      <c r="N6" s="176"/>
      <c r="O6" s="176"/>
      <c r="P6" s="176"/>
    </row>
    <row r="7" spans="1:16" ht="15.6" customHeight="1" thickBot="1" x14ac:dyDescent="0.3">
      <c r="A7" s="87"/>
      <c r="B7" s="87"/>
      <c r="C7" s="87"/>
      <c r="D7" s="87"/>
      <c r="E7" s="87"/>
      <c r="F7" s="87"/>
      <c r="G7" s="87"/>
      <c r="H7" s="87"/>
      <c r="I7" s="87"/>
      <c r="J7" s="87"/>
      <c r="K7" s="87"/>
      <c r="L7" s="87"/>
      <c r="M7" s="87"/>
      <c r="N7" s="87"/>
      <c r="O7" s="87"/>
      <c r="P7" s="46" t="s">
        <v>61</v>
      </c>
    </row>
    <row r="8" spans="1:16" ht="14.45" customHeight="1" x14ac:dyDescent="0.25">
      <c r="A8" s="141" t="s">
        <v>0</v>
      </c>
      <c r="B8" s="143" t="s">
        <v>1</v>
      </c>
      <c r="C8" s="143" t="s">
        <v>52</v>
      </c>
      <c r="D8" s="143"/>
      <c r="E8" s="143"/>
      <c r="F8" s="143"/>
      <c r="G8" s="143"/>
      <c r="H8" s="177" t="s">
        <v>9</v>
      </c>
      <c r="I8" s="180" t="s">
        <v>129</v>
      </c>
      <c r="J8" s="181"/>
      <c r="K8" s="181"/>
      <c r="L8" s="182"/>
      <c r="M8" s="177" t="s">
        <v>10</v>
      </c>
      <c r="N8" s="177" t="s">
        <v>88</v>
      </c>
      <c r="O8" s="143" t="s">
        <v>2</v>
      </c>
      <c r="P8" s="187" t="s">
        <v>3</v>
      </c>
    </row>
    <row r="9" spans="1:16" ht="25.9" customHeight="1" x14ac:dyDescent="0.25">
      <c r="A9" s="142"/>
      <c r="B9" s="138"/>
      <c r="C9" s="138" t="s">
        <v>4</v>
      </c>
      <c r="D9" s="138" t="s">
        <v>5</v>
      </c>
      <c r="E9" s="139" t="s">
        <v>6</v>
      </c>
      <c r="F9" s="138" t="s">
        <v>7</v>
      </c>
      <c r="G9" s="138" t="s">
        <v>8</v>
      </c>
      <c r="H9" s="178"/>
      <c r="I9" s="183"/>
      <c r="J9" s="184"/>
      <c r="K9" s="184"/>
      <c r="L9" s="185"/>
      <c r="M9" s="178"/>
      <c r="N9" s="178"/>
      <c r="O9" s="138"/>
      <c r="P9" s="188"/>
    </row>
    <row r="10" spans="1:16" ht="15.6" customHeight="1" x14ac:dyDescent="0.25">
      <c r="A10" s="142"/>
      <c r="B10" s="138"/>
      <c r="C10" s="138"/>
      <c r="D10" s="138"/>
      <c r="E10" s="140"/>
      <c r="F10" s="138"/>
      <c r="G10" s="138"/>
      <c r="H10" s="179"/>
      <c r="I10" s="97" t="s">
        <v>11</v>
      </c>
      <c r="J10" s="97" t="s">
        <v>12</v>
      </c>
      <c r="K10" s="97" t="s">
        <v>13</v>
      </c>
      <c r="L10" s="97" t="s">
        <v>14</v>
      </c>
      <c r="M10" s="179"/>
      <c r="N10" s="179"/>
      <c r="O10" s="138"/>
      <c r="P10" s="188"/>
    </row>
    <row r="11" spans="1:16" ht="14.45" thickBot="1" x14ac:dyDescent="0.3">
      <c r="A11" s="47">
        <v>1</v>
      </c>
      <c r="B11" s="48">
        <v>2</v>
      </c>
      <c r="C11" s="48">
        <v>3</v>
      </c>
      <c r="D11" s="48">
        <v>4</v>
      </c>
      <c r="E11" s="48"/>
      <c r="F11" s="48">
        <v>6</v>
      </c>
      <c r="G11" s="48">
        <v>7</v>
      </c>
      <c r="H11" s="48">
        <v>8</v>
      </c>
      <c r="I11" s="48">
        <v>9</v>
      </c>
      <c r="J11" s="48">
        <v>10</v>
      </c>
      <c r="K11" s="48">
        <v>11</v>
      </c>
      <c r="L11" s="48">
        <v>12</v>
      </c>
      <c r="M11" s="48">
        <v>13</v>
      </c>
      <c r="N11" s="48">
        <v>14</v>
      </c>
      <c r="O11" s="48">
        <v>18</v>
      </c>
      <c r="P11" s="48">
        <v>19</v>
      </c>
    </row>
    <row r="12" spans="1:16" ht="13.9" customHeight="1" x14ac:dyDescent="0.25">
      <c r="A12" s="145" t="s">
        <v>63</v>
      </c>
      <c r="B12" s="146"/>
      <c r="C12" s="146"/>
      <c r="D12" s="146"/>
      <c r="E12" s="146"/>
      <c r="F12" s="146"/>
      <c r="G12" s="146"/>
      <c r="H12" s="146"/>
      <c r="I12" s="146"/>
      <c r="J12" s="146"/>
      <c r="K12" s="146"/>
      <c r="L12" s="146"/>
      <c r="M12" s="146"/>
      <c r="N12" s="146"/>
      <c r="O12" s="146"/>
      <c r="P12" s="147"/>
    </row>
    <row r="13" spans="1:16" ht="14.45" customHeight="1" thickBot="1" x14ac:dyDescent="0.3">
      <c r="A13" s="148" t="s">
        <v>139</v>
      </c>
      <c r="B13" s="149"/>
      <c r="C13" s="149"/>
      <c r="D13" s="149"/>
      <c r="E13" s="149"/>
      <c r="F13" s="149"/>
      <c r="G13" s="149"/>
      <c r="H13" s="149"/>
      <c r="I13" s="149"/>
      <c r="J13" s="149"/>
      <c r="K13" s="149"/>
      <c r="L13" s="149"/>
      <c r="M13" s="149"/>
      <c r="N13" s="149"/>
      <c r="O13" s="149"/>
      <c r="P13" s="150"/>
    </row>
    <row r="14" spans="1:16" ht="33.75" customHeight="1" x14ac:dyDescent="0.25">
      <c r="A14" s="157" t="s">
        <v>89</v>
      </c>
      <c r="B14" s="91" t="s">
        <v>24</v>
      </c>
      <c r="C14" s="49"/>
      <c r="D14" s="49"/>
      <c r="E14" s="49"/>
      <c r="F14" s="49"/>
      <c r="G14" s="49"/>
      <c r="H14" s="50"/>
      <c r="I14" s="51"/>
      <c r="J14" s="50"/>
      <c r="K14" s="50"/>
      <c r="L14" s="51"/>
      <c r="M14" s="50"/>
      <c r="N14" s="52"/>
      <c r="O14" s="160" t="s">
        <v>99</v>
      </c>
      <c r="P14" s="163" t="s">
        <v>115</v>
      </c>
    </row>
    <row r="15" spans="1:16" x14ac:dyDescent="0.25">
      <c r="A15" s="158"/>
      <c r="B15" s="92" t="s">
        <v>17</v>
      </c>
      <c r="C15" s="7"/>
      <c r="D15" s="7"/>
      <c r="E15" s="7"/>
      <c r="F15" s="7"/>
      <c r="G15" s="7"/>
      <c r="H15" s="53"/>
      <c r="I15" s="53" t="s">
        <v>18</v>
      </c>
      <c r="J15" s="53" t="s">
        <v>18</v>
      </c>
      <c r="K15" s="53" t="s">
        <v>18</v>
      </c>
      <c r="L15" s="53" t="s">
        <v>18</v>
      </c>
      <c r="M15" s="53"/>
      <c r="N15" s="53"/>
      <c r="O15" s="161"/>
      <c r="P15" s="164"/>
    </row>
    <row r="16" spans="1:16" ht="22.5" x14ac:dyDescent="0.25">
      <c r="A16" s="158"/>
      <c r="B16" s="92" t="s">
        <v>19</v>
      </c>
      <c r="C16" s="7"/>
      <c r="D16" s="7"/>
      <c r="E16" s="7"/>
      <c r="F16" s="7"/>
      <c r="G16" s="7"/>
      <c r="H16" s="53">
        <f>H17+H18+H19+H20</f>
        <v>14000</v>
      </c>
      <c r="I16" s="53">
        <f t="shared" ref="I16:N16" si="0">I17+I18+I19+I20</f>
        <v>0</v>
      </c>
      <c r="J16" s="53">
        <f t="shared" si="0"/>
        <v>1200</v>
      </c>
      <c r="K16" s="53">
        <f>K17+K18+K19+K20</f>
        <v>800</v>
      </c>
      <c r="L16" s="53">
        <f t="shared" si="0"/>
        <v>12000</v>
      </c>
      <c r="M16" s="53">
        <f t="shared" si="0"/>
        <v>4000</v>
      </c>
      <c r="N16" s="53">
        <f t="shared" si="0"/>
        <v>4000</v>
      </c>
      <c r="O16" s="161"/>
      <c r="P16" s="164"/>
    </row>
    <row r="17" spans="1:16" x14ac:dyDescent="0.25">
      <c r="A17" s="158"/>
      <c r="B17" s="92" t="s">
        <v>20</v>
      </c>
      <c r="C17" s="54"/>
      <c r="D17" s="54"/>
      <c r="E17" s="54"/>
      <c r="F17" s="54"/>
      <c r="G17" s="7"/>
      <c r="H17" s="53">
        <f>I17+J17+K17+L17</f>
        <v>14000</v>
      </c>
      <c r="I17" s="53">
        <f>I25+I33</f>
        <v>0</v>
      </c>
      <c r="J17" s="53">
        <f t="shared" ref="J17:N17" si="1">J25+J33</f>
        <v>1200</v>
      </c>
      <c r="K17" s="53">
        <f t="shared" si="1"/>
        <v>800</v>
      </c>
      <c r="L17" s="53">
        <f t="shared" si="1"/>
        <v>12000</v>
      </c>
      <c r="M17" s="53">
        <f t="shared" si="1"/>
        <v>4000</v>
      </c>
      <c r="N17" s="53">
        <f t="shared" si="1"/>
        <v>4000</v>
      </c>
      <c r="O17" s="161"/>
      <c r="P17" s="164"/>
    </row>
    <row r="18" spans="1:16" ht="22.5" x14ac:dyDescent="0.25">
      <c r="A18" s="158"/>
      <c r="B18" s="92" t="s">
        <v>23</v>
      </c>
      <c r="C18" s="54"/>
      <c r="D18" s="54"/>
      <c r="E18" s="54"/>
      <c r="F18" s="54"/>
      <c r="G18" s="54"/>
      <c r="H18" s="53">
        <f t="shared" ref="H18:H20" si="2">I18+J18+K18+L18</f>
        <v>0</v>
      </c>
      <c r="I18" s="53">
        <v>0</v>
      </c>
      <c r="J18" s="53">
        <v>0</v>
      </c>
      <c r="K18" s="53">
        <v>0</v>
      </c>
      <c r="L18" s="53">
        <v>0</v>
      </c>
      <c r="M18" s="53">
        <v>0</v>
      </c>
      <c r="N18" s="53">
        <v>0</v>
      </c>
      <c r="O18" s="161"/>
      <c r="P18" s="164"/>
    </row>
    <row r="19" spans="1:16" x14ac:dyDescent="0.25">
      <c r="A19" s="158"/>
      <c r="B19" s="92" t="s">
        <v>21</v>
      </c>
      <c r="C19" s="7"/>
      <c r="D19" s="7"/>
      <c r="E19" s="7"/>
      <c r="F19" s="7"/>
      <c r="G19" s="7"/>
      <c r="H19" s="53">
        <f t="shared" si="2"/>
        <v>0</v>
      </c>
      <c r="I19" s="55">
        <v>0</v>
      </c>
      <c r="J19" s="55">
        <v>0</v>
      </c>
      <c r="K19" s="55">
        <v>0</v>
      </c>
      <c r="L19" s="55">
        <v>0</v>
      </c>
      <c r="M19" s="55">
        <v>0</v>
      </c>
      <c r="N19" s="55">
        <v>0</v>
      </c>
      <c r="O19" s="161"/>
      <c r="P19" s="164"/>
    </row>
    <row r="20" spans="1:16" ht="22.5" x14ac:dyDescent="0.25">
      <c r="A20" s="158"/>
      <c r="B20" s="92" t="s">
        <v>22</v>
      </c>
      <c r="C20" s="7"/>
      <c r="D20" s="7"/>
      <c r="E20" s="7"/>
      <c r="F20" s="7"/>
      <c r="G20" s="7"/>
      <c r="H20" s="53">
        <f t="shared" si="2"/>
        <v>0</v>
      </c>
      <c r="I20" s="55">
        <v>0</v>
      </c>
      <c r="J20" s="55">
        <v>0</v>
      </c>
      <c r="K20" s="55">
        <v>0</v>
      </c>
      <c r="L20" s="55">
        <v>0</v>
      </c>
      <c r="M20" s="55">
        <v>0</v>
      </c>
      <c r="N20" s="55">
        <v>0</v>
      </c>
      <c r="O20" s="161"/>
      <c r="P20" s="164"/>
    </row>
    <row r="21" spans="1:16" x14ac:dyDescent="0.25">
      <c r="A21" s="159"/>
      <c r="B21" s="92" t="s">
        <v>130</v>
      </c>
      <c r="C21" s="7"/>
      <c r="D21" s="7"/>
      <c r="E21" s="7"/>
      <c r="F21" s="7"/>
      <c r="G21" s="7"/>
      <c r="H21" s="53">
        <f t="shared" ref="H21" si="3">I21+J21+K21+L21</f>
        <v>0</v>
      </c>
      <c r="I21" s="55">
        <v>0</v>
      </c>
      <c r="J21" s="55">
        <v>0</v>
      </c>
      <c r="K21" s="55">
        <v>0</v>
      </c>
      <c r="L21" s="55">
        <v>0</v>
      </c>
      <c r="M21" s="55">
        <v>0</v>
      </c>
      <c r="N21" s="55">
        <v>0</v>
      </c>
      <c r="O21" s="162"/>
      <c r="P21" s="165"/>
    </row>
    <row r="22" spans="1:16" ht="33.75" customHeight="1" x14ac:dyDescent="0.25">
      <c r="A22" s="169" t="s">
        <v>181</v>
      </c>
      <c r="B22" s="92" t="s">
        <v>15</v>
      </c>
      <c r="C22" s="7"/>
      <c r="D22" s="7"/>
      <c r="E22" s="7"/>
      <c r="F22" s="7"/>
      <c r="G22" s="7"/>
      <c r="H22" s="53">
        <v>6</v>
      </c>
      <c r="I22" s="53">
        <v>0</v>
      </c>
      <c r="J22" s="53">
        <v>3</v>
      </c>
      <c r="K22" s="53">
        <v>2</v>
      </c>
      <c r="L22" s="55">
        <v>1</v>
      </c>
      <c r="M22" s="53">
        <v>6</v>
      </c>
      <c r="N22" s="53">
        <v>6</v>
      </c>
      <c r="O22" s="169" t="s">
        <v>16</v>
      </c>
      <c r="P22" s="169" t="s">
        <v>108</v>
      </c>
    </row>
    <row r="23" spans="1:16" x14ac:dyDescent="0.25">
      <c r="A23" s="167"/>
      <c r="B23" s="92" t="s">
        <v>17</v>
      </c>
      <c r="C23" s="7"/>
      <c r="D23" s="7"/>
      <c r="E23" s="7"/>
      <c r="F23" s="7"/>
      <c r="G23" s="7"/>
      <c r="H23" s="53">
        <f>H24/H22</f>
        <v>416.66666666666669</v>
      </c>
      <c r="I23" s="53" t="s">
        <v>18</v>
      </c>
      <c r="J23" s="53" t="s">
        <v>18</v>
      </c>
      <c r="K23" s="53" t="s">
        <v>18</v>
      </c>
      <c r="L23" s="53" t="s">
        <v>18</v>
      </c>
      <c r="M23" s="53">
        <f>M24/M22</f>
        <v>416.66666666666669</v>
      </c>
      <c r="N23" s="53">
        <f>N24/N22</f>
        <v>416.66666666666669</v>
      </c>
      <c r="O23" s="167"/>
      <c r="P23" s="167"/>
    </row>
    <row r="24" spans="1:16" ht="22.5" x14ac:dyDescent="0.25">
      <c r="A24" s="167"/>
      <c r="B24" s="92" t="s">
        <v>19</v>
      </c>
      <c r="C24" s="7"/>
      <c r="D24" s="7"/>
      <c r="E24" s="7"/>
      <c r="F24" s="7"/>
      <c r="G24" s="7"/>
      <c r="H24" s="53">
        <f>H25+H26+H27+H28</f>
        <v>2500</v>
      </c>
      <c r="I24" s="53">
        <f t="shared" ref="I24:L24" si="4">I25+I26+I27+I28</f>
        <v>0</v>
      </c>
      <c r="J24" s="53">
        <f t="shared" si="4"/>
        <v>1200</v>
      </c>
      <c r="K24" s="53">
        <f t="shared" si="4"/>
        <v>800</v>
      </c>
      <c r="L24" s="53">
        <f t="shared" si="4"/>
        <v>500</v>
      </c>
      <c r="M24" s="53">
        <f t="shared" ref="M24" si="5">M25+M26+M27+M28</f>
        <v>2500</v>
      </c>
      <c r="N24" s="53">
        <f t="shared" ref="N24" si="6">N25+N26+N27+N28</f>
        <v>2500</v>
      </c>
      <c r="O24" s="167"/>
      <c r="P24" s="167"/>
    </row>
    <row r="25" spans="1:16" x14ac:dyDescent="0.25">
      <c r="A25" s="167"/>
      <c r="B25" s="92" t="s">
        <v>20</v>
      </c>
      <c r="C25" s="54">
        <v>176</v>
      </c>
      <c r="D25" s="54" t="s">
        <v>59</v>
      </c>
      <c r="E25" s="54" t="s">
        <v>58</v>
      </c>
      <c r="F25" s="54" t="s">
        <v>90</v>
      </c>
      <c r="G25" s="54">
        <v>244</v>
      </c>
      <c r="H25" s="53">
        <f>I25+J25+K25+L25</f>
        <v>2500</v>
      </c>
      <c r="I25" s="53">
        <v>0</v>
      </c>
      <c r="J25" s="53">
        <v>1200</v>
      </c>
      <c r="K25" s="53">
        <v>800</v>
      </c>
      <c r="L25" s="53">
        <v>500</v>
      </c>
      <c r="M25" s="53">
        <v>2500</v>
      </c>
      <c r="N25" s="53">
        <v>2500</v>
      </c>
      <c r="O25" s="167"/>
      <c r="P25" s="167"/>
    </row>
    <row r="26" spans="1:16" ht="22.5" x14ac:dyDescent="0.25">
      <c r="A26" s="167"/>
      <c r="B26" s="92" t="s">
        <v>23</v>
      </c>
      <c r="C26" s="54"/>
      <c r="D26" s="54"/>
      <c r="E26" s="54"/>
      <c r="F26" s="54"/>
      <c r="G26" s="54"/>
      <c r="H26" s="53">
        <f t="shared" ref="H26:H29" si="7">I26+J26+K26+L26</f>
        <v>0</v>
      </c>
      <c r="I26" s="53">
        <f t="shared" ref="I26:I28" si="8">J26+K26+L26+M26</f>
        <v>0</v>
      </c>
      <c r="J26" s="53">
        <f t="shared" ref="J26:J28" si="9">K26+L26+M26+N26</f>
        <v>0</v>
      </c>
      <c r="K26" s="53">
        <f t="shared" ref="K26:K28" si="10">L26+M26+N26+O26</f>
        <v>0</v>
      </c>
      <c r="L26" s="53">
        <f t="shared" ref="L26:L28" si="11">M26+N26+O26+P26</f>
        <v>0</v>
      </c>
      <c r="M26" s="53">
        <f t="shared" ref="M26:M28" si="12">N26+O26+P26+Q26</f>
        <v>0</v>
      </c>
      <c r="N26" s="53">
        <f t="shared" ref="N26:N28" si="13">O26+P26+Q26+R26</f>
        <v>0</v>
      </c>
      <c r="O26" s="167"/>
      <c r="P26" s="167"/>
    </row>
    <row r="27" spans="1:16" x14ac:dyDescent="0.25">
      <c r="A27" s="167"/>
      <c r="B27" s="92" t="s">
        <v>21</v>
      </c>
      <c r="C27" s="7"/>
      <c r="D27" s="7"/>
      <c r="E27" s="7"/>
      <c r="F27" s="7"/>
      <c r="G27" s="7"/>
      <c r="H27" s="53">
        <f t="shared" si="7"/>
        <v>0</v>
      </c>
      <c r="I27" s="53">
        <f t="shared" si="8"/>
        <v>0</v>
      </c>
      <c r="J27" s="53">
        <f t="shared" si="9"/>
        <v>0</v>
      </c>
      <c r="K27" s="53">
        <f t="shared" si="10"/>
        <v>0</v>
      </c>
      <c r="L27" s="53">
        <f t="shared" si="11"/>
        <v>0</v>
      </c>
      <c r="M27" s="53">
        <f t="shared" si="12"/>
        <v>0</v>
      </c>
      <c r="N27" s="53">
        <f t="shared" si="13"/>
        <v>0</v>
      </c>
      <c r="O27" s="167"/>
      <c r="P27" s="167"/>
    </row>
    <row r="28" spans="1:16" ht="22.5" x14ac:dyDescent="0.25">
      <c r="A28" s="167"/>
      <c r="B28" s="92" t="s">
        <v>22</v>
      </c>
      <c r="C28" s="7"/>
      <c r="D28" s="7"/>
      <c r="E28" s="7"/>
      <c r="F28" s="7"/>
      <c r="G28" s="7"/>
      <c r="H28" s="53">
        <f t="shared" si="7"/>
        <v>0</v>
      </c>
      <c r="I28" s="53">
        <f t="shared" si="8"/>
        <v>0</v>
      </c>
      <c r="J28" s="53">
        <f t="shared" si="9"/>
        <v>0</v>
      </c>
      <c r="K28" s="53">
        <f t="shared" si="10"/>
        <v>0</v>
      </c>
      <c r="L28" s="53">
        <f t="shared" si="11"/>
        <v>0</v>
      </c>
      <c r="M28" s="53">
        <f t="shared" si="12"/>
        <v>0</v>
      </c>
      <c r="N28" s="53">
        <f t="shared" si="13"/>
        <v>0</v>
      </c>
      <c r="O28" s="167"/>
      <c r="P28" s="167"/>
    </row>
    <row r="29" spans="1:16" x14ac:dyDescent="0.25">
      <c r="A29" s="168"/>
      <c r="B29" s="92" t="s">
        <v>130</v>
      </c>
      <c r="C29" s="7"/>
      <c r="D29" s="7"/>
      <c r="E29" s="7"/>
      <c r="F29" s="7"/>
      <c r="G29" s="7"/>
      <c r="H29" s="53">
        <f t="shared" si="7"/>
        <v>0</v>
      </c>
      <c r="I29" s="55">
        <v>0</v>
      </c>
      <c r="J29" s="55">
        <v>0</v>
      </c>
      <c r="K29" s="55">
        <v>0</v>
      </c>
      <c r="L29" s="55">
        <v>0</v>
      </c>
      <c r="M29" s="55">
        <v>0</v>
      </c>
      <c r="N29" s="55">
        <v>0</v>
      </c>
      <c r="O29" s="168"/>
      <c r="P29" s="168"/>
    </row>
    <row r="30" spans="1:16" ht="45" customHeight="1" x14ac:dyDescent="0.25">
      <c r="A30" s="154" t="s">
        <v>182</v>
      </c>
      <c r="B30" s="90" t="s">
        <v>114</v>
      </c>
      <c r="C30" s="7"/>
      <c r="D30" s="7"/>
      <c r="E30" s="7"/>
      <c r="F30" s="7"/>
      <c r="G30" s="7"/>
      <c r="H30" s="1">
        <f>12+9</f>
        <v>21</v>
      </c>
      <c r="I30" s="1">
        <v>0</v>
      </c>
      <c r="J30" s="1">
        <v>0</v>
      </c>
      <c r="K30" s="1">
        <v>0</v>
      </c>
      <c r="L30" s="1">
        <f>12+9</f>
        <v>21</v>
      </c>
      <c r="M30" s="1">
        <f>12+1</f>
        <v>13</v>
      </c>
      <c r="N30" s="8">
        <f>12+1</f>
        <v>13</v>
      </c>
      <c r="O30" s="118" t="s">
        <v>29</v>
      </c>
      <c r="P30" s="151" t="s">
        <v>141</v>
      </c>
    </row>
    <row r="31" spans="1:16" ht="20.45" customHeight="1" x14ac:dyDescent="0.25">
      <c r="A31" s="155"/>
      <c r="B31" s="90" t="s">
        <v>17</v>
      </c>
      <c r="C31" s="7"/>
      <c r="D31" s="7"/>
      <c r="E31" s="7"/>
      <c r="F31" s="7"/>
      <c r="G31" s="7"/>
      <c r="H31" s="1">
        <f>H32/H30</f>
        <v>547.61904761904759</v>
      </c>
      <c r="I31" s="1" t="s">
        <v>18</v>
      </c>
      <c r="J31" s="1" t="s">
        <v>18</v>
      </c>
      <c r="K31" s="1" t="s">
        <v>18</v>
      </c>
      <c r="L31" s="1" t="s">
        <v>18</v>
      </c>
      <c r="M31" s="8">
        <f>M32/M30</f>
        <v>115.38461538461539</v>
      </c>
      <c r="N31" s="8">
        <f>N32/N30</f>
        <v>115.38461538461539</v>
      </c>
      <c r="O31" s="119"/>
      <c r="P31" s="152"/>
    </row>
    <row r="32" spans="1:16" ht="22.5" x14ac:dyDescent="0.25">
      <c r="A32" s="155"/>
      <c r="B32" s="90" t="s">
        <v>54</v>
      </c>
      <c r="C32" s="7"/>
      <c r="D32" s="7"/>
      <c r="E32" s="7"/>
      <c r="F32" s="7"/>
      <c r="G32" s="7"/>
      <c r="H32" s="1">
        <f>SUM(H33:H36)</f>
        <v>11500</v>
      </c>
      <c r="I32" s="1">
        <v>0</v>
      </c>
      <c r="J32" s="1">
        <v>0</v>
      </c>
      <c r="K32" s="1">
        <v>0</v>
      </c>
      <c r="L32" s="1">
        <f>SUM(L33:L36)</f>
        <v>11500</v>
      </c>
      <c r="M32" s="1">
        <v>1500</v>
      </c>
      <c r="N32" s="8">
        <v>1500</v>
      </c>
      <c r="O32" s="119"/>
      <c r="P32" s="152"/>
    </row>
    <row r="33" spans="1:16" x14ac:dyDescent="0.25">
      <c r="A33" s="155"/>
      <c r="B33" s="88" t="s">
        <v>20</v>
      </c>
      <c r="C33" s="56">
        <v>176</v>
      </c>
      <c r="D33" s="56" t="s">
        <v>59</v>
      </c>
      <c r="E33" s="56" t="s">
        <v>58</v>
      </c>
      <c r="F33" s="54" t="s">
        <v>91</v>
      </c>
      <c r="G33" s="56">
        <v>244</v>
      </c>
      <c r="H33" s="1">
        <f>I33+J33+K33+L33</f>
        <v>11500</v>
      </c>
      <c r="I33" s="55">
        <v>0</v>
      </c>
      <c r="J33" s="55">
        <v>0</v>
      </c>
      <c r="K33" s="55">
        <v>0</v>
      </c>
      <c r="L33" s="1">
        <v>11500</v>
      </c>
      <c r="M33" s="1">
        <v>1500</v>
      </c>
      <c r="N33" s="1">
        <v>1500</v>
      </c>
      <c r="O33" s="119"/>
      <c r="P33" s="152"/>
    </row>
    <row r="34" spans="1:16" ht="22.5" x14ac:dyDescent="0.25">
      <c r="A34" s="155"/>
      <c r="B34" s="90" t="s">
        <v>23</v>
      </c>
      <c r="C34" s="56"/>
      <c r="D34" s="56"/>
      <c r="E34" s="56"/>
      <c r="F34" s="56"/>
      <c r="G34" s="56"/>
      <c r="H34" s="1">
        <v>0</v>
      </c>
      <c r="I34" s="1">
        <v>0</v>
      </c>
      <c r="J34" s="1">
        <v>0</v>
      </c>
      <c r="K34" s="1">
        <v>0</v>
      </c>
      <c r="L34" s="1">
        <v>0</v>
      </c>
      <c r="M34" s="1">
        <v>0</v>
      </c>
      <c r="N34" s="1">
        <v>0</v>
      </c>
      <c r="O34" s="119"/>
      <c r="P34" s="152"/>
    </row>
    <row r="35" spans="1:16" x14ac:dyDescent="0.25">
      <c r="A35" s="155"/>
      <c r="B35" s="90" t="s">
        <v>21</v>
      </c>
      <c r="C35" s="7"/>
      <c r="D35" s="7"/>
      <c r="E35" s="7"/>
      <c r="F35" s="7"/>
      <c r="G35" s="7"/>
      <c r="H35" s="55">
        <v>0</v>
      </c>
      <c r="I35" s="55">
        <v>0</v>
      </c>
      <c r="J35" s="55">
        <v>0</v>
      </c>
      <c r="K35" s="55">
        <v>0</v>
      </c>
      <c r="L35" s="55">
        <v>0</v>
      </c>
      <c r="M35" s="55">
        <v>0</v>
      </c>
      <c r="N35" s="55">
        <v>0</v>
      </c>
      <c r="O35" s="119"/>
      <c r="P35" s="152"/>
    </row>
    <row r="36" spans="1:16" ht="22.5" x14ac:dyDescent="0.25">
      <c r="A36" s="155"/>
      <c r="B36" s="88" t="s">
        <v>22</v>
      </c>
      <c r="C36" s="57"/>
      <c r="D36" s="57"/>
      <c r="E36" s="57"/>
      <c r="F36" s="57"/>
      <c r="G36" s="57"/>
      <c r="H36" s="58">
        <v>0</v>
      </c>
      <c r="I36" s="58">
        <v>0</v>
      </c>
      <c r="J36" s="58">
        <v>0</v>
      </c>
      <c r="K36" s="58">
        <v>0</v>
      </c>
      <c r="L36" s="58">
        <v>0</v>
      </c>
      <c r="M36" s="58">
        <v>0</v>
      </c>
      <c r="N36" s="58">
        <v>0</v>
      </c>
      <c r="O36" s="119"/>
      <c r="P36" s="152"/>
    </row>
    <row r="37" spans="1:16" ht="15.75" thickBot="1" x14ac:dyDescent="0.3">
      <c r="A37" s="189"/>
      <c r="B37" s="92" t="s">
        <v>130</v>
      </c>
      <c r="C37" s="7"/>
      <c r="D37" s="7"/>
      <c r="E37" s="7"/>
      <c r="F37" s="7"/>
      <c r="G37" s="7"/>
      <c r="H37" s="53">
        <f t="shared" ref="H37" si="14">I37+J37+K37+L37</f>
        <v>0</v>
      </c>
      <c r="I37" s="55">
        <v>0</v>
      </c>
      <c r="J37" s="55">
        <v>0</v>
      </c>
      <c r="K37" s="55">
        <v>0</v>
      </c>
      <c r="L37" s="55">
        <v>0</v>
      </c>
      <c r="M37" s="55">
        <v>0</v>
      </c>
      <c r="N37" s="55">
        <v>0</v>
      </c>
      <c r="O37" s="190"/>
      <c r="P37" s="186"/>
    </row>
    <row r="38" spans="1:16" ht="33.75" customHeight="1" x14ac:dyDescent="0.25">
      <c r="A38" s="157" t="s">
        <v>102</v>
      </c>
      <c r="B38" s="91" t="s">
        <v>24</v>
      </c>
      <c r="C38" s="49"/>
      <c r="D38" s="49"/>
      <c r="E38" s="49"/>
      <c r="F38" s="49"/>
      <c r="G38" s="49"/>
      <c r="H38" s="50"/>
      <c r="I38" s="50"/>
      <c r="J38" s="50"/>
      <c r="K38" s="50"/>
      <c r="L38" s="50"/>
      <c r="M38" s="50"/>
      <c r="N38" s="52"/>
      <c r="O38" s="166" t="s">
        <v>25</v>
      </c>
      <c r="P38" s="163" t="s">
        <v>100</v>
      </c>
    </row>
    <row r="39" spans="1:16" x14ac:dyDescent="0.25">
      <c r="A39" s="158"/>
      <c r="B39" s="90" t="s">
        <v>17</v>
      </c>
      <c r="C39" s="7"/>
      <c r="D39" s="7"/>
      <c r="E39" s="7"/>
      <c r="F39" s="7"/>
      <c r="G39" s="7"/>
      <c r="H39" s="1"/>
      <c r="I39" s="1" t="s">
        <v>18</v>
      </c>
      <c r="J39" s="1" t="s">
        <v>18</v>
      </c>
      <c r="K39" s="1" t="s">
        <v>18</v>
      </c>
      <c r="L39" s="1" t="s">
        <v>18</v>
      </c>
      <c r="M39" s="1"/>
      <c r="N39" s="8"/>
      <c r="O39" s="167"/>
      <c r="P39" s="164"/>
    </row>
    <row r="40" spans="1:16" ht="23.25" customHeight="1" x14ac:dyDescent="0.25">
      <c r="A40" s="158"/>
      <c r="B40" s="90" t="s">
        <v>54</v>
      </c>
      <c r="C40" s="7"/>
      <c r="D40" s="7"/>
      <c r="E40" s="7"/>
      <c r="F40" s="7"/>
      <c r="G40" s="7"/>
      <c r="H40" s="55">
        <f>H41+H42+H43+H44</f>
        <v>83035.100000000006</v>
      </c>
      <c r="I40" s="55">
        <f t="shared" ref="I40:N40" si="15">I41+I42+I43+I44</f>
        <v>13755</v>
      </c>
      <c r="J40" s="55">
        <f t="shared" si="15"/>
        <v>13835</v>
      </c>
      <c r="K40" s="55">
        <f t="shared" si="15"/>
        <v>27420</v>
      </c>
      <c r="L40" s="55">
        <f t="shared" si="15"/>
        <v>28025.1</v>
      </c>
      <c r="M40" s="55">
        <f t="shared" si="15"/>
        <v>83035.100000000006</v>
      </c>
      <c r="N40" s="55">
        <f t="shared" si="15"/>
        <v>83035.100000000006</v>
      </c>
      <c r="O40" s="167"/>
      <c r="P40" s="164"/>
    </row>
    <row r="41" spans="1:16" x14ac:dyDescent="0.25">
      <c r="A41" s="158"/>
      <c r="B41" s="90" t="s">
        <v>20</v>
      </c>
      <c r="C41" s="56">
        <v>176</v>
      </c>
      <c r="D41" s="56" t="s">
        <v>59</v>
      </c>
      <c r="E41" s="56" t="s">
        <v>58</v>
      </c>
      <c r="F41" s="56" t="s">
        <v>78</v>
      </c>
      <c r="G41" s="56">
        <v>244</v>
      </c>
      <c r="H41" s="1">
        <f>I41+J41+K41+L41</f>
        <v>83035.100000000006</v>
      </c>
      <c r="I41" s="1">
        <f>I49+I57+I65+I73+I81+I89</f>
        <v>13755</v>
      </c>
      <c r="J41" s="1">
        <f t="shared" ref="J41:N41" si="16">J49+J57+J65+J73+J81+J89</f>
        <v>13835</v>
      </c>
      <c r="K41" s="1">
        <f t="shared" si="16"/>
        <v>27420</v>
      </c>
      <c r="L41" s="1">
        <f t="shared" si="16"/>
        <v>28025.1</v>
      </c>
      <c r="M41" s="1">
        <f>M49+M57+M65+M73+M81+M89</f>
        <v>83035.100000000006</v>
      </c>
      <c r="N41" s="1">
        <f t="shared" si="16"/>
        <v>83035.100000000006</v>
      </c>
      <c r="O41" s="167"/>
      <c r="P41" s="164"/>
    </row>
    <row r="42" spans="1:16" ht="22.5" x14ac:dyDescent="0.25">
      <c r="A42" s="158"/>
      <c r="B42" s="90" t="s">
        <v>23</v>
      </c>
      <c r="C42" s="56"/>
      <c r="D42" s="56"/>
      <c r="E42" s="56"/>
      <c r="F42" s="56"/>
      <c r="G42" s="56"/>
      <c r="H42" s="1">
        <f t="shared" ref="H42:H43" si="17">I42+J42+K42+L42</f>
        <v>0</v>
      </c>
      <c r="I42" s="1">
        <f t="shared" ref="I42:I44" si="18">J42+K42+L42+M42</f>
        <v>0</v>
      </c>
      <c r="J42" s="1">
        <f t="shared" ref="J42:J44" si="19">K42+L42+M42+N42</f>
        <v>0</v>
      </c>
      <c r="K42" s="1">
        <f t="shared" ref="K42:K44" si="20">L42+M42+N42+O42</f>
        <v>0</v>
      </c>
      <c r="L42" s="1">
        <f t="shared" ref="L42:L44" si="21">M42+N42+O42+P42</f>
        <v>0</v>
      </c>
      <c r="M42" s="1">
        <f t="shared" ref="M42:M44" si="22">N42+O42+P42+Q42</f>
        <v>0</v>
      </c>
      <c r="N42" s="1">
        <f t="shared" ref="N42:N44" si="23">O42+P42+Q42+R42</f>
        <v>0</v>
      </c>
      <c r="O42" s="167"/>
      <c r="P42" s="164"/>
    </row>
    <row r="43" spans="1:16" x14ac:dyDescent="0.25">
      <c r="A43" s="158"/>
      <c r="B43" s="90" t="s">
        <v>21</v>
      </c>
      <c r="C43" s="7"/>
      <c r="D43" s="7"/>
      <c r="E43" s="7"/>
      <c r="F43" s="7"/>
      <c r="G43" s="7"/>
      <c r="H43" s="1">
        <f t="shared" si="17"/>
        <v>0</v>
      </c>
      <c r="I43" s="1">
        <f t="shared" si="18"/>
        <v>0</v>
      </c>
      <c r="J43" s="1">
        <f t="shared" si="19"/>
        <v>0</v>
      </c>
      <c r="K43" s="1">
        <f t="shared" si="20"/>
        <v>0</v>
      </c>
      <c r="L43" s="1">
        <f t="shared" si="21"/>
        <v>0</v>
      </c>
      <c r="M43" s="1">
        <f t="shared" si="22"/>
        <v>0</v>
      </c>
      <c r="N43" s="1">
        <f t="shared" si="23"/>
        <v>0</v>
      </c>
      <c r="O43" s="167"/>
      <c r="P43" s="164"/>
    </row>
    <row r="44" spans="1:16" ht="22.5" x14ac:dyDescent="0.25">
      <c r="A44" s="158"/>
      <c r="B44" s="90" t="s">
        <v>22</v>
      </c>
      <c r="C44" s="7"/>
      <c r="D44" s="7"/>
      <c r="E44" s="7"/>
      <c r="F44" s="7"/>
      <c r="G44" s="7"/>
      <c r="H44" s="1">
        <f>I44+J44+K44+L44</f>
        <v>0</v>
      </c>
      <c r="I44" s="1">
        <f t="shared" si="18"/>
        <v>0</v>
      </c>
      <c r="J44" s="1">
        <f t="shared" si="19"/>
        <v>0</v>
      </c>
      <c r="K44" s="1">
        <f t="shared" si="20"/>
        <v>0</v>
      </c>
      <c r="L44" s="1">
        <f t="shared" si="21"/>
        <v>0</v>
      </c>
      <c r="M44" s="1">
        <f t="shared" si="22"/>
        <v>0</v>
      </c>
      <c r="N44" s="1">
        <f t="shared" si="23"/>
        <v>0</v>
      </c>
      <c r="O44" s="167"/>
      <c r="P44" s="164"/>
    </row>
    <row r="45" spans="1:16" x14ac:dyDescent="0.25">
      <c r="A45" s="159"/>
      <c r="B45" s="92" t="s">
        <v>130</v>
      </c>
      <c r="C45" s="7"/>
      <c r="D45" s="7"/>
      <c r="E45" s="7"/>
      <c r="F45" s="7"/>
      <c r="G45" s="7"/>
      <c r="H45" s="53">
        <f t="shared" ref="H45" si="24">I45+J45+K45+L45</f>
        <v>0</v>
      </c>
      <c r="I45" s="55">
        <v>0</v>
      </c>
      <c r="J45" s="55">
        <v>0</v>
      </c>
      <c r="K45" s="55">
        <v>0</v>
      </c>
      <c r="L45" s="55">
        <v>0</v>
      </c>
      <c r="M45" s="55">
        <v>0</v>
      </c>
      <c r="N45" s="55">
        <v>0</v>
      </c>
      <c r="O45" s="168"/>
      <c r="P45" s="165"/>
    </row>
    <row r="46" spans="1:16" ht="33.75" customHeight="1" x14ac:dyDescent="0.25">
      <c r="A46" s="154" t="s">
        <v>131</v>
      </c>
      <c r="B46" s="105" t="s">
        <v>15</v>
      </c>
      <c r="C46" s="3"/>
      <c r="D46" s="3"/>
      <c r="E46" s="3"/>
      <c r="F46" s="3"/>
      <c r="G46" s="7"/>
      <c r="H46" s="1">
        <f>I46+J46+K46+L46</f>
        <v>28000</v>
      </c>
      <c r="I46" s="1">
        <v>7000</v>
      </c>
      <c r="J46" s="1">
        <v>7000</v>
      </c>
      <c r="K46" s="1">
        <v>7000</v>
      </c>
      <c r="L46" s="1">
        <v>7000</v>
      </c>
      <c r="M46" s="1">
        <v>28000</v>
      </c>
      <c r="N46" s="8">
        <v>28000</v>
      </c>
      <c r="O46" s="118" t="s">
        <v>26</v>
      </c>
      <c r="P46" s="151" t="s">
        <v>133</v>
      </c>
    </row>
    <row r="47" spans="1:16" x14ac:dyDescent="0.25">
      <c r="A47" s="155"/>
      <c r="B47" s="105" t="s">
        <v>17</v>
      </c>
      <c r="C47" s="3"/>
      <c r="D47" s="3"/>
      <c r="E47" s="3"/>
      <c r="F47" s="3"/>
      <c r="G47" s="7"/>
      <c r="H47" s="78"/>
      <c r="I47" s="9" t="s">
        <v>18</v>
      </c>
      <c r="J47" s="9" t="s">
        <v>18</v>
      </c>
      <c r="K47" s="9" t="s">
        <v>18</v>
      </c>
      <c r="L47" s="9" t="s">
        <v>18</v>
      </c>
      <c r="M47" s="78"/>
      <c r="N47" s="79"/>
      <c r="O47" s="119"/>
      <c r="P47" s="152"/>
    </row>
    <row r="48" spans="1:16" ht="22.5" x14ac:dyDescent="0.25">
      <c r="A48" s="155"/>
      <c r="B48" s="105" t="s">
        <v>54</v>
      </c>
      <c r="C48" s="3"/>
      <c r="D48" s="3"/>
      <c r="E48" s="3"/>
      <c r="F48" s="3"/>
      <c r="G48" s="7"/>
      <c r="H48" s="78">
        <v>0</v>
      </c>
      <c r="I48" s="78">
        <v>0</v>
      </c>
      <c r="J48" s="78">
        <v>0</v>
      </c>
      <c r="K48" s="78">
        <v>0</v>
      </c>
      <c r="L48" s="78">
        <v>0</v>
      </c>
      <c r="M48" s="78">
        <v>0</v>
      </c>
      <c r="N48" s="78">
        <v>0</v>
      </c>
      <c r="O48" s="119"/>
      <c r="P48" s="152"/>
    </row>
    <row r="49" spans="1:16" x14ac:dyDescent="0.25">
      <c r="A49" s="155"/>
      <c r="B49" s="105" t="s">
        <v>20</v>
      </c>
      <c r="C49" s="3"/>
      <c r="D49" s="3"/>
      <c r="E49" s="3"/>
      <c r="F49" s="3"/>
      <c r="G49" s="7"/>
      <c r="H49" s="78">
        <v>0</v>
      </c>
      <c r="I49" s="78">
        <v>0</v>
      </c>
      <c r="J49" s="78">
        <v>0</v>
      </c>
      <c r="K49" s="78">
        <v>0</v>
      </c>
      <c r="L49" s="78">
        <v>0</v>
      </c>
      <c r="M49" s="78">
        <v>0</v>
      </c>
      <c r="N49" s="78">
        <v>0</v>
      </c>
      <c r="O49" s="119"/>
      <c r="P49" s="152"/>
    </row>
    <row r="50" spans="1:16" ht="22.5" x14ac:dyDescent="0.25">
      <c r="A50" s="155"/>
      <c r="B50" s="105" t="s">
        <v>23</v>
      </c>
      <c r="C50" s="3"/>
      <c r="D50" s="3"/>
      <c r="E50" s="3"/>
      <c r="F50" s="3"/>
      <c r="G50" s="7"/>
      <c r="H50" s="78">
        <v>0</v>
      </c>
      <c r="I50" s="78">
        <v>0</v>
      </c>
      <c r="J50" s="78">
        <v>0</v>
      </c>
      <c r="K50" s="78">
        <v>0</v>
      </c>
      <c r="L50" s="78">
        <v>0</v>
      </c>
      <c r="M50" s="78">
        <v>0</v>
      </c>
      <c r="N50" s="78">
        <v>0</v>
      </c>
      <c r="O50" s="119"/>
      <c r="P50" s="152"/>
    </row>
    <row r="51" spans="1:16" x14ac:dyDescent="0.25">
      <c r="A51" s="155"/>
      <c r="B51" s="105" t="s">
        <v>21</v>
      </c>
      <c r="C51" s="3"/>
      <c r="D51" s="3"/>
      <c r="E51" s="3"/>
      <c r="F51" s="3"/>
      <c r="G51" s="7"/>
      <c r="H51" s="78">
        <v>0</v>
      </c>
      <c r="I51" s="78">
        <v>0</v>
      </c>
      <c r="J51" s="78">
        <v>0</v>
      </c>
      <c r="K51" s="78">
        <v>0</v>
      </c>
      <c r="L51" s="78">
        <v>0</v>
      </c>
      <c r="M51" s="78">
        <v>0</v>
      </c>
      <c r="N51" s="78">
        <v>0</v>
      </c>
      <c r="O51" s="119"/>
      <c r="P51" s="152"/>
    </row>
    <row r="52" spans="1:16" ht="22.5" x14ac:dyDescent="0.25">
      <c r="A52" s="155"/>
      <c r="B52" s="105" t="s">
        <v>22</v>
      </c>
      <c r="C52" s="3"/>
      <c r="D52" s="3"/>
      <c r="E52" s="3"/>
      <c r="F52" s="3"/>
      <c r="G52" s="7"/>
      <c r="H52" s="78">
        <v>0</v>
      </c>
      <c r="I52" s="78">
        <v>0</v>
      </c>
      <c r="J52" s="78">
        <v>0</v>
      </c>
      <c r="K52" s="78">
        <v>0</v>
      </c>
      <c r="L52" s="78">
        <v>0</v>
      </c>
      <c r="M52" s="78">
        <v>0</v>
      </c>
      <c r="N52" s="78">
        <v>0</v>
      </c>
      <c r="O52" s="119"/>
      <c r="P52" s="152"/>
    </row>
    <row r="53" spans="1:16" x14ac:dyDescent="0.25">
      <c r="A53" s="156"/>
      <c r="B53" s="92" t="s">
        <v>130</v>
      </c>
      <c r="C53" s="7"/>
      <c r="D53" s="7"/>
      <c r="E53" s="7"/>
      <c r="F53" s="7"/>
      <c r="G53" s="7"/>
      <c r="H53" s="78">
        <f t="shared" ref="H53" si="25">I53+J53+K53+L53</f>
        <v>0</v>
      </c>
      <c r="I53" s="78">
        <v>0</v>
      </c>
      <c r="J53" s="78">
        <v>0</v>
      </c>
      <c r="K53" s="78">
        <v>0</v>
      </c>
      <c r="L53" s="78">
        <v>0</v>
      </c>
      <c r="M53" s="78">
        <v>0</v>
      </c>
      <c r="N53" s="78">
        <v>0</v>
      </c>
      <c r="O53" s="120"/>
      <c r="P53" s="153"/>
    </row>
    <row r="54" spans="1:16" ht="33.75" customHeight="1" x14ac:dyDescent="0.25">
      <c r="A54" s="154" t="s">
        <v>132</v>
      </c>
      <c r="B54" s="105" t="s">
        <v>15</v>
      </c>
      <c r="C54" s="3"/>
      <c r="D54" s="3"/>
      <c r="E54" s="3"/>
      <c r="F54" s="3"/>
      <c r="G54" s="7"/>
      <c r="H54" s="1">
        <f>I54+J54+K54+L54</f>
        <v>400</v>
      </c>
      <c r="I54" s="1">
        <v>100</v>
      </c>
      <c r="J54" s="1">
        <v>100</v>
      </c>
      <c r="K54" s="1">
        <v>100</v>
      </c>
      <c r="L54" s="1">
        <v>100</v>
      </c>
      <c r="M54" s="1">
        <v>400</v>
      </c>
      <c r="N54" s="8">
        <v>400</v>
      </c>
      <c r="O54" s="118" t="s">
        <v>26</v>
      </c>
      <c r="P54" s="151" t="s">
        <v>134</v>
      </c>
    </row>
    <row r="55" spans="1:16" x14ac:dyDescent="0.25">
      <c r="A55" s="155"/>
      <c r="B55" s="105" t="s">
        <v>17</v>
      </c>
      <c r="C55" s="3"/>
      <c r="D55" s="3"/>
      <c r="E55" s="3"/>
      <c r="F55" s="3"/>
      <c r="G55" s="7"/>
      <c r="H55" s="78"/>
      <c r="I55" s="9" t="s">
        <v>18</v>
      </c>
      <c r="J55" s="9" t="s">
        <v>18</v>
      </c>
      <c r="K55" s="9" t="s">
        <v>18</v>
      </c>
      <c r="L55" s="9" t="s">
        <v>18</v>
      </c>
      <c r="M55" s="78"/>
      <c r="N55" s="79"/>
      <c r="O55" s="119"/>
      <c r="P55" s="152"/>
    </row>
    <row r="56" spans="1:16" ht="22.5" x14ac:dyDescent="0.25">
      <c r="A56" s="155"/>
      <c r="B56" s="105" t="s">
        <v>54</v>
      </c>
      <c r="C56" s="3"/>
      <c r="D56" s="3"/>
      <c r="E56" s="3"/>
      <c r="F56" s="3"/>
      <c r="G56" s="7"/>
      <c r="H56" s="78">
        <v>0</v>
      </c>
      <c r="I56" s="78">
        <v>0</v>
      </c>
      <c r="J56" s="78">
        <v>0</v>
      </c>
      <c r="K56" s="78">
        <v>0</v>
      </c>
      <c r="L56" s="78">
        <v>0</v>
      </c>
      <c r="M56" s="78">
        <v>0</v>
      </c>
      <c r="N56" s="78">
        <v>0</v>
      </c>
      <c r="O56" s="119"/>
      <c r="P56" s="152"/>
    </row>
    <row r="57" spans="1:16" x14ac:dyDescent="0.25">
      <c r="A57" s="155"/>
      <c r="B57" s="105" t="s">
        <v>20</v>
      </c>
      <c r="C57" s="3"/>
      <c r="D57" s="3"/>
      <c r="E57" s="3"/>
      <c r="F57" s="3"/>
      <c r="G57" s="7"/>
      <c r="H57" s="78">
        <v>0</v>
      </c>
      <c r="I57" s="78">
        <v>0</v>
      </c>
      <c r="J57" s="78">
        <v>0</v>
      </c>
      <c r="K57" s="78">
        <v>0</v>
      </c>
      <c r="L57" s="78">
        <v>0</v>
      </c>
      <c r="M57" s="78">
        <v>0</v>
      </c>
      <c r="N57" s="78">
        <v>0</v>
      </c>
      <c r="O57" s="119"/>
      <c r="P57" s="152"/>
    </row>
    <row r="58" spans="1:16" ht="22.5" x14ac:dyDescent="0.25">
      <c r="A58" s="155"/>
      <c r="B58" s="105" t="s">
        <v>23</v>
      </c>
      <c r="C58" s="3"/>
      <c r="D58" s="3"/>
      <c r="E58" s="3"/>
      <c r="F58" s="3"/>
      <c r="G58" s="7"/>
      <c r="H58" s="78">
        <v>0</v>
      </c>
      <c r="I58" s="78">
        <v>0</v>
      </c>
      <c r="J58" s="78">
        <v>0</v>
      </c>
      <c r="K58" s="78">
        <v>0</v>
      </c>
      <c r="L58" s="78">
        <v>0</v>
      </c>
      <c r="M58" s="78">
        <v>0</v>
      </c>
      <c r="N58" s="78">
        <v>0</v>
      </c>
      <c r="O58" s="119"/>
      <c r="P58" s="152"/>
    </row>
    <row r="59" spans="1:16" x14ac:dyDescent="0.25">
      <c r="A59" s="155"/>
      <c r="B59" s="105" t="s">
        <v>21</v>
      </c>
      <c r="C59" s="3"/>
      <c r="D59" s="3"/>
      <c r="E59" s="3"/>
      <c r="F59" s="3"/>
      <c r="G59" s="7"/>
      <c r="H59" s="78">
        <v>0</v>
      </c>
      <c r="I59" s="78">
        <v>0</v>
      </c>
      <c r="J59" s="78">
        <v>0</v>
      </c>
      <c r="K59" s="78">
        <v>0</v>
      </c>
      <c r="L59" s="78">
        <v>0</v>
      </c>
      <c r="M59" s="78">
        <v>0</v>
      </c>
      <c r="N59" s="78">
        <v>0</v>
      </c>
      <c r="O59" s="119"/>
      <c r="P59" s="152"/>
    </row>
    <row r="60" spans="1:16" ht="22.5" x14ac:dyDescent="0.25">
      <c r="A60" s="155"/>
      <c r="B60" s="105" t="s">
        <v>22</v>
      </c>
      <c r="C60" s="3"/>
      <c r="D60" s="3"/>
      <c r="E60" s="3"/>
      <c r="F60" s="3"/>
      <c r="G60" s="7"/>
      <c r="H60" s="78">
        <v>0</v>
      </c>
      <c r="I60" s="78">
        <v>0</v>
      </c>
      <c r="J60" s="78">
        <v>0</v>
      </c>
      <c r="K60" s="78">
        <v>0</v>
      </c>
      <c r="L60" s="78">
        <v>0</v>
      </c>
      <c r="M60" s="78">
        <v>0</v>
      </c>
      <c r="N60" s="78">
        <v>0</v>
      </c>
      <c r="O60" s="119"/>
      <c r="P60" s="152"/>
    </row>
    <row r="61" spans="1:16" x14ac:dyDescent="0.25">
      <c r="A61" s="156"/>
      <c r="B61" s="92" t="s">
        <v>130</v>
      </c>
      <c r="C61" s="7"/>
      <c r="D61" s="7"/>
      <c r="E61" s="7"/>
      <c r="F61" s="7"/>
      <c r="G61" s="7"/>
      <c r="H61" s="78">
        <f t="shared" ref="H61" si="26">I61+J61+K61+L61</f>
        <v>0</v>
      </c>
      <c r="I61" s="78">
        <v>0</v>
      </c>
      <c r="J61" s="78">
        <v>0</v>
      </c>
      <c r="K61" s="78">
        <v>0</v>
      </c>
      <c r="L61" s="78">
        <v>0</v>
      </c>
      <c r="M61" s="78">
        <v>0</v>
      </c>
      <c r="N61" s="78">
        <v>0</v>
      </c>
      <c r="O61" s="120"/>
      <c r="P61" s="153"/>
    </row>
    <row r="62" spans="1:16" ht="22.5" customHeight="1" x14ac:dyDescent="0.25">
      <c r="A62" s="154" t="s">
        <v>103</v>
      </c>
      <c r="B62" s="105" t="s">
        <v>27</v>
      </c>
      <c r="C62" s="7"/>
      <c r="D62" s="7"/>
      <c r="E62" s="7"/>
      <c r="F62" s="7"/>
      <c r="G62" s="7"/>
      <c r="H62" s="9">
        <f>I62+J62+K62+L62</f>
        <v>8000</v>
      </c>
      <c r="I62" s="1">
        <v>2000</v>
      </c>
      <c r="J62" s="1">
        <v>2000</v>
      </c>
      <c r="K62" s="1">
        <v>2000</v>
      </c>
      <c r="L62" s="1">
        <v>2000</v>
      </c>
      <c r="M62" s="1">
        <v>8000</v>
      </c>
      <c r="N62" s="8">
        <v>8000</v>
      </c>
      <c r="O62" s="118" t="s">
        <v>28</v>
      </c>
      <c r="P62" s="151" t="s">
        <v>135</v>
      </c>
    </row>
    <row r="63" spans="1:16" x14ac:dyDescent="0.25">
      <c r="A63" s="155"/>
      <c r="B63" s="105" t="s">
        <v>17</v>
      </c>
      <c r="C63" s="7"/>
      <c r="D63" s="7"/>
      <c r="E63" s="7"/>
      <c r="F63" s="7"/>
      <c r="G63" s="7"/>
      <c r="H63" s="116">
        <v>0</v>
      </c>
      <c r="I63" s="9" t="s">
        <v>18</v>
      </c>
      <c r="J63" s="9" t="s">
        <v>18</v>
      </c>
      <c r="K63" s="9" t="s">
        <v>18</v>
      </c>
      <c r="L63" s="9" t="s">
        <v>18</v>
      </c>
      <c r="M63" s="115">
        <v>0</v>
      </c>
      <c r="N63" s="115">
        <v>0</v>
      </c>
      <c r="O63" s="119"/>
      <c r="P63" s="152"/>
    </row>
    <row r="64" spans="1:16" ht="22.5" x14ac:dyDescent="0.25">
      <c r="A64" s="155"/>
      <c r="B64" s="105" t="s">
        <v>54</v>
      </c>
      <c r="C64" s="7"/>
      <c r="D64" s="7"/>
      <c r="E64" s="7"/>
      <c r="F64" s="7"/>
      <c r="G64" s="7"/>
      <c r="H64" s="9">
        <f>I64+J64+K64+L64</f>
        <v>115</v>
      </c>
      <c r="I64" s="78">
        <f>I65</f>
        <v>0</v>
      </c>
      <c r="J64" s="80">
        <f t="shared" ref="J64:N64" si="27">J65</f>
        <v>80</v>
      </c>
      <c r="K64" s="78">
        <f t="shared" si="27"/>
        <v>35</v>
      </c>
      <c r="L64" s="78">
        <f t="shared" si="27"/>
        <v>0</v>
      </c>
      <c r="M64" s="78">
        <f t="shared" si="27"/>
        <v>115</v>
      </c>
      <c r="N64" s="78">
        <f t="shared" si="27"/>
        <v>115</v>
      </c>
      <c r="O64" s="119"/>
      <c r="P64" s="152"/>
    </row>
    <row r="65" spans="1:16" x14ac:dyDescent="0.25">
      <c r="A65" s="155"/>
      <c r="B65" s="105" t="s">
        <v>20</v>
      </c>
      <c r="C65" s="56">
        <v>176</v>
      </c>
      <c r="D65" s="56" t="s">
        <v>59</v>
      </c>
      <c r="E65" s="56" t="s">
        <v>58</v>
      </c>
      <c r="F65" s="56" t="s">
        <v>78</v>
      </c>
      <c r="G65" s="56">
        <v>244</v>
      </c>
      <c r="H65" s="9">
        <f>I65+J65+K65+L65</f>
        <v>115</v>
      </c>
      <c r="I65" s="78">
        <v>0</v>
      </c>
      <c r="J65" s="9">
        <v>80</v>
      </c>
      <c r="K65" s="78">
        <v>35</v>
      </c>
      <c r="L65" s="78">
        <v>0</v>
      </c>
      <c r="M65" s="78">
        <v>115</v>
      </c>
      <c r="N65" s="78">
        <v>115</v>
      </c>
      <c r="O65" s="119"/>
      <c r="P65" s="152"/>
    </row>
    <row r="66" spans="1:16" ht="22.5" x14ac:dyDescent="0.25">
      <c r="A66" s="155"/>
      <c r="B66" s="105" t="s">
        <v>23</v>
      </c>
      <c r="C66" s="7"/>
      <c r="D66" s="7"/>
      <c r="E66" s="7"/>
      <c r="F66" s="7"/>
      <c r="G66" s="7"/>
      <c r="H66" s="78">
        <v>0</v>
      </c>
      <c r="I66" s="78">
        <v>0</v>
      </c>
      <c r="J66" s="78">
        <v>0</v>
      </c>
      <c r="K66" s="78">
        <v>0</v>
      </c>
      <c r="L66" s="78">
        <v>0</v>
      </c>
      <c r="M66" s="78">
        <v>0</v>
      </c>
      <c r="N66" s="78">
        <v>0</v>
      </c>
      <c r="O66" s="119"/>
      <c r="P66" s="152"/>
    </row>
    <row r="67" spans="1:16" x14ac:dyDescent="0.25">
      <c r="A67" s="155"/>
      <c r="B67" s="105" t="s">
        <v>21</v>
      </c>
      <c r="C67" s="7"/>
      <c r="D67" s="7"/>
      <c r="E67" s="7"/>
      <c r="F67" s="7"/>
      <c r="G67" s="7"/>
      <c r="H67" s="78">
        <v>0</v>
      </c>
      <c r="I67" s="78">
        <v>0</v>
      </c>
      <c r="J67" s="78">
        <v>0</v>
      </c>
      <c r="K67" s="78">
        <v>0</v>
      </c>
      <c r="L67" s="78">
        <v>0</v>
      </c>
      <c r="M67" s="78">
        <v>0</v>
      </c>
      <c r="N67" s="78">
        <v>0</v>
      </c>
      <c r="O67" s="119"/>
      <c r="P67" s="152"/>
    </row>
    <row r="68" spans="1:16" ht="22.5" x14ac:dyDescent="0.25">
      <c r="A68" s="155"/>
      <c r="B68" s="105" t="s">
        <v>22</v>
      </c>
      <c r="C68" s="7"/>
      <c r="D68" s="7"/>
      <c r="E68" s="7"/>
      <c r="F68" s="7"/>
      <c r="G68" s="7"/>
      <c r="H68" s="78">
        <v>0</v>
      </c>
      <c r="I68" s="78">
        <v>0</v>
      </c>
      <c r="J68" s="78">
        <v>0</v>
      </c>
      <c r="K68" s="78">
        <v>0</v>
      </c>
      <c r="L68" s="78">
        <v>0</v>
      </c>
      <c r="M68" s="78">
        <v>0</v>
      </c>
      <c r="N68" s="78">
        <v>0</v>
      </c>
      <c r="O68" s="119"/>
      <c r="P68" s="152"/>
    </row>
    <row r="69" spans="1:16" x14ac:dyDescent="0.25">
      <c r="A69" s="156"/>
      <c r="B69" s="92" t="s">
        <v>130</v>
      </c>
      <c r="C69" s="7"/>
      <c r="D69" s="7"/>
      <c r="E69" s="7"/>
      <c r="F69" s="7"/>
      <c r="G69" s="7"/>
      <c r="H69" s="78">
        <f t="shared" ref="H69" si="28">I69+J69+K69+L69</f>
        <v>0</v>
      </c>
      <c r="I69" s="78">
        <v>0</v>
      </c>
      <c r="J69" s="78">
        <v>0</v>
      </c>
      <c r="K69" s="78">
        <v>0</v>
      </c>
      <c r="L69" s="78">
        <v>0</v>
      </c>
      <c r="M69" s="78">
        <v>0</v>
      </c>
      <c r="N69" s="78">
        <v>0</v>
      </c>
      <c r="O69" s="120"/>
      <c r="P69" s="153"/>
    </row>
    <row r="70" spans="1:16" ht="33.75" customHeight="1" x14ac:dyDescent="0.25">
      <c r="A70" s="154" t="s">
        <v>143</v>
      </c>
      <c r="B70" s="90" t="s">
        <v>15</v>
      </c>
      <c r="C70" s="7"/>
      <c r="D70" s="7"/>
      <c r="E70" s="7"/>
      <c r="F70" s="7"/>
      <c r="G70" s="7"/>
      <c r="H70" s="9">
        <f>I70+J70+K70+L70</f>
        <v>61</v>
      </c>
      <c r="I70" s="1">
        <v>10</v>
      </c>
      <c r="J70" s="1">
        <v>15</v>
      </c>
      <c r="K70" s="1">
        <f>11+15</f>
        <v>26</v>
      </c>
      <c r="L70" s="1">
        <v>10</v>
      </c>
      <c r="M70" s="1">
        <f>11+50</f>
        <v>61</v>
      </c>
      <c r="N70" s="8">
        <f>11+50</f>
        <v>61</v>
      </c>
      <c r="O70" s="118" t="s">
        <v>28</v>
      </c>
      <c r="P70" s="151" t="s">
        <v>104</v>
      </c>
    </row>
    <row r="71" spans="1:16" x14ac:dyDescent="0.25">
      <c r="A71" s="155"/>
      <c r="B71" s="90" t="s">
        <v>17</v>
      </c>
      <c r="C71" s="7"/>
      <c r="D71" s="7"/>
      <c r="E71" s="7"/>
      <c r="F71" s="7"/>
      <c r="G71" s="7"/>
      <c r="H71" s="78">
        <f>H72/H70</f>
        <v>1.639344262295082</v>
      </c>
      <c r="I71" s="9" t="s">
        <v>18</v>
      </c>
      <c r="J71" s="9" t="s">
        <v>18</v>
      </c>
      <c r="K71" s="9" t="s">
        <v>18</v>
      </c>
      <c r="L71" s="9" t="s">
        <v>18</v>
      </c>
      <c r="M71" s="78">
        <f>M72/M70</f>
        <v>1.639344262295082</v>
      </c>
      <c r="N71" s="78">
        <f>N72/N70</f>
        <v>1.639344262295082</v>
      </c>
      <c r="O71" s="119"/>
      <c r="P71" s="152"/>
    </row>
    <row r="72" spans="1:16" ht="22.15" customHeight="1" x14ac:dyDescent="0.25">
      <c r="A72" s="155"/>
      <c r="B72" s="90" t="s">
        <v>54</v>
      </c>
      <c r="C72" s="7"/>
      <c r="D72" s="7"/>
      <c r="E72" s="7"/>
      <c r="F72" s="7"/>
      <c r="G72" s="7"/>
      <c r="H72" s="9">
        <f>I72+J72+K72+L72</f>
        <v>100</v>
      </c>
      <c r="I72" s="78">
        <f t="shared" ref="I72:J72" si="29">I73</f>
        <v>0</v>
      </c>
      <c r="J72" s="78">
        <f t="shared" si="29"/>
        <v>0</v>
      </c>
      <c r="K72" s="78">
        <f>K73</f>
        <v>100</v>
      </c>
      <c r="L72" s="78">
        <f t="shared" ref="L72:N72" si="30">L73</f>
        <v>0</v>
      </c>
      <c r="M72" s="78">
        <f t="shared" si="30"/>
        <v>100</v>
      </c>
      <c r="N72" s="78">
        <f t="shared" si="30"/>
        <v>100</v>
      </c>
      <c r="O72" s="119"/>
      <c r="P72" s="152"/>
    </row>
    <row r="73" spans="1:16" x14ac:dyDescent="0.25">
      <c r="A73" s="155"/>
      <c r="B73" s="90" t="s">
        <v>20</v>
      </c>
      <c r="C73" s="56">
        <v>176</v>
      </c>
      <c r="D73" s="56" t="s">
        <v>59</v>
      </c>
      <c r="E73" s="56" t="s">
        <v>58</v>
      </c>
      <c r="F73" s="56" t="s">
        <v>78</v>
      </c>
      <c r="G73" s="56">
        <v>244</v>
      </c>
      <c r="H73" s="9">
        <f>I73+J73+K73+L73</f>
        <v>100</v>
      </c>
      <c r="I73" s="9">
        <v>0</v>
      </c>
      <c r="J73" s="9">
        <v>0</v>
      </c>
      <c r="K73" s="78">
        <v>100</v>
      </c>
      <c r="L73" s="78">
        <v>0</v>
      </c>
      <c r="M73" s="78">
        <v>100</v>
      </c>
      <c r="N73" s="78">
        <v>100</v>
      </c>
      <c r="O73" s="119"/>
      <c r="P73" s="152"/>
    </row>
    <row r="74" spans="1:16" ht="22.5" x14ac:dyDescent="0.25">
      <c r="A74" s="155"/>
      <c r="B74" s="90" t="s">
        <v>23</v>
      </c>
      <c r="C74" s="7"/>
      <c r="D74" s="7"/>
      <c r="E74" s="7"/>
      <c r="F74" s="7"/>
      <c r="G74" s="7"/>
      <c r="H74" s="78">
        <v>0</v>
      </c>
      <c r="I74" s="78">
        <v>0</v>
      </c>
      <c r="J74" s="78">
        <v>0</v>
      </c>
      <c r="K74" s="78">
        <v>0</v>
      </c>
      <c r="L74" s="78">
        <v>0</v>
      </c>
      <c r="M74" s="78">
        <v>0</v>
      </c>
      <c r="N74" s="78">
        <v>0</v>
      </c>
      <c r="O74" s="119"/>
      <c r="P74" s="152"/>
    </row>
    <row r="75" spans="1:16" x14ac:dyDescent="0.25">
      <c r="A75" s="155"/>
      <c r="B75" s="90" t="s">
        <v>21</v>
      </c>
      <c r="C75" s="7"/>
      <c r="D75" s="7"/>
      <c r="E75" s="7"/>
      <c r="F75" s="7"/>
      <c r="G75" s="7"/>
      <c r="H75" s="78">
        <v>0</v>
      </c>
      <c r="I75" s="78">
        <v>0</v>
      </c>
      <c r="J75" s="78">
        <v>0</v>
      </c>
      <c r="K75" s="78">
        <v>0</v>
      </c>
      <c r="L75" s="78">
        <v>0</v>
      </c>
      <c r="M75" s="78">
        <v>0</v>
      </c>
      <c r="N75" s="78">
        <v>0</v>
      </c>
      <c r="O75" s="119"/>
      <c r="P75" s="152"/>
    </row>
    <row r="76" spans="1:16" ht="22.15" customHeight="1" x14ac:dyDescent="0.25">
      <c r="A76" s="155"/>
      <c r="B76" s="90" t="s">
        <v>22</v>
      </c>
      <c r="C76" s="7"/>
      <c r="D76" s="7"/>
      <c r="E76" s="7"/>
      <c r="F76" s="7"/>
      <c r="G76" s="7"/>
      <c r="H76" s="78">
        <v>0</v>
      </c>
      <c r="I76" s="78">
        <v>0</v>
      </c>
      <c r="J76" s="78">
        <v>0</v>
      </c>
      <c r="K76" s="78">
        <v>0</v>
      </c>
      <c r="L76" s="78">
        <v>0</v>
      </c>
      <c r="M76" s="78">
        <v>0</v>
      </c>
      <c r="N76" s="78">
        <v>0</v>
      </c>
      <c r="O76" s="119"/>
      <c r="P76" s="152"/>
    </row>
    <row r="77" spans="1:16" x14ac:dyDescent="0.25">
      <c r="A77" s="156"/>
      <c r="B77" s="92" t="s">
        <v>130</v>
      </c>
      <c r="C77" s="7"/>
      <c r="D77" s="7"/>
      <c r="E77" s="7"/>
      <c r="F77" s="7"/>
      <c r="G77" s="7"/>
      <c r="H77" s="78">
        <f t="shared" ref="H77" si="31">I77+J77+K77+L77</f>
        <v>0</v>
      </c>
      <c r="I77" s="78">
        <v>0</v>
      </c>
      <c r="J77" s="78">
        <v>0</v>
      </c>
      <c r="K77" s="78">
        <v>0</v>
      </c>
      <c r="L77" s="78">
        <v>0</v>
      </c>
      <c r="M77" s="78">
        <v>0</v>
      </c>
      <c r="N77" s="78">
        <v>0</v>
      </c>
      <c r="O77" s="120"/>
      <c r="P77" s="153"/>
    </row>
    <row r="78" spans="1:16" ht="22.5" customHeight="1" x14ac:dyDescent="0.25">
      <c r="A78" s="154" t="s">
        <v>142</v>
      </c>
      <c r="B78" s="90" t="s">
        <v>75</v>
      </c>
      <c r="C78" s="7"/>
      <c r="D78" s="7"/>
      <c r="E78" s="7"/>
      <c r="F78" s="7"/>
      <c r="G78" s="7"/>
      <c r="H78" s="1">
        <f>I78+J78+K78+L78</f>
        <v>1</v>
      </c>
      <c r="I78" s="1">
        <v>0</v>
      </c>
      <c r="J78" s="1">
        <v>0</v>
      </c>
      <c r="K78" s="1">
        <v>1</v>
      </c>
      <c r="L78" s="1">
        <v>0</v>
      </c>
      <c r="M78" s="1">
        <v>1</v>
      </c>
      <c r="N78" s="8">
        <v>1</v>
      </c>
      <c r="O78" s="118" t="s">
        <v>62</v>
      </c>
      <c r="P78" s="151" t="s">
        <v>140</v>
      </c>
    </row>
    <row r="79" spans="1:16" x14ac:dyDescent="0.25">
      <c r="A79" s="155"/>
      <c r="B79" s="90" t="s">
        <v>17</v>
      </c>
      <c r="C79" s="7"/>
      <c r="D79" s="7"/>
      <c r="E79" s="7"/>
      <c r="F79" s="7"/>
      <c r="G79" s="7"/>
      <c r="H79" s="1">
        <f>H80/H78</f>
        <v>285</v>
      </c>
      <c r="I79" s="1" t="s">
        <v>18</v>
      </c>
      <c r="J79" s="1" t="s">
        <v>18</v>
      </c>
      <c r="K79" s="1" t="s">
        <v>18</v>
      </c>
      <c r="L79" s="1" t="s">
        <v>18</v>
      </c>
      <c r="M79" s="1">
        <f>M80/M78</f>
        <v>285</v>
      </c>
      <c r="N79" s="1">
        <f>N80/N78</f>
        <v>285</v>
      </c>
      <c r="O79" s="119"/>
      <c r="P79" s="152"/>
    </row>
    <row r="80" spans="1:16" ht="22.5" x14ac:dyDescent="0.25">
      <c r="A80" s="155"/>
      <c r="B80" s="90" t="s">
        <v>54</v>
      </c>
      <c r="C80" s="7"/>
      <c r="D80" s="7"/>
      <c r="E80" s="7"/>
      <c r="F80" s="7"/>
      <c r="G80" s="7"/>
      <c r="H80" s="1">
        <f>I80+J80+K80+L80</f>
        <v>285</v>
      </c>
      <c r="I80" s="1">
        <f t="shared" ref="I80:J80" si="32">I81</f>
        <v>0</v>
      </c>
      <c r="J80" s="1">
        <f t="shared" si="32"/>
        <v>0</v>
      </c>
      <c r="K80" s="1">
        <f>K81</f>
        <v>285</v>
      </c>
      <c r="L80" s="1">
        <f t="shared" ref="L80:N80" si="33">L81</f>
        <v>0</v>
      </c>
      <c r="M80" s="1">
        <f t="shared" si="33"/>
        <v>285</v>
      </c>
      <c r="N80" s="1">
        <f t="shared" si="33"/>
        <v>285</v>
      </c>
      <c r="O80" s="119"/>
      <c r="P80" s="152"/>
    </row>
    <row r="81" spans="1:16" x14ac:dyDescent="0.25">
      <c r="A81" s="155"/>
      <c r="B81" s="89" t="s">
        <v>20</v>
      </c>
      <c r="C81" s="56">
        <v>176</v>
      </c>
      <c r="D81" s="56" t="s">
        <v>59</v>
      </c>
      <c r="E81" s="56" t="s">
        <v>58</v>
      </c>
      <c r="F81" s="56" t="s">
        <v>78</v>
      </c>
      <c r="G81" s="56">
        <v>244</v>
      </c>
      <c r="H81" s="1">
        <f>I81+J81+K81+L81</f>
        <v>285</v>
      </c>
      <c r="I81" s="1">
        <v>0</v>
      </c>
      <c r="J81" s="1">
        <v>0</v>
      </c>
      <c r="K81" s="1">
        <v>285</v>
      </c>
      <c r="L81" s="1">
        <v>0</v>
      </c>
      <c r="M81" s="1">
        <v>285</v>
      </c>
      <c r="N81" s="1">
        <v>285</v>
      </c>
      <c r="O81" s="119"/>
      <c r="P81" s="152"/>
    </row>
    <row r="82" spans="1:16" ht="22.5" x14ac:dyDescent="0.25">
      <c r="A82" s="155"/>
      <c r="B82" s="90" t="s">
        <v>23</v>
      </c>
      <c r="C82" s="56"/>
      <c r="D82" s="56"/>
      <c r="E82" s="56"/>
      <c r="F82" s="56"/>
      <c r="G82" s="56"/>
      <c r="H82" s="1">
        <v>0</v>
      </c>
      <c r="I82" s="1">
        <v>0</v>
      </c>
      <c r="J82" s="1">
        <v>0</v>
      </c>
      <c r="K82" s="1">
        <v>0</v>
      </c>
      <c r="L82" s="1">
        <v>0</v>
      </c>
      <c r="M82" s="1">
        <v>0</v>
      </c>
      <c r="N82" s="1">
        <v>0</v>
      </c>
      <c r="O82" s="119"/>
      <c r="P82" s="152"/>
    </row>
    <row r="83" spans="1:16" x14ac:dyDescent="0.25">
      <c r="A83" s="155"/>
      <c r="B83" s="90" t="s">
        <v>21</v>
      </c>
      <c r="C83" s="7"/>
      <c r="D83" s="7"/>
      <c r="E83" s="7"/>
      <c r="F83" s="7"/>
      <c r="G83" s="7"/>
      <c r="H83" s="55">
        <v>0</v>
      </c>
      <c r="I83" s="55">
        <v>0</v>
      </c>
      <c r="J83" s="55">
        <v>0</v>
      </c>
      <c r="K83" s="55">
        <v>0</v>
      </c>
      <c r="L83" s="55">
        <v>0</v>
      </c>
      <c r="M83" s="55">
        <v>0</v>
      </c>
      <c r="N83" s="55">
        <v>0</v>
      </c>
      <c r="O83" s="119"/>
      <c r="P83" s="152"/>
    </row>
    <row r="84" spans="1:16" ht="22.15" customHeight="1" x14ac:dyDescent="0.25">
      <c r="A84" s="155"/>
      <c r="B84" s="88" t="s">
        <v>22</v>
      </c>
      <c r="C84" s="57"/>
      <c r="D84" s="57"/>
      <c r="E84" s="57"/>
      <c r="F84" s="57"/>
      <c r="G84" s="57"/>
      <c r="H84" s="58">
        <v>0</v>
      </c>
      <c r="I84" s="58">
        <v>0</v>
      </c>
      <c r="J84" s="58">
        <v>0</v>
      </c>
      <c r="K84" s="58">
        <v>0</v>
      </c>
      <c r="L84" s="58">
        <v>0</v>
      </c>
      <c r="M84" s="58">
        <v>0</v>
      </c>
      <c r="N84" s="58">
        <v>0</v>
      </c>
      <c r="O84" s="119"/>
      <c r="P84" s="152"/>
    </row>
    <row r="85" spans="1:16" x14ac:dyDescent="0.25">
      <c r="A85" s="156"/>
      <c r="B85" s="92" t="s">
        <v>130</v>
      </c>
      <c r="C85" s="7"/>
      <c r="D85" s="7"/>
      <c r="E85" s="7"/>
      <c r="F85" s="7"/>
      <c r="G85" s="7"/>
      <c r="H85" s="55">
        <f t="shared" ref="H85" si="34">I85+J85+K85+L85</f>
        <v>0</v>
      </c>
      <c r="I85" s="55">
        <v>0</v>
      </c>
      <c r="J85" s="55">
        <v>0</v>
      </c>
      <c r="K85" s="55">
        <v>0</v>
      </c>
      <c r="L85" s="55">
        <v>0</v>
      </c>
      <c r="M85" s="55">
        <v>0</v>
      </c>
      <c r="N85" s="55">
        <v>0</v>
      </c>
      <c r="O85" s="120"/>
      <c r="P85" s="153"/>
    </row>
    <row r="86" spans="1:16" ht="51.75" customHeight="1" x14ac:dyDescent="0.25">
      <c r="A86" s="154" t="s">
        <v>116</v>
      </c>
      <c r="B86" s="90" t="s">
        <v>94</v>
      </c>
      <c r="C86" s="7"/>
      <c r="D86" s="7"/>
      <c r="E86" s="7"/>
      <c r="F86" s="7"/>
      <c r="G86" s="7"/>
      <c r="H86" s="1">
        <f>I86+J86+K86+L86</f>
        <v>1</v>
      </c>
      <c r="I86" s="1">
        <v>0</v>
      </c>
      <c r="J86" s="1">
        <v>0</v>
      </c>
      <c r="K86" s="1">
        <v>0</v>
      </c>
      <c r="L86" s="1">
        <v>1</v>
      </c>
      <c r="M86" s="1">
        <v>1</v>
      </c>
      <c r="N86" s="8">
        <v>1</v>
      </c>
      <c r="O86" s="118" t="s">
        <v>105</v>
      </c>
      <c r="P86" s="151" t="s">
        <v>107</v>
      </c>
    </row>
    <row r="87" spans="1:16" ht="51.75" customHeight="1" x14ac:dyDescent="0.25">
      <c r="A87" s="155"/>
      <c r="B87" s="90" t="s">
        <v>17</v>
      </c>
      <c r="C87" s="7"/>
      <c r="D87" s="7"/>
      <c r="E87" s="7"/>
      <c r="F87" s="7"/>
      <c r="G87" s="7"/>
      <c r="H87" s="1">
        <f>H88/H86</f>
        <v>82535.100000000006</v>
      </c>
      <c r="I87" s="1" t="s">
        <v>18</v>
      </c>
      <c r="J87" s="1" t="s">
        <v>18</v>
      </c>
      <c r="K87" s="1" t="s">
        <v>18</v>
      </c>
      <c r="L87" s="1" t="s">
        <v>18</v>
      </c>
      <c r="M87" s="1">
        <f>M88/M86</f>
        <v>82535.100000000006</v>
      </c>
      <c r="N87" s="1">
        <f>N88/N86</f>
        <v>82535.100000000006</v>
      </c>
      <c r="O87" s="119"/>
      <c r="P87" s="152"/>
    </row>
    <row r="88" spans="1:16" ht="51.75" customHeight="1" x14ac:dyDescent="0.25">
      <c r="A88" s="155"/>
      <c r="B88" s="90" t="s">
        <v>54</v>
      </c>
      <c r="C88" s="7"/>
      <c r="D88" s="7"/>
      <c r="E88" s="7"/>
      <c r="F88" s="7"/>
      <c r="G88" s="7"/>
      <c r="H88" s="1">
        <f>I88+J88+K88+L88</f>
        <v>82535.100000000006</v>
      </c>
      <c r="I88" s="1">
        <f t="shared" ref="I88" si="35">I89</f>
        <v>13755</v>
      </c>
      <c r="J88" s="1">
        <f t="shared" ref="J88" si="36">J89</f>
        <v>13755</v>
      </c>
      <c r="K88" s="1">
        <f>K89</f>
        <v>27000</v>
      </c>
      <c r="L88" s="1">
        <f t="shared" ref="L88" si="37">L89</f>
        <v>28025.1</v>
      </c>
      <c r="M88" s="1">
        <f t="shared" ref="M88" si="38">M89</f>
        <v>82535.100000000006</v>
      </c>
      <c r="N88" s="1">
        <f t="shared" ref="N88" si="39">N89</f>
        <v>82535.100000000006</v>
      </c>
      <c r="O88" s="119"/>
      <c r="P88" s="152"/>
    </row>
    <row r="89" spans="1:16" ht="51.75" customHeight="1" x14ac:dyDescent="0.25">
      <c r="A89" s="155"/>
      <c r="B89" s="89" t="s">
        <v>20</v>
      </c>
      <c r="C89" s="56">
        <v>176</v>
      </c>
      <c r="D89" s="56" t="s">
        <v>59</v>
      </c>
      <c r="E89" s="56" t="s">
        <v>58</v>
      </c>
      <c r="F89" s="56" t="s">
        <v>78</v>
      </c>
      <c r="G89" s="56">
        <v>244</v>
      </c>
      <c r="H89" s="1">
        <f>I89+J89+K89+L89</f>
        <v>82535.100000000006</v>
      </c>
      <c r="I89" s="1">
        <v>13755</v>
      </c>
      <c r="J89" s="1">
        <v>13755</v>
      </c>
      <c r="K89" s="1">
        <v>27000</v>
      </c>
      <c r="L89" s="1">
        <v>28025.1</v>
      </c>
      <c r="M89" s="1">
        <v>82535.100000000006</v>
      </c>
      <c r="N89" s="1">
        <v>82535.100000000006</v>
      </c>
      <c r="O89" s="119"/>
      <c r="P89" s="152"/>
    </row>
    <row r="90" spans="1:16" ht="51.75" customHeight="1" x14ac:dyDescent="0.25">
      <c r="A90" s="155"/>
      <c r="B90" s="90" t="s">
        <v>23</v>
      </c>
      <c r="C90" s="56"/>
      <c r="D90" s="56"/>
      <c r="E90" s="56"/>
      <c r="F90" s="56"/>
      <c r="G90" s="56"/>
      <c r="H90" s="1">
        <v>0</v>
      </c>
      <c r="I90" s="1">
        <v>0</v>
      </c>
      <c r="J90" s="1">
        <v>0</v>
      </c>
      <c r="K90" s="1">
        <v>0</v>
      </c>
      <c r="L90" s="1">
        <v>0</v>
      </c>
      <c r="M90" s="1">
        <v>0</v>
      </c>
      <c r="N90" s="1">
        <v>0</v>
      </c>
      <c r="O90" s="119"/>
      <c r="P90" s="152"/>
    </row>
    <row r="91" spans="1:16" ht="51.75" customHeight="1" x14ac:dyDescent="0.25">
      <c r="A91" s="155"/>
      <c r="B91" s="90" t="s">
        <v>21</v>
      </c>
      <c r="C91" s="7"/>
      <c r="D91" s="7"/>
      <c r="E91" s="7"/>
      <c r="F91" s="7"/>
      <c r="G91" s="7"/>
      <c r="H91" s="55">
        <v>0</v>
      </c>
      <c r="I91" s="55">
        <v>0</v>
      </c>
      <c r="J91" s="55">
        <v>0</v>
      </c>
      <c r="K91" s="55">
        <v>0</v>
      </c>
      <c r="L91" s="55">
        <v>0</v>
      </c>
      <c r="M91" s="55">
        <v>0</v>
      </c>
      <c r="N91" s="55">
        <v>0</v>
      </c>
      <c r="O91" s="119"/>
      <c r="P91" s="152"/>
    </row>
    <row r="92" spans="1:16" ht="51.75" customHeight="1" x14ac:dyDescent="0.25">
      <c r="A92" s="155"/>
      <c r="B92" s="88" t="s">
        <v>22</v>
      </c>
      <c r="C92" s="57"/>
      <c r="D92" s="57"/>
      <c r="E92" s="57"/>
      <c r="F92" s="57"/>
      <c r="G92" s="57"/>
      <c r="H92" s="58">
        <v>0</v>
      </c>
      <c r="I92" s="58">
        <v>0</v>
      </c>
      <c r="J92" s="58">
        <v>0</v>
      </c>
      <c r="K92" s="58">
        <v>0</v>
      </c>
      <c r="L92" s="58">
        <v>0</v>
      </c>
      <c r="M92" s="58">
        <v>0</v>
      </c>
      <c r="N92" s="58">
        <v>0</v>
      </c>
      <c r="O92" s="119"/>
      <c r="P92" s="152"/>
    </row>
    <row r="93" spans="1:16" ht="15.75" thickBot="1" x14ac:dyDescent="0.3">
      <c r="A93" s="189"/>
      <c r="B93" s="92" t="s">
        <v>130</v>
      </c>
      <c r="C93" s="7"/>
      <c r="D93" s="7"/>
      <c r="E93" s="7"/>
      <c r="F93" s="7"/>
      <c r="G93" s="7"/>
      <c r="H93" s="55">
        <f t="shared" ref="H93" si="40">I93+J93+K93+L93</f>
        <v>0</v>
      </c>
      <c r="I93" s="55">
        <v>0</v>
      </c>
      <c r="J93" s="55">
        <v>0</v>
      </c>
      <c r="K93" s="55">
        <v>0</v>
      </c>
      <c r="L93" s="55">
        <v>0</v>
      </c>
      <c r="M93" s="55">
        <v>0</v>
      </c>
      <c r="N93" s="55">
        <v>0</v>
      </c>
      <c r="O93" s="190"/>
      <c r="P93" s="186"/>
    </row>
    <row r="94" spans="1:16" ht="21" customHeight="1" x14ac:dyDescent="0.25">
      <c r="A94" s="191" t="s">
        <v>70</v>
      </c>
      <c r="B94" s="81" t="s">
        <v>30</v>
      </c>
      <c r="C94" s="82"/>
      <c r="D94" s="82"/>
      <c r="E94" s="82"/>
      <c r="F94" s="82"/>
      <c r="G94" s="82"/>
      <c r="H94" s="83">
        <f>H95+H96+H97+H98</f>
        <v>97035.1</v>
      </c>
      <c r="I94" s="83">
        <f t="shared" ref="I94:N94" si="41">I95+I96+I97+I98</f>
        <v>13755</v>
      </c>
      <c r="J94" s="83">
        <f t="shared" si="41"/>
        <v>15035</v>
      </c>
      <c r="K94" s="83">
        <f t="shared" si="41"/>
        <v>28220</v>
      </c>
      <c r="L94" s="83">
        <f t="shared" si="41"/>
        <v>40025.1</v>
      </c>
      <c r="M94" s="83">
        <f t="shared" si="41"/>
        <v>87035.1</v>
      </c>
      <c r="N94" s="83">
        <f t="shared" si="41"/>
        <v>87035.1</v>
      </c>
      <c r="O94" s="170"/>
      <c r="P94" s="173"/>
    </row>
    <row r="95" spans="1:16" x14ac:dyDescent="0.25">
      <c r="A95" s="192"/>
      <c r="B95" s="93" t="s">
        <v>20</v>
      </c>
      <c r="C95" s="84"/>
      <c r="D95" s="84"/>
      <c r="E95" s="84"/>
      <c r="F95" s="84"/>
      <c r="G95" s="84"/>
      <c r="H95" s="59">
        <f>I95+J95+K95+L95</f>
        <v>97035.1</v>
      </c>
      <c r="I95" s="59">
        <f t="shared" ref="I95:N95" si="42">I41+I17</f>
        <v>13755</v>
      </c>
      <c r="J95" s="59">
        <f t="shared" si="42"/>
        <v>15035</v>
      </c>
      <c r="K95" s="59">
        <f t="shared" si="42"/>
        <v>28220</v>
      </c>
      <c r="L95" s="59">
        <f t="shared" si="42"/>
        <v>40025.1</v>
      </c>
      <c r="M95" s="59">
        <f t="shared" si="42"/>
        <v>87035.1</v>
      </c>
      <c r="N95" s="59">
        <f t="shared" si="42"/>
        <v>87035.1</v>
      </c>
      <c r="O95" s="171"/>
      <c r="P95" s="174"/>
    </row>
    <row r="96" spans="1:16" ht="19.899999999999999" customHeight="1" x14ac:dyDescent="0.25">
      <c r="A96" s="192"/>
      <c r="B96" s="93" t="s">
        <v>23</v>
      </c>
      <c r="C96" s="84"/>
      <c r="D96" s="84"/>
      <c r="E96" s="84"/>
      <c r="F96" s="84"/>
      <c r="G96" s="60"/>
      <c r="H96" s="59">
        <f t="shared" ref="H96:H98" si="43">I96+J96+K96+L96</f>
        <v>0</v>
      </c>
      <c r="I96" s="59">
        <f t="shared" ref="I96:I98" si="44">J96+K96+L96+M96</f>
        <v>0</v>
      </c>
      <c r="J96" s="59">
        <f t="shared" ref="J96:J98" si="45">K96+L96+M96+N96</f>
        <v>0</v>
      </c>
      <c r="K96" s="59">
        <f t="shared" ref="K96:K98" si="46">L96+M96+N96+O96</f>
        <v>0</v>
      </c>
      <c r="L96" s="59">
        <f t="shared" ref="L96:L98" si="47">M96+N96+O96+P96</f>
        <v>0</v>
      </c>
      <c r="M96" s="59">
        <f t="shared" ref="M96:M98" si="48">N96+O96+P96+Q96</f>
        <v>0</v>
      </c>
      <c r="N96" s="59">
        <f t="shared" ref="N96:N98" si="49">O96+P96+Q96+R96</f>
        <v>0</v>
      </c>
      <c r="O96" s="171"/>
      <c r="P96" s="174"/>
    </row>
    <row r="97" spans="1:16" x14ac:dyDescent="0.25">
      <c r="A97" s="192"/>
      <c r="B97" s="93" t="s">
        <v>21</v>
      </c>
      <c r="C97" s="84"/>
      <c r="D97" s="84"/>
      <c r="E97" s="84"/>
      <c r="F97" s="84"/>
      <c r="G97" s="84"/>
      <c r="H97" s="59">
        <f t="shared" si="43"/>
        <v>0</v>
      </c>
      <c r="I97" s="59">
        <f t="shared" si="44"/>
        <v>0</v>
      </c>
      <c r="J97" s="59">
        <f t="shared" si="45"/>
        <v>0</v>
      </c>
      <c r="K97" s="59">
        <f t="shared" si="46"/>
        <v>0</v>
      </c>
      <c r="L97" s="59">
        <f t="shared" si="47"/>
        <v>0</v>
      </c>
      <c r="M97" s="59">
        <f t="shared" si="48"/>
        <v>0</v>
      </c>
      <c r="N97" s="59">
        <f t="shared" si="49"/>
        <v>0</v>
      </c>
      <c r="O97" s="171"/>
      <c r="P97" s="174"/>
    </row>
    <row r="98" spans="1:16" ht="21" x14ac:dyDescent="0.25">
      <c r="A98" s="192"/>
      <c r="B98" s="93" t="s">
        <v>22</v>
      </c>
      <c r="C98" s="84"/>
      <c r="D98" s="84"/>
      <c r="E98" s="84"/>
      <c r="F98" s="84"/>
      <c r="G98" s="84"/>
      <c r="H98" s="59">
        <f t="shared" si="43"/>
        <v>0</v>
      </c>
      <c r="I98" s="59">
        <f t="shared" si="44"/>
        <v>0</v>
      </c>
      <c r="J98" s="59">
        <f t="shared" si="45"/>
        <v>0</v>
      </c>
      <c r="K98" s="59">
        <f t="shared" si="46"/>
        <v>0</v>
      </c>
      <c r="L98" s="59">
        <f t="shared" si="47"/>
        <v>0</v>
      </c>
      <c r="M98" s="59">
        <f t="shared" si="48"/>
        <v>0</v>
      </c>
      <c r="N98" s="59">
        <f t="shared" si="49"/>
        <v>0</v>
      </c>
      <c r="O98" s="171"/>
      <c r="P98" s="174"/>
    </row>
    <row r="99" spans="1:16" ht="21.75" thickBot="1" x14ac:dyDescent="0.3">
      <c r="A99" s="193"/>
      <c r="B99" s="102" t="s">
        <v>130</v>
      </c>
      <c r="C99" s="103"/>
      <c r="D99" s="103"/>
      <c r="E99" s="103"/>
      <c r="F99" s="103"/>
      <c r="G99" s="103"/>
      <c r="H99" s="104">
        <f>I99+J99+K99+L99</f>
        <v>0</v>
      </c>
      <c r="I99" s="104">
        <v>0</v>
      </c>
      <c r="J99" s="104">
        <v>0</v>
      </c>
      <c r="K99" s="104">
        <v>0</v>
      </c>
      <c r="L99" s="104">
        <v>0</v>
      </c>
      <c r="M99" s="104">
        <v>0</v>
      </c>
      <c r="N99" s="104">
        <v>0</v>
      </c>
      <c r="O99" s="172"/>
      <c r="P99" s="175"/>
    </row>
    <row r="100" spans="1:16" ht="13.9" customHeight="1" x14ac:dyDescent="0.25">
      <c r="A100" s="145" t="s">
        <v>64</v>
      </c>
      <c r="B100" s="146"/>
      <c r="C100" s="146"/>
      <c r="D100" s="146"/>
      <c r="E100" s="146"/>
      <c r="F100" s="146"/>
      <c r="G100" s="146"/>
      <c r="H100" s="146"/>
      <c r="I100" s="146"/>
      <c r="J100" s="146"/>
      <c r="K100" s="146"/>
      <c r="L100" s="146"/>
      <c r="M100" s="146"/>
      <c r="N100" s="146"/>
      <c r="O100" s="146"/>
      <c r="P100" s="147"/>
    </row>
    <row r="101" spans="1:16" ht="15" customHeight="1" x14ac:dyDescent="0.25">
      <c r="A101" s="118" t="s">
        <v>154</v>
      </c>
      <c r="B101" s="90" t="s">
        <v>31</v>
      </c>
      <c r="C101" s="3"/>
      <c r="D101" s="3"/>
      <c r="E101" s="3"/>
      <c r="F101" s="95"/>
      <c r="G101" s="95"/>
      <c r="H101" s="95"/>
      <c r="I101" s="61"/>
      <c r="J101" s="61"/>
      <c r="K101" s="61"/>
      <c r="L101" s="61"/>
      <c r="M101" s="61"/>
      <c r="N101" s="61"/>
      <c r="O101" s="118" t="s">
        <v>80</v>
      </c>
      <c r="P101" s="118" t="s">
        <v>117</v>
      </c>
    </row>
    <row r="102" spans="1:16" x14ac:dyDescent="0.25">
      <c r="A102" s="119"/>
      <c r="B102" s="90" t="s">
        <v>17</v>
      </c>
      <c r="C102" s="3"/>
      <c r="D102" s="3"/>
      <c r="E102" s="3"/>
      <c r="F102" s="95"/>
      <c r="G102" s="95"/>
      <c r="H102" s="95"/>
      <c r="I102" s="62" t="s">
        <v>18</v>
      </c>
      <c r="J102" s="62" t="s">
        <v>18</v>
      </c>
      <c r="K102" s="62" t="s">
        <v>18</v>
      </c>
      <c r="L102" s="62" t="s">
        <v>18</v>
      </c>
      <c r="M102" s="61"/>
      <c r="N102" s="61"/>
      <c r="O102" s="119"/>
      <c r="P102" s="119"/>
    </row>
    <row r="103" spans="1:16" ht="22.5" x14ac:dyDescent="0.25">
      <c r="A103" s="119"/>
      <c r="B103" s="90" t="s">
        <v>54</v>
      </c>
      <c r="C103" s="3"/>
      <c r="D103" s="3"/>
      <c r="E103" s="3"/>
      <c r="F103" s="95"/>
      <c r="G103" s="95"/>
      <c r="H103" s="1">
        <f>H104+H105+H106+H107</f>
        <v>1053078.5</v>
      </c>
      <c r="I103" s="63">
        <f t="shared" ref="I103:N103" si="50">I104+I105+I106+I107</f>
        <v>16596.599999999999</v>
      </c>
      <c r="J103" s="63">
        <f t="shared" si="50"/>
        <v>247510</v>
      </c>
      <c r="K103" s="63">
        <f t="shared" si="50"/>
        <v>243576.88</v>
      </c>
      <c r="L103" s="63">
        <f t="shared" si="50"/>
        <v>545395.02</v>
      </c>
      <c r="M103" s="63">
        <f t="shared" si="50"/>
        <v>666515.6</v>
      </c>
      <c r="N103" s="63">
        <f t="shared" si="50"/>
        <v>1315623.5</v>
      </c>
      <c r="O103" s="119"/>
      <c r="P103" s="119"/>
    </row>
    <row r="104" spans="1:16" x14ac:dyDescent="0.25">
      <c r="A104" s="119"/>
      <c r="B104" s="90" t="s">
        <v>20</v>
      </c>
      <c r="C104" s="3"/>
      <c r="D104" s="3"/>
      <c r="E104" s="3"/>
      <c r="F104" s="95"/>
      <c r="G104" s="95"/>
      <c r="H104" s="1">
        <f>I104+J104+K104+L104</f>
        <v>756156.5</v>
      </c>
      <c r="I104" s="63">
        <f t="shared" ref="I104:N104" si="51">I112+I122+I154+I163+I182+I189+I197+I204+I214+I225+I233+I134+I172</f>
        <v>2946.6</v>
      </c>
      <c r="J104" s="63">
        <f t="shared" si="51"/>
        <v>150000</v>
      </c>
      <c r="K104" s="63">
        <f t="shared" si="51"/>
        <v>87666.87999999999</v>
      </c>
      <c r="L104" s="63">
        <f t="shared" si="51"/>
        <v>515543.02</v>
      </c>
      <c r="M104" s="63">
        <f t="shared" si="51"/>
        <v>487863.6</v>
      </c>
      <c r="N104" s="63">
        <f t="shared" si="51"/>
        <v>1141173.5</v>
      </c>
      <c r="O104" s="119"/>
      <c r="P104" s="119"/>
    </row>
    <row r="105" spans="1:16" ht="22.5" x14ac:dyDescent="0.25">
      <c r="A105" s="119"/>
      <c r="B105" s="90" t="s">
        <v>23</v>
      </c>
      <c r="C105" s="3"/>
      <c r="D105" s="3"/>
      <c r="E105" s="3"/>
      <c r="F105" s="56"/>
      <c r="G105" s="56"/>
      <c r="H105" s="1">
        <f t="shared" ref="H105:H109" si="52">I105+J105+K105+L105</f>
        <v>0</v>
      </c>
      <c r="I105" s="63">
        <f t="shared" ref="I105" si="53">J105+K105+L105+M105</f>
        <v>0</v>
      </c>
      <c r="J105" s="63">
        <f t="shared" ref="J105" si="54">K105+L105+M105+N105</f>
        <v>0</v>
      </c>
      <c r="K105" s="63">
        <f t="shared" ref="K105" si="55">L105+M105+N105+O105</f>
        <v>0</v>
      </c>
      <c r="L105" s="63">
        <f t="shared" ref="L105" si="56">M105+N105+O105+P105</f>
        <v>0</v>
      </c>
      <c r="M105" s="63">
        <f t="shared" ref="M105" si="57">N105+O105+P105+Q105</f>
        <v>0</v>
      </c>
      <c r="N105" s="63">
        <f t="shared" ref="N105" si="58">O105+P105+Q105+R105</f>
        <v>0</v>
      </c>
      <c r="O105" s="119"/>
      <c r="P105" s="119"/>
    </row>
    <row r="106" spans="1:16" x14ac:dyDescent="0.25">
      <c r="A106" s="119"/>
      <c r="B106" s="90" t="s">
        <v>21</v>
      </c>
      <c r="C106" s="3"/>
      <c r="D106" s="3"/>
      <c r="E106" s="3"/>
      <c r="F106" s="95"/>
      <c r="G106" s="95"/>
      <c r="H106" s="1">
        <f>I106+J106+K106+L106</f>
        <v>286720</v>
      </c>
      <c r="I106" s="75">
        <f t="shared" ref="I106:N106" si="59">I114+I126+I158+I167+I176+I183+I191+I199+I208+I216+I227+I235</f>
        <v>13650</v>
      </c>
      <c r="J106" s="75">
        <f t="shared" si="59"/>
        <v>97510</v>
      </c>
      <c r="K106" s="75">
        <f t="shared" si="59"/>
        <v>155910</v>
      </c>
      <c r="L106" s="75">
        <f t="shared" si="59"/>
        <v>19650</v>
      </c>
      <c r="M106" s="75">
        <f t="shared" si="59"/>
        <v>170000</v>
      </c>
      <c r="N106" s="75">
        <f t="shared" si="59"/>
        <v>170000</v>
      </c>
      <c r="O106" s="119"/>
      <c r="P106" s="119"/>
    </row>
    <row r="107" spans="1:16" ht="22.5" x14ac:dyDescent="0.25">
      <c r="A107" s="119"/>
      <c r="B107" s="90" t="s">
        <v>22</v>
      </c>
      <c r="C107" s="3"/>
      <c r="D107" s="3"/>
      <c r="E107" s="3"/>
      <c r="F107" s="95"/>
      <c r="G107" s="95"/>
      <c r="H107" s="1">
        <f t="shared" si="52"/>
        <v>10202</v>
      </c>
      <c r="I107" s="63">
        <f t="shared" ref="I107:N107" si="60">I117+I159+I168+I177+I184+I192+I200+I209+I220+I228+I236</f>
        <v>0</v>
      </c>
      <c r="J107" s="63">
        <f t="shared" si="60"/>
        <v>0</v>
      </c>
      <c r="K107" s="63">
        <f t="shared" si="60"/>
        <v>0</v>
      </c>
      <c r="L107" s="63">
        <f t="shared" si="60"/>
        <v>10202</v>
      </c>
      <c r="M107" s="63">
        <f t="shared" si="60"/>
        <v>8652</v>
      </c>
      <c r="N107" s="63">
        <f t="shared" si="60"/>
        <v>4450</v>
      </c>
      <c r="O107" s="119"/>
      <c r="P107" s="119"/>
    </row>
    <row r="108" spans="1:16" x14ac:dyDescent="0.25">
      <c r="A108" s="120"/>
      <c r="B108" s="92" t="s">
        <v>130</v>
      </c>
      <c r="C108" s="7"/>
      <c r="D108" s="7"/>
      <c r="E108" s="7"/>
      <c r="F108" s="7"/>
      <c r="G108" s="7"/>
      <c r="H108" s="53">
        <f t="shared" si="52"/>
        <v>0</v>
      </c>
      <c r="I108" s="55">
        <v>0</v>
      </c>
      <c r="J108" s="55">
        <v>0</v>
      </c>
      <c r="K108" s="55">
        <v>0</v>
      </c>
      <c r="L108" s="55">
        <v>0</v>
      </c>
      <c r="M108" s="55">
        <v>0</v>
      </c>
      <c r="N108" s="55">
        <v>0</v>
      </c>
      <c r="O108" s="120"/>
      <c r="P108" s="120"/>
    </row>
    <row r="109" spans="1:16" ht="33.75" customHeight="1" x14ac:dyDescent="0.25">
      <c r="A109" s="118" t="s">
        <v>174</v>
      </c>
      <c r="B109" s="90" t="s">
        <v>32</v>
      </c>
      <c r="C109" s="3"/>
      <c r="D109" s="3"/>
      <c r="E109" s="3"/>
      <c r="F109" s="95"/>
      <c r="G109" s="95"/>
      <c r="H109" s="1">
        <f t="shared" si="52"/>
        <v>34</v>
      </c>
      <c r="I109" s="63">
        <v>0</v>
      </c>
      <c r="J109" s="64">
        <v>0</v>
      </c>
      <c r="K109" s="63">
        <v>16</v>
      </c>
      <c r="L109" s="63">
        <f>1+17</f>
        <v>18</v>
      </c>
      <c r="M109" s="63">
        <v>24</v>
      </c>
      <c r="N109" s="63">
        <v>24</v>
      </c>
      <c r="O109" s="118" t="s">
        <v>33</v>
      </c>
      <c r="P109" s="121" t="s">
        <v>118</v>
      </c>
    </row>
    <row r="110" spans="1:16" x14ac:dyDescent="0.25">
      <c r="A110" s="119"/>
      <c r="B110" s="90" t="s">
        <v>17</v>
      </c>
      <c r="C110" s="3"/>
      <c r="D110" s="3"/>
      <c r="E110" s="3"/>
      <c r="F110" s="95"/>
      <c r="G110" s="95"/>
      <c r="H110" s="1">
        <f>H111/H109</f>
        <v>502.9232352941176</v>
      </c>
      <c r="I110" s="63" t="s">
        <v>18</v>
      </c>
      <c r="J110" s="63" t="s">
        <v>18</v>
      </c>
      <c r="K110" s="63" t="s">
        <v>18</v>
      </c>
      <c r="L110" s="63" t="s">
        <v>18</v>
      </c>
      <c r="M110" s="63">
        <f>M111/M109</f>
        <v>500</v>
      </c>
      <c r="N110" s="63">
        <f>N111/N109</f>
        <v>500</v>
      </c>
      <c r="O110" s="119"/>
      <c r="P110" s="122"/>
    </row>
    <row r="111" spans="1:16" ht="22.5" x14ac:dyDescent="0.25">
      <c r="A111" s="119"/>
      <c r="B111" s="90" t="s">
        <v>54</v>
      </c>
      <c r="C111" s="3"/>
      <c r="D111" s="3"/>
      <c r="E111" s="3"/>
      <c r="F111" s="95"/>
      <c r="G111" s="95"/>
      <c r="H111" s="1">
        <f>H112+H114</f>
        <v>17099.39</v>
      </c>
      <c r="I111" s="1">
        <f t="shared" ref="I111:K111" si="61">I112</f>
        <v>0</v>
      </c>
      <c r="J111" s="1">
        <f t="shared" si="61"/>
        <v>0</v>
      </c>
      <c r="K111" s="1">
        <f t="shared" si="61"/>
        <v>299.39</v>
      </c>
      <c r="L111" s="1">
        <f>L112</f>
        <v>4800</v>
      </c>
      <c r="M111" s="1">
        <f>M112+M114</f>
        <v>12000</v>
      </c>
      <c r="N111" s="1">
        <f>N112+N114</f>
        <v>12000</v>
      </c>
      <c r="O111" s="119"/>
      <c r="P111" s="122"/>
    </row>
    <row r="112" spans="1:16" ht="14.45" customHeight="1" x14ac:dyDescent="0.25">
      <c r="A112" s="119"/>
      <c r="B112" s="65" t="s">
        <v>20</v>
      </c>
      <c r="C112" s="56">
        <v>176</v>
      </c>
      <c r="D112" s="56" t="s">
        <v>59</v>
      </c>
      <c r="E112" s="56" t="s">
        <v>58</v>
      </c>
      <c r="F112" s="56" t="s">
        <v>51</v>
      </c>
      <c r="G112" s="54">
        <v>414</v>
      </c>
      <c r="H112" s="1">
        <f>I112+J112+K112+L112</f>
        <v>5099.3900000000003</v>
      </c>
      <c r="I112" s="63">
        <v>0</v>
      </c>
      <c r="J112" s="63">
        <v>0</v>
      </c>
      <c r="K112" s="63">
        <v>299.39</v>
      </c>
      <c r="L112" s="63">
        <f>4000+800</f>
        <v>4800</v>
      </c>
      <c r="M112" s="63">
        <v>0</v>
      </c>
      <c r="N112" s="63">
        <v>0</v>
      </c>
      <c r="O112" s="119"/>
      <c r="P112" s="122"/>
    </row>
    <row r="113" spans="1:16" ht="22.5" x14ac:dyDescent="0.25">
      <c r="A113" s="119"/>
      <c r="B113" s="90" t="s">
        <v>23</v>
      </c>
      <c r="C113" s="56"/>
      <c r="D113" s="56"/>
      <c r="E113" s="56"/>
      <c r="F113" s="56"/>
      <c r="G113" s="56"/>
      <c r="H113" s="1">
        <f t="shared" ref="H113" si="62">I113+J113+K113+L113</f>
        <v>0</v>
      </c>
      <c r="I113" s="63">
        <v>0</v>
      </c>
      <c r="J113" s="63">
        <v>0</v>
      </c>
      <c r="K113" s="63">
        <v>0</v>
      </c>
      <c r="L113" s="63">
        <v>0</v>
      </c>
      <c r="M113" s="63">
        <v>0</v>
      </c>
      <c r="N113" s="63">
        <v>0</v>
      </c>
      <c r="O113" s="119"/>
      <c r="P113" s="122"/>
    </row>
    <row r="114" spans="1:16" x14ac:dyDescent="0.25">
      <c r="A114" s="119"/>
      <c r="B114" s="88" t="s">
        <v>21</v>
      </c>
      <c r="C114" s="66">
        <v>780</v>
      </c>
      <c r="D114" s="56" t="s">
        <v>59</v>
      </c>
      <c r="E114" s="56" t="s">
        <v>58</v>
      </c>
      <c r="F114" s="56"/>
      <c r="G114" s="56"/>
      <c r="H114" s="1">
        <f>SUM(H115:H116)</f>
        <v>12000</v>
      </c>
      <c r="I114" s="63">
        <f t="shared" ref="I114:N114" si="63">SUM(I115:I116)</f>
        <v>0</v>
      </c>
      <c r="J114" s="63">
        <f t="shared" si="63"/>
        <v>0</v>
      </c>
      <c r="K114" s="63">
        <f t="shared" si="63"/>
        <v>6000</v>
      </c>
      <c r="L114" s="63">
        <f t="shared" si="63"/>
        <v>6000</v>
      </c>
      <c r="M114" s="63">
        <f t="shared" si="63"/>
        <v>12000</v>
      </c>
      <c r="N114" s="63">
        <f t="shared" si="63"/>
        <v>12000</v>
      </c>
      <c r="O114" s="119"/>
      <c r="P114" s="122"/>
    </row>
    <row r="115" spans="1:16" x14ac:dyDescent="0.25">
      <c r="A115" s="119"/>
      <c r="B115" s="67" t="s">
        <v>79</v>
      </c>
      <c r="C115" s="66">
        <v>780</v>
      </c>
      <c r="D115" s="56" t="s">
        <v>59</v>
      </c>
      <c r="E115" s="56" t="s">
        <v>58</v>
      </c>
      <c r="F115" s="56" t="s">
        <v>57</v>
      </c>
      <c r="G115" s="56">
        <v>407</v>
      </c>
      <c r="H115" s="1">
        <f>I115+J115+K115+L115</f>
        <v>3875</v>
      </c>
      <c r="I115" s="63"/>
      <c r="J115" s="63">
        <v>0</v>
      </c>
      <c r="K115" s="63">
        <v>1937.5</v>
      </c>
      <c r="L115" s="63">
        <v>1937.5</v>
      </c>
      <c r="M115" s="63">
        <v>6000</v>
      </c>
      <c r="N115" s="63">
        <v>6000</v>
      </c>
      <c r="O115" s="119"/>
      <c r="P115" s="122"/>
    </row>
    <row r="116" spans="1:16" x14ac:dyDescent="0.25">
      <c r="A116" s="119"/>
      <c r="B116" s="68"/>
      <c r="C116" s="66">
        <v>780</v>
      </c>
      <c r="D116" s="56" t="s">
        <v>59</v>
      </c>
      <c r="E116" s="56" t="s">
        <v>58</v>
      </c>
      <c r="F116" s="56" t="s">
        <v>77</v>
      </c>
      <c r="G116" s="56">
        <v>407</v>
      </c>
      <c r="H116" s="1">
        <f>I116+J116+K116+L116</f>
        <v>8125</v>
      </c>
      <c r="I116" s="63">
        <v>0</v>
      </c>
      <c r="J116" s="63">
        <v>0</v>
      </c>
      <c r="K116" s="63">
        <v>4062.5</v>
      </c>
      <c r="L116" s="63">
        <v>4062.5</v>
      </c>
      <c r="M116" s="63">
        <v>6000</v>
      </c>
      <c r="N116" s="63">
        <v>6000</v>
      </c>
      <c r="O116" s="119"/>
      <c r="P116" s="122"/>
    </row>
    <row r="117" spans="1:16" ht="22.5" x14ac:dyDescent="0.25">
      <c r="A117" s="119"/>
      <c r="B117" s="90" t="s">
        <v>22</v>
      </c>
      <c r="C117" s="95"/>
      <c r="D117" s="95"/>
      <c r="E117" s="95"/>
      <c r="F117" s="95"/>
      <c r="G117" s="95"/>
      <c r="H117" s="1">
        <f>I117+J117+K117+L117</f>
        <v>0</v>
      </c>
      <c r="I117" s="1">
        <v>0</v>
      </c>
      <c r="J117" s="1">
        <v>0</v>
      </c>
      <c r="K117" s="1">
        <v>0</v>
      </c>
      <c r="L117" s="1">
        <v>0</v>
      </c>
      <c r="M117" s="1">
        <v>0</v>
      </c>
      <c r="N117" s="1">
        <v>0</v>
      </c>
      <c r="O117" s="119"/>
      <c r="P117" s="122"/>
    </row>
    <row r="118" spans="1:16" x14ac:dyDescent="0.25">
      <c r="A118" s="120"/>
      <c r="B118" s="92" t="s">
        <v>130</v>
      </c>
      <c r="C118" s="7"/>
      <c r="D118" s="7"/>
      <c r="E118" s="7"/>
      <c r="F118" s="7"/>
      <c r="G118" s="7"/>
      <c r="H118" s="55">
        <f t="shared" ref="H118" si="64">I118+J118+K118+L118</f>
        <v>0</v>
      </c>
      <c r="I118" s="55">
        <v>0</v>
      </c>
      <c r="J118" s="55">
        <v>0</v>
      </c>
      <c r="K118" s="55">
        <v>0</v>
      </c>
      <c r="L118" s="55">
        <v>0</v>
      </c>
      <c r="M118" s="55">
        <v>0</v>
      </c>
      <c r="N118" s="55">
        <v>0</v>
      </c>
      <c r="O118" s="120"/>
      <c r="P118" s="123"/>
    </row>
    <row r="119" spans="1:16" ht="45" customHeight="1" x14ac:dyDescent="0.25">
      <c r="A119" s="118" t="s">
        <v>155</v>
      </c>
      <c r="B119" s="90" t="s">
        <v>34</v>
      </c>
      <c r="C119" s="95"/>
      <c r="D119" s="95"/>
      <c r="E119" s="95"/>
      <c r="F119" s="95"/>
      <c r="G119" s="95"/>
      <c r="H119" s="1">
        <f t="shared" ref="H119" si="65">I119+J119+K119+L119</f>
        <v>5027</v>
      </c>
      <c r="I119" s="1">
        <v>1000</v>
      </c>
      <c r="J119" s="1">
        <v>1000</v>
      </c>
      <c r="K119" s="1">
        <f>2000+22</f>
        <v>2022</v>
      </c>
      <c r="L119" s="1">
        <f>1000+5</f>
        <v>1005</v>
      </c>
      <c r="M119" s="1">
        <f>5000</f>
        <v>5000</v>
      </c>
      <c r="N119" s="1">
        <f>5000+417</f>
        <v>5417</v>
      </c>
      <c r="O119" s="118" t="s">
        <v>81</v>
      </c>
      <c r="P119" s="121" t="s">
        <v>150</v>
      </c>
    </row>
    <row r="120" spans="1:16" x14ac:dyDescent="0.25">
      <c r="A120" s="119"/>
      <c r="B120" s="90" t="s">
        <v>17</v>
      </c>
      <c r="C120" s="95"/>
      <c r="D120" s="95"/>
      <c r="E120" s="95"/>
      <c r="F120" s="95"/>
      <c r="G120" s="95"/>
      <c r="H120" s="1">
        <v>0</v>
      </c>
      <c r="I120" s="1">
        <f t="shared" ref="I120:L120" si="66">I121/I119</f>
        <v>5.3466000000000005</v>
      </c>
      <c r="J120" s="1">
        <f t="shared" si="66"/>
        <v>2.4</v>
      </c>
      <c r="K120" s="1">
        <f t="shared" si="66"/>
        <v>36.237393669634024</v>
      </c>
      <c r="L120" s="1">
        <f t="shared" si="66"/>
        <v>15.522388059701493</v>
      </c>
      <c r="M120" s="1">
        <f>M121/M119</f>
        <v>2</v>
      </c>
      <c r="N120" s="1">
        <f>N121/N119</f>
        <v>5.5381207310319365</v>
      </c>
      <c r="O120" s="119"/>
      <c r="P120" s="122"/>
    </row>
    <row r="121" spans="1:16" ht="22.5" x14ac:dyDescent="0.25">
      <c r="A121" s="119"/>
      <c r="B121" s="90" t="s">
        <v>54</v>
      </c>
      <c r="C121" s="95"/>
      <c r="D121" s="95"/>
      <c r="E121" s="95"/>
      <c r="F121" s="95"/>
      <c r="G121" s="95"/>
      <c r="H121" s="1">
        <f t="shared" ref="H121:H127" si="67">I121+J121+K121+L121</f>
        <v>96618.61</v>
      </c>
      <c r="I121" s="1">
        <f>I123+I124+I125+I127+I128+I129</f>
        <v>5346.6</v>
      </c>
      <c r="J121" s="1">
        <f t="shared" ref="J121:N121" si="68">J123+J124+J125+J127+J128+J129</f>
        <v>2400</v>
      </c>
      <c r="K121" s="1">
        <f t="shared" si="68"/>
        <v>73272.009999999995</v>
      </c>
      <c r="L121" s="1">
        <f>L123+L124+L125+L127+L128+L129</f>
        <v>15600</v>
      </c>
      <c r="M121" s="1">
        <f t="shared" si="68"/>
        <v>10000</v>
      </c>
      <c r="N121" s="1">
        <f t="shared" si="68"/>
        <v>30000</v>
      </c>
      <c r="O121" s="119"/>
      <c r="P121" s="122"/>
    </row>
    <row r="122" spans="1:16" x14ac:dyDescent="0.25">
      <c r="A122" s="119"/>
      <c r="B122" s="65" t="s">
        <v>20</v>
      </c>
      <c r="C122" s="66">
        <v>176</v>
      </c>
      <c r="D122" s="56" t="s">
        <v>59</v>
      </c>
      <c r="E122" s="56" t="s">
        <v>58</v>
      </c>
      <c r="F122" s="56" t="s">
        <v>51</v>
      </c>
      <c r="G122" s="95"/>
      <c r="H122" s="1">
        <f>SUM(H123:H124)</f>
        <v>84618.61</v>
      </c>
      <c r="I122" s="1"/>
      <c r="J122" s="1">
        <f t="shared" ref="J122:N122" si="69">SUM(J123:J124)</f>
        <v>0</v>
      </c>
      <c r="K122" s="1">
        <f t="shared" si="69"/>
        <v>68472.009999999995</v>
      </c>
      <c r="L122" s="1">
        <f t="shared" si="69"/>
        <v>13200</v>
      </c>
      <c r="M122" s="1">
        <f t="shared" si="69"/>
        <v>0</v>
      </c>
      <c r="N122" s="1">
        <f t="shared" si="69"/>
        <v>20000</v>
      </c>
      <c r="O122" s="119"/>
      <c r="P122" s="122"/>
    </row>
    <row r="123" spans="1:16" x14ac:dyDescent="0.25">
      <c r="A123" s="119"/>
      <c r="B123" s="67" t="s">
        <v>79</v>
      </c>
      <c r="C123" s="66">
        <v>176</v>
      </c>
      <c r="D123" s="56" t="s">
        <v>59</v>
      </c>
      <c r="E123" s="56" t="s">
        <v>58</v>
      </c>
      <c r="F123" s="56" t="s">
        <v>51</v>
      </c>
      <c r="G123" s="56">
        <v>243</v>
      </c>
      <c r="H123" s="1">
        <f t="shared" si="67"/>
        <v>84438.61</v>
      </c>
      <c r="I123" s="1">
        <v>2946.6</v>
      </c>
      <c r="J123" s="1">
        <v>0</v>
      </c>
      <c r="K123" s="1">
        <f>68000+282.01+10</f>
        <v>68292.009999999995</v>
      </c>
      <c r="L123" s="1">
        <v>13200</v>
      </c>
      <c r="M123" s="1">
        <v>0</v>
      </c>
      <c r="N123" s="1">
        <v>0</v>
      </c>
      <c r="O123" s="119"/>
      <c r="P123" s="122"/>
    </row>
    <row r="124" spans="1:16" x14ac:dyDescent="0.25">
      <c r="A124" s="119"/>
      <c r="B124" s="68"/>
      <c r="C124" s="69">
        <v>176</v>
      </c>
      <c r="D124" s="70" t="s">
        <v>59</v>
      </c>
      <c r="E124" s="70" t="s">
        <v>58</v>
      </c>
      <c r="F124" s="70" t="s">
        <v>51</v>
      </c>
      <c r="G124" s="70">
        <v>414</v>
      </c>
      <c r="H124" s="1">
        <f t="shared" si="67"/>
        <v>180</v>
      </c>
      <c r="I124" s="71">
        <v>0</v>
      </c>
      <c r="J124" s="71">
        <v>0</v>
      </c>
      <c r="K124" s="71">
        <v>180</v>
      </c>
      <c r="L124" s="71">
        <v>0</v>
      </c>
      <c r="M124" s="71">
        <v>0</v>
      </c>
      <c r="N124" s="71">
        <v>20000</v>
      </c>
      <c r="O124" s="119"/>
      <c r="P124" s="122"/>
    </row>
    <row r="125" spans="1:16" ht="22.5" x14ac:dyDescent="0.25">
      <c r="A125" s="119"/>
      <c r="B125" s="88" t="s">
        <v>23</v>
      </c>
      <c r="C125" s="56"/>
      <c r="D125" s="56"/>
      <c r="E125" s="56"/>
      <c r="F125" s="56"/>
      <c r="G125" s="56"/>
      <c r="H125" s="1">
        <f t="shared" si="67"/>
        <v>0</v>
      </c>
      <c r="I125" s="1">
        <v>0</v>
      </c>
      <c r="J125" s="1">
        <v>0</v>
      </c>
      <c r="K125" s="1">
        <v>0</v>
      </c>
      <c r="L125" s="1">
        <v>0</v>
      </c>
      <c r="M125" s="1">
        <v>0</v>
      </c>
      <c r="N125" s="1">
        <v>0</v>
      </c>
      <c r="O125" s="119"/>
      <c r="P125" s="122"/>
    </row>
    <row r="126" spans="1:16" x14ac:dyDescent="0.25">
      <c r="A126" s="119"/>
      <c r="B126" s="65" t="s">
        <v>21</v>
      </c>
      <c r="C126" s="66">
        <v>780</v>
      </c>
      <c r="D126" s="56" t="s">
        <v>59</v>
      </c>
      <c r="E126" s="56" t="s">
        <v>58</v>
      </c>
      <c r="F126" s="56" t="s">
        <v>56</v>
      </c>
      <c r="G126" s="56"/>
      <c r="H126" s="1">
        <f>SUM(H127:H128)</f>
        <v>12000</v>
      </c>
      <c r="I126" s="1">
        <f t="shared" ref="I126:N126" si="70">SUM(I127:I128)</f>
        <v>2400</v>
      </c>
      <c r="J126" s="1">
        <f t="shared" si="70"/>
        <v>2400</v>
      </c>
      <c r="K126" s="1">
        <f t="shared" si="70"/>
        <v>4800</v>
      </c>
      <c r="L126" s="1">
        <f t="shared" si="70"/>
        <v>2400</v>
      </c>
      <c r="M126" s="1">
        <f t="shared" si="70"/>
        <v>10000</v>
      </c>
      <c r="N126" s="1">
        <f t="shared" si="70"/>
        <v>10000</v>
      </c>
      <c r="O126" s="119"/>
      <c r="P126" s="122"/>
    </row>
    <row r="127" spans="1:16" x14ac:dyDescent="0.25">
      <c r="A127" s="119"/>
      <c r="B127" s="134" t="s">
        <v>79</v>
      </c>
      <c r="C127" s="66">
        <v>780</v>
      </c>
      <c r="D127" s="56" t="s">
        <v>59</v>
      </c>
      <c r="E127" s="56" t="s">
        <v>58</v>
      </c>
      <c r="F127" s="56" t="s">
        <v>56</v>
      </c>
      <c r="G127" s="56">
        <v>100</v>
      </c>
      <c r="H127" s="1">
        <f t="shared" si="67"/>
        <v>1590</v>
      </c>
      <c r="I127" s="1">
        <v>318</v>
      </c>
      <c r="J127" s="1">
        <v>318</v>
      </c>
      <c r="K127" s="1">
        <v>636</v>
      </c>
      <c r="L127" s="1">
        <v>318</v>
      </c>
      <c r="M127" s="1">
        <v>1600</v>
      </c>
      <c r="N127" s="1">
        <v>1600</v>
      </c>
      <c r="O127" s="119"/>
      <c r="P127" s="122"/>
    </row>
    <row r="128" spans="1:16" x14ac:dyDescent="0.25">
      <c r="A128" s="119"/>
      <c r="B128" s="144"/>
      <c r="C128" s="66">
        <v>780</v>
      </c>
      <c r="D128" s="56" t="s">
        <v>59</v>
      </c>
      <c r="E128" s="56" t="s">
        <v>58</v>
      </c>
      <c r="F128" s="56" t="s">
        <v>56</v>
      </c>
      <c r="G128" s="56">
        <v>244</v>
      </c>
      <c r="H128" s="1">
        <f>I128+J128+K128+L128</f>
        <v>10410</v>
      </c>
      <c r="I128" s="1">
        <v>2082</v>
      </c>
      <c r="J128" s="1">
        <v>2082</v>
      </c>
      <c r="K128" s="1">
        <v>4164</v>
      </c>
      <c r="L128" s="1">
        <v>2082</v>
      </c>
      <c r="M128" s="1">
        <v>8400</v>
      </c>
      <c r="N128" s="1">
        <v>8400</v>
      </c>
      <c r="O128" s="119"/>
      <c r="P128" s="122"/>
    </row>
    <row r="129" spans="1:16" ht="22.5" x14ac:dyDescent="0.25">
      <c r="A129" s="119"/>
      <c r="B129" s="90" t="s">
        <v>22</v>
      </c>
      <c r="C129" s="95"/>
      <c r="D129" s="95"/>
      <c r="E129" s="95"/>
      <c r="F129" s="95"/>
      <c r="G129" s="95"/>
      <c r="H129" s="1">
        <f t="shared" ref="H129:H130" si="71">I129+J129+K129+L129</f>
        <v>0</v>
      </c>
      <c r="I129" s="1">
        <v>0</v>
      </c>
      <c r="J129" s="1">
        <v>0</v>
      </c>
      <c r="K129" s="1">
        <v>0</v>
      </c>
      <c r="L129" s="1">
        <v>0</v>
      </c>
      <c r="M129" s="1">
        <v>0</v>
      </c>
      <c r="N129" s="1">
        <v>0</v>
      </c>
      <c r="O129" s="119"/>
      <c r="P129" s="122"/>
    </row>
    <row r="130" spans="1:16" x14ac:dyDescent="0.25">
      <c r="A130" s="120"/>
      <c r="B130" s="92" t="s">
        <v>130</v>
      </c>
      <c r="C130" s="7"/>
      <c r="D130" s="7"/>
      <c r="E130" s="7"/>
      <c r="F130" s="7"/>
      <c r="G130" s="7"/>
      <c r="H130" s="55">
        <f t="shared" si="71"/>
        <v>0</v>
      </c>
      <c r="I130" s="55">
        <v>0</v>
      </c>
      <c r="J130" s="55">
        <v>0</v>
      </c>
      <c r="K130" s="55">
        <v>0</v>
      </c>
      <c r="L130" s="55">
        <v>0</v>
      </c>
      <c r="M130" s="55">
        <v>0</v>
      </c>
      <c r="N130" s="55">
        <v>0</v>
      </c>
      <c r="O130" s="120"/>
      <c r="P130" s="123"/>
    </row>
    <row r="131" spans="1:16" ht="45" x14ac:dyDescent="0.25">
      <c r="A131" s="118" t="s">
        <v>156</v>
      </c>
      <c r="B131" s="90" t="s">
        <v>34</v>
      </c>
      <c r="C131" s="95"/>
      <c r="D131" s="95"/>
      <c r="E131" s="95"/>
      <c r="F131" s="95"/>
      <c r="G131" s="95"/>
      <c r="H131" s="1"/>
      <c r="I131" s="1"/>
      <c r="J131" s="1"/>
      <c r="K131" s="1"/>
      <c r="L131" s="1"/>
      <c r="M131" s="1"/>
      <c r="N131" s="1"/>
      <c r="O131" s="118" t="s">
        <v>37</v>
      </c>
      <c r="P131" s="118" t="s">
        <v>119</v>
      </c>
    </row>
    <row r="132" spans="1:16" x14ac:dyDescent="0.25">
      <c r="A132" s="119"/>
      <c r="B132" s="90" t="s">
        <v>17</v>
      </c>
      <c r="C132" s="95"/>
      <c r="D132" s="95"/>
      <c r="E132" s="95"/>
      <c r="F132" s="95"/>
      <c r="G132" s="95"/>
      <c r="H132" s="1"/>
      <c r="I132" s="1" t="s">
        <v>18</v>
      </c>
      <c r="J132" s="1" t="s">
        <v>18</v>
      </c>
      <c r="K132" s="1" t="s">
        <v>18</v>
      </c>
      <c r="L132" s="1" t="s">
        <v>18</v>
      </c>
      <c r="M132" s="1"/>
      <c r="N132" s="1"/>
      <c r="O132" s="119"/>
      <c r="P132" s="119"/>
    </row>
    <row r="133" spans="1:16" ht="22.5" x14ac:dyDescent="0.25">
      <c r="A133" s="119"/>
      <c r="B133" s="90" t="s">
        <v>54</v>
      </c>
      <c r="C133" s="95"/>
      <c r="D133" s="95"/>
      <c r="E133" s="95"/>
      <c r="F133" s="95"/>
      <c r="G133" s="95"/>
      <c r="H133" s="1">
        <f>I133+J133+K133+L133</f>
        <v>2946.6</v>
      </c>
      <c r="I133" s="1">
        <f>I134+I135+I136+I137</f>
        <v>2946.6</v>
      </c>
      <c r="J133" s="1">
        <f t="shared" ref="J133:N133" si="72">J134+J135+J136+J137</f>
        <v>0</v>
      </c>
      <c r="K133" s="1">
        <f t="shared" si="72"/>
        <v>0</v>
      </c>
      <c r="L133" s="1">
        <f t="shared" si="72"/>
        <v>0</v>
      </c>
      <c r="M133" s="1">
        <f t="shared" si="72"/>
        <v>0</v>
      </c>
      <c r="N133" s="1">
        <f t="shared" si="72"/>
        <v>0</v>
      </c>
      <c r="O133" s="119"/>
      <c r="P133" s="119"/>
    </row>
    <row r="134" spans="1:16" x14ac:dyDescent="0.25">
      <c r="A134" s="119"/>
      <c r="B134" s="88" t="s">
        <v>20</v>
      </c>
      <c r="C134" s="56">
        <v>176</v>
      </c>
      <c r="D134" s="56" t="s">
        <v>59</v>
      </c>
      <c r="E134" s="56" t="s">
        <v>58</v>
      </c>
      <c r="F134" s="56" t="s">
        <v>51</v>
      </c>
      <c r="G134" s="56">
        <v>243</v>
      </c>
      <c r="H134" s="1">
        <f t="shared" ref="H134" si="73">I134+J134+K134+L134</f>
        <v>2946.6</v>
      </c>
      <c r="I134" s="1">
        <v>2946.6</v>
      </c>
      <c r="J134" s="1">
        <v>0</v>
      </c>
      <c r="K134" s="98">
        <v>0</v>
      </c>
      <c r="L134" s="1">
        <v>0</v>
      </c>
      <c r="M134" s="1">
        <v>0</v>
      </c>
      <c r="N134" s="1">
        <v>0</v>
      </c>
      <c r="O134" s="119"/>
      <c r="P134" s="119"/>
    </row>
    <row r="135" spans="1:16" ht="22.5" x14ac:dyDescent="0.25">
      <c r="A135" s="119"/>
      <c r="B135" s="90" t="s">
        <v>23</v>
      </c>
      <c r="C135" s="56"/>
      <c r="D135" s="56"/>
      <c r="E135" s="56"/>
      <c r="F135" s="56"/>
      <c r="G135" s="56"/>
      <c r="H135" s="1">
        <v>0</v>
      </c>
      <c r="I135" s="1">
        <v>0</v>
      </c>
      <c r="J135" s="1">
        <v>0</v>
      </c>
      <c r="K135" s="1">
        <v>0</v>
      </c>
      <c r="L135" s="1">
        <v>0</v>
      </c>
      <c r="M135" s="1">
        <v>0</v>
      </c>
      <c r="N135" s="1">
        <v>0</v>
      </c>
      <c r="O135" s="119"/>
      <c r="P135" s="119"/>
    </row>
    <row r="136" spans="1:16" x14ac:dyDescent="0.25">
      <c r="A136" s="119"/>
      <c r="B136" s="90" t="s">
        <v>21</v>
      </c>
      <c r="C136" s="56"/>
      <c r="D136" s="56"/>
      <c r="E136" s="56"/>
      <c r="F136" s="56"/>
      <c r="G136" s="56"/>
      <c r="H136" s="1">
        <v>0</v>
      </c>
      <c r="I136" s="1">
        <v>0</v>
      </c>
      <c r="J136" s="1">
        <v>0</v>
      </c>
      <c r="K136" s="1">
        <v>0</v>
      </c>
      <c r="L136" s="1">
        <v>0</v>
      </c>
      <c r="M136" s="1">
        <v>0</v>
      </c>
      <c r="N136" s="1">
        <v>0</v>
      </c>
      <c r="O136" s="119"/>
      <c r="P136" s="119"/>
    </row>
    <row r="137" spans="1:16" ht="22.5" x14ac:dyDescent="0.25">
      <c r="A137" s="119"/>
      <c r="B137" s="90" t="s">
        <v>22</v>
      </c>
      <c r="C137" s="95"/>
      <c r="D137" s="95"/>
      <c r="E137" s="95"/>
      <c r="F137" s="95"/>
      <c r="G137" s="95"/>
      <c r="H137" s="1">
        <v>0</v>
      </c>
      <c r="I137" s="1">
        <v>0</v>
      </c>
      <c r="J137" s="1">
        <v>0</v>
      </c>
      <c r="K137" s="1">
        <v>0</v>
      </c>
      <c r="L137" s="1">
        <v>0</v>
      </c>
      <c r="M137" s="1">
        <v>0</v>
      </c>
      <c r="N137" s="1">
        <v>0</v>
      </c>
      <c r="O137" s="119"/>
      <c r="P137" s="119"/>
    </row>
    <row r="138" spans="1:16" x14ac:dyDescent="0.25">
      <c r="A138" s="120"/>
      <c r="B138" s="92" t="s">
        <v>130</v>
      </c>
      <c r="C138" s="7"/>
      <c r="D138" s="7"/>
      <c r="E138" s="7"/>
      <c r="F138" s="7"/>
      <c r="G138" s="7"/>
      <c r="H138" s="55">
        <f t="shared" ref="H138:H139" si="74">I138+J138+K138+L138</f>
        <v>0</v>
      </c>
      <c r="I138" s="55">
        <v>0</v>
      </c>
      <c r="J138" s="55">
        <v>0</v>
      </c>
      <c r="K138" s="55">
        <v>0</v>
      </c>
      <c r="L138" s="55">
        <v>0</v>
      </c>
      <c r="M138" s="55">
        <v>0</v>
      </c>
      <c r="N138" s="55">
        <v>0</v>
      </c>
      <c r="O138" s="120"/>
      <c r="P138" s="120"/>
    </row>
    <row r="139" spans="1:16" ht="45" customHeight="1" x14ac:dyDescent="0.25">
      <c r="A139" s="118" t="s">
        <v>157</v>
      </c>
      <c r="B139" s="107" t="s">
        <v>34</v>
      </c>
      <c r="C139" s="95"/>
      <c r="D139" s="95"/>
      <c r="E139" s="95"/>
      <c r="F139" s="95"/>
      <c r="G139" s="95"/>
      <c r="H139" s="1">
        <f t="shared" si="74"/>
        <v>5027</v>
      </c>
      <c r="I139" s="1">
        <v>1000</v>
      </c>
      <c r="J139" s="1">
        <v>1000</v>
      </c>
      <c r="K139" s="1">
        <f>2000+22</f>
        <v>2022</v>
      </c>
      <c r="L139" s="1">
        <f>1000+5</f>
        <v>1005</v>
      </c>
      <c r="M139" s="1">
        <f>5000</f>
        <v>5000</v>
      </c>
      <c r="N139" s="1">
        <f>5000+417</f>
        <v>5417</v>
      </c>
      <c r="O139" s="118" t="s">
        <v>81</v>
      </c>
      <c r="P139" s="121" t="s">
        <v>149</v>
      </c>
    </row>
    <row r="140" spans="1:16" x14ac:dyDescent="0.25">
      <c r="A140" s="119"/>
      <c r="B140" s="107" t="s">
        <v>17</v>
      </c>
      <c r="C140" s="95"/>
      <c r="D140" s="95"/>
      <c r="E140" s="95"/>
      <c r="F140" s="95"/>
      <c r="G140" s="95"/>
      <c r="H140" s="1">
        <f>H141/H139</f>
        <v>18.63377959021285</v>
      </c>
      <c r="I140" s="1" t="s">
        <v>18</v>
      </c>
      <c r="J140" s="1" t="s">
        <v>18</v>
      </c>
      <c r="K140" s="1" t="s">
        <v>18</v>
      </c>
      <c r="L140" s="1" t="s">
        <v>18</v>
      </c>
      <c r="M140" s="1">
        <f>M141/M139</f>
        <v>2</v>
      </c>
      <c r="N140" s="1">
        <f>N141/N139</f>
        <v>5.5381207310319365</v>
      </c>
      <c r="O140" s="119"/>
      <c r="P140" s="122"/>
    </row>
    <row r="141" spans="1:16" ht="22.5" x14ac:dyDescent="0.25">
      <c r="A141" s="119"/>
      <c r="B141" s="107" t="s">
        <v>54</v>
      </c>
      <c r="C141" s="95"/>
      <c r="D141" s="95"/>
      <c r="E141" s="95"/>
      <c r="F141" s="95"/>
      <c r="G141" s="95"/>
      <c r="H141" s="1">
        <f t="shared" ref="H141" si="75">I141+J141+K141+L141</f>
        <v>93672.01</v>
      </c>
      <c r="I141" s="1">
        <f>I143+I144+I145+I147+I148+I149</f>
        <v>2400</v>
      </c>
      <c r="J141" s="1">
        <f t="shared" ref="J141:K141" si="76">J143+J144+J145+J147+J148+J149</f>
        <v>2400</v>
      </c>
      <c r="K141" s="1">
        <f t="shared" si="76"/>
        <v>73272.009999999995</v>
      </c>
      <c r="L141" s="1">
        <f>L143+L144+L145+L147+L148+L149</f>
        <v>15600</v>
      </c>
      <c r="M141" s="1">
        <f t="shared" ref="M141:N141" si="77">M143+M144+M145+M147+M148+M149</f>
        <v>10000</v>
      </c>
      <c r="N141" s="1">
        <f t="shared" si="77"/>
        <v>30000</v>
      </c>
      <c r="O141" s="119"/>
      <c r="P141" s="122"/>
    </row>
    <row r="142" spans="1:16" x14ac:dyDescent="0.25">
      <c r="A142" s="119"/>
      <c r="B142" s="65" t="s">
        <v>20</v>
      </c>
      <c r="C142" s="66">
        <v>176</v>
      </c>
      <c r="D142" s="56" t="s">
        <v>59</v>
      </c>
      <c r="E142" s="56" t="s">
        <v>58</v>
      </c>
      <c r="F142" s="56" t="s">
        <v>51</v>
      </c>
      <c r="G142" s="95"/>
      <c r="H142" s="1">
        <f>SUM(H143:H144)</f>
        <v>81672.009999999995</v>
      </c>
      <c r="I142" s="1">
        <f t="shared" ref="I142:N142" si="78">SUM(I143:I144)</f>
        <v>0</v>
      </c>
      <c r="J142" s="1">
        <f t="shared" si="78"/>
        <v>0</v>
      </c>
      <c r="K142" s="1">
        <f t="shared" si="78"/>
        <v>68472.009999999995</v>
      </c>
      <c r="L142" s="1">
        <f t="shared" si="78"/>
        <v>13200</v>
      </c>
      <c r="M142" s="1">
        <f t="shared" si="78"/>
        <v>0</v>
      </c>
      <c r="N142" s="1">
        <f t="shared" si="78"/>
        <v>20000</v>
      </c>
      <c r="O142" s="119"/>
      <c r="P142" s="122"/>
    </row>
    <row r="143" spans="1:16" x14ac:dyDescent="0.25">
      <c r="A143" s="119"/>
      <c r="B143" s="67" t="s">
        <v>79</v>
      </c>
      <c r="C143" s="66">
        <v>176</v>
      </c>
      <c r="D143" s="56" t="s">
        <v>59</v>
      </c>
      <c r="E143" s="56" t="s">
        <v>58</v>
      </c>
      <c r="F143" s="56" t="s">
        <v>51</v>
      </c>
      <c r="G143" s="56">
        <v>243</v>
      </c>
      <c r="H143" s="1">
        <f t="shared" ref="H143:H145" si="79">I143+J143+K143+L143</f>
        <v>81492.009999999995</v>
      </c>
      <c r="I143" s="1">
        <v>0</v>
      </c>
      <c r="J143" s="1">
        <v>0</v>
      </c>
      <c r="K143" s="1">
        <f>68000+282.01+10</f>
        <v>68292.009999999995</v>
      </c>
      <c r="L143" s="1">
        <v>13200</v>
      </c>
      <c r="M143" s="1">
        <v>0</v>
      </c>
      <c r="N143" s="1">
        <v>0</v>
      </c>
      <c r="O143" s="119"/>
      <c r="P143" s="122"/>
    </row>
    <row r="144" spans="1:16" x14ac:dyDescent="0.25">
      <c r="A144" s="119"/>
      <c r="B144" s="68"/>
      <c r="C144" s="69">
        <v>176</v>
      </c>
      <c r="D144" s="70" t="s">
        <v>59</v>
      </c>
      <c r="E144" s="70" t="s">
        <v>58</v>
      </c>
      <c r="F144" s="70" t="s">
        <v>51</v>
      </c>
      <c r="G144" s="70">
        <v>414</v>
      </c>
      <c r="H144" s="1">
        <f t="shared" si="79"/>
        <v>180</v>
      </c>
      <c r="I144" s="71">
        <v>0</v>
      </c>
      <c r="J144" s="71">
        <v>0</v>
      </c>
      <c r="K144" s="71">
        <v>180</v>
      </c>
      <c r="L144" s="71">
        <v>0</v>
      </c>
      <c r="M144" s="71">
        <v>0</v>
      </c>
      <c r="N144" s="71">
        <v>20000</v>
      </c>
      <c r="O144" s="119"/>
      <c r="P144" s="122"/>
    </row>
    <row r="145" spans="1:17" ht="22.5" x14ac:dyDescent="0.25">
      <c r="A145" s="119"/>
      <c r="B145" s="106" t="s">
        <v>23</v>
      </c>
      <c r="C145" s="56"/>
      <c r="D145" s="56"/>
      <c r="E145" s="56"/>
      <c r="F145" s="56"/>
      <c r="G145" s="56"/>
      <c r="H145" s="1">
        <f t="shared" si="79"/>
        <v>0</v>
      </c>
      <c r="I145" s="1">
        <v>0</v>
      </c>
      <c r="J145" s="1">
        <v>0</v>
      </c>
      <c r="K145" s="1">
        <v>0</v>
      </c>
      <c r="L145" s="1">
        <v>0</v>
      </c>
      <c r="M145" s="1">
        <v>0</v>
      </c>
      <c r="N145" s="1">
        <v>0</v>
      </c>
      <c r="O145" s="119"/>
      <c r="P145" s="122"/>
    </row>
    <row r="146" spans="1:17" x14ac:dyDescent="0.25">
      <c r="A146" s="119"/>
      <c r="B146" s="65" t="s">
        <v>21</v>
      </c>
      <c r="C146" s="66">
        <v>780</v>
      </c>
      <c r="D146" s="56" t="s">
        <v>59</v>
      </c>
      <c r="E146" s="56" t="s">
        <v>58</v>
      </c>
      <c r="F146" s="56" t="s">
        <v>56</v>
      </c>
      <c r="G146" s="56"/>
      <c r="H146" s="1">
        <f>SUM(H147:H148)</f>
        <v>12000</v>
      </c>
      <c r="I146" s="1">
        <f t="shared" ref="I146:N146" si="80">SUM(I147:I148)</f>
        <v>2400</v>
      </c>
      <c r="J146" s="1">
        <f t="shared" si="80"/>
        <v>2400</v>
      </c>
      <c r="K146" s="1">
        <f t="shared" si="80"/>
        <v>4800</v>
      </c>
      <c r="L146" s="1">
        <f t="shared" si="80"/>
        <v>2400</v>
      </c>
      <c r="M146" s="1">
        <f t="shared" si="80"/>
        <v>10000</v>
      </c>
      <c r="N146" s="1">
        <f t="shared" si="80"/>
        <v>10000</v>
      </c>
      <c r="O146" s="119"/>
      <c r="P146" s="122"/>
    </row>
    <row r="147" spans="1:17" x14ac:dyDescent="0.25">
      <c r="A147" s="119"/>
      <c r="B147" s="134" t="s">
        <v>79</v>
      </c>
      <c r="C147" s="66">
        <v>780</v>
      </c>
      <c r="D147" s="56" t="s">
        <v>59</v>
      </c>
      <c r="E147" s="56" t="s">
        <v>58</v>
      </c>
      <c r="F147" s="56" t="s">
        <v>56</v>
      </c>
      <c r="G147" s="56">
        <v>100</v>
      </c>
      <c r="H147" s="1">
        <f t="shared" ref="H147" si="81">I147+J147+K147+L147</f>
        <v>1590</v>
      </c>
      <c r="I147" s="1">
        <v>318</v>
      </c>
      <c r="J147" s="1">
        <v>318</v>
      </c>
      <c r="K147" s="1">
        <v>636</v>
      </c>
      <c r="L147" s="1">
        <v>318</v>
      </c>
      <c r="M147" s="1">
        <v>1600</v>
      </c>
      <c r="N147" s="1">
        <v>1600</v>
      </c>
      <c r="O147" s="119"/>
      <c r="P147" s="122"/>
    </row>
    <row r="148" spans="1:17" x14ac:dyDescent="0.25">
      <c r="A148" s="119"/>
      <c r="B148" s="144"/>
      <c r="C148" s="66">
        <v>780</v>
      </c>
      <c r="D148" s="56" t="s">
        <v>59</v>
      </c>
      <c r="E148" s="56" t="s">
        <v>58</v>
      </c>
      <c r="F148" s="56" t="s">
        <v>56</v>
      </c>
      <c r="G148" s="56">
        <v>244</v>
      </c>
      <c r="H148" s="1">
        <f>I148+J148+K148+L148</f>
        <v>10410</v>
      </c>
      <c r="I148" s="1">
        <v>2082</v>
      </c>
      <c r="J148" s="1">
        <v>2082</v>
      </c>
      <c r="K148" s="1">
        <v>4164</v>
      </c>
      <c r="L148" s="1">
        <v>2082</v>
      </c>
      <c r="M148" s="1">
        <v>8400</v>
      </c>
      <c r="N148" s="1">
        <v>8400</v>
      </c>
      <c r="O148" s="119"/>
      <c r="P148" s="122"/>
    </row>
    <row r="149" spans="1:17" ht="22.5" x14ac:dyDescent="0.25">
      <c r="A149" s="119"/>
      <c r="B149" s="107" t="s">
        <v>22</v>
      </c>
      <c r="C149" s="95"/>
      <c r="D149" s="95"/>
      <c r="E149" s="95"/>
      <c r="F149" s="95"/>
      <c r="G149" s="95"/>
      <c r="H149" s="1">
        <f t="shared" ref="H149:H150" si="82">I149+J149+K149+L149</f>
        <v>0</v>
      </c>
      <c r="I149" s="1">
        <v>0</v>
      </c>
      <c r="J149" s="1">
        <v>0</v>
      </c>
      <c r="K149" s="1">
        <v>0</v>
      </c>
      <c r="L149" s="1">
        <v>0</v>
      </c>
      <c r="M149" s="1">
        <v>0</v>
      </c>
      <c r="N149" s="1">
        <v>0</v>
      </c>
      <c r="O149" s="119"/>
      <c r="P149" s="122"/>
    </row>
    <row r="150" spans="1:17" x14ac:dyDescent="0.25">
      <c r="A150" s="120"/>
      <c r="B150" s="92" t="s">
        <v>130</v>
      </c>
      <c r="C150" s="7"/>
      <c r="D150" s="7"/>
      <c r="E150" s="7"/>
      <c r="F150" s="7"/>
      <c r="G150" s="7"/>
      <c r="H150" s="55">
        <f t="shared" si="82"/>
        <v>0</v>
      </c>
      <c r="I150" s="55">
        <v>0</v>
      </c>
      <c r="J150" s="55">
        <v>0</v>
      </c>
      <c r="K150" s="55">
        <v>0</v>
      </c>
      <c r="L150" s="55">
        <v>0</v>
      </c>
      <c r="M150" s="55">
        <v>0</v>
      </c>
      <c r="N150" s="55">
        <v>0</v>
      </c>
      <c r="O150" s="120"/>
      <c r="P150" s="123"/>
    </row>
    <row r="151" spans="1:17" ht="22.5" customHeight="1" x14ac:dyDescent="0.25">
      <c r="A151" s="118" t="s">
        <v>158</v>
      </c>
      <c r="B151" s="90" t="s">
        <v>176</v>
      </c>
      <c r="C151" s="95"/>
      <c r="D151" s="95"/>
      <c r="E151" s="95"/>
      <c r="F151" s="95"/>
      <c r="G151" s="95"/>
      <c r="H151" s="1">
        <f>I151+J151+K151+L151</f>
        <v>14.399999999999999</v>
      </c>
      <c r="I151" s="1">
        <v>0</v>
      </c>
      <c r="J151" s="1">
        <v>1.3</v>
      </c>
      <c r="K151" s="1">
        <v>4.4000000000000004</v>
      </c>
      <c r="L151" s="1">
        <v>8.6999999999999993</v>
      </c>
      <c r="M151" s="1">
        <f>6.5+4.4</f>
        <v>10.9</v>
      </c>
      <c r="N151" s="1">
        <f>17.8+4.4</f>
        <v>22.200000000000003</v>
      </c>
      <c r="O151" s="118" t="s">
        <v>81</v>
      </c>
      <c r="P151" s="121" t="s">
        <v>177</v>
      </c>
    </row>
    <row r="152" spans="1:17" x14ac:dyDescent="0.25">
      <c r="A152" s="119"/>
      <c r="B152" s="90" t="s">
        <v>17</v>
      </c>
      <c r="C152" s="95"/>
      <c r="D152" s="95"/>
      <c r="E152" s="95"/>
      <c r="F152" s="95"/>
      <c r="G152" s="95"/>
      <c r="H152" s="1">
        <f>H153/H151</f>
        <v>10250.568055555555</v>
      </c>
      <c r="I152" s="1" t="s">
        <v>18</v>
      </c>
      <c r="J152" s="1" t="s">
        <v>18</v>
      </c>
      <c r="K152" s="1" t="s">
        <v>18</v>
      </c>
      <c r="L152" s="1" t="s">
        <v>18</v>
      </c>
      <c r="M152" s="1">
        <f>M153/M151</f>
        <v>7613.4220183486241</v>
      </c>
      <c r="N152" s="1">
        <f>N153/N151</f>
        <v>11666.666666666666</v>
      </c>
      <c r="O152" s="119"/>
      <c r="P152" s="122"/>
    </row>
    <row r="153" spans="1:17" ht="22.5" x14ac:dyDescent="0.25">
      <c r="A153" s="119"/>
      <c r="B153" s="88" t="s">
        <v>54</v>
      </c>
      <c r="C153" s="95"/>
      <c r="D153" s="95"/>
      <c r="E153" s="95"/>
      <c r="F153" s="95"/>
      <c r="G153" s="95"/>
      <c r="H153" s="1">
        <f>I153+J153+K153+L153</f>
        <v>147608.18</v>
      </c>
      <c r="I153" s="1">
        <f>I155+I156+I157+I158+I159</f>
        <v>0</v>
      </c>
      <c r="J153" s="1">
        <f t="shared" ref="J153:N153" si="83">J155+J156+J157+J158+J159</f>
        <v>15000</v>
      </c>
      <c r="K153" s="1">
        <f t="shared" si="83"/>
        <v>50000</v>
      </c>
      <c r="L153" s="1">
        <f t="shared" si="83"/>
        <v>82608.180000000008</v>
      </c>
      <c r="M153" s="1">
        <f t="shared" si="83"/>
        <v>82986.3</v>
      </c>
      <c r="N153" s="1">
        <f t="shared" si="83"/>
        <v>259000</v>
      </c>
      <c r="O153" s="119"/>
      <c r="P153" s="122"/>
    </row>
    <row r="154" spans="1:17" x14ac:dyDescent="0.25">
      <c r="A154" s="119"/>
      <c r="B154" s="65" t="s">
        <v>20</v>
      </c>
      <c r="C154" s="66">
        <v>176</v>
      </c>
      <c r="D154" s="56" t="s">
        <v>59</v>
      </c>
      <c r="E154" s="56" t="s">
        <v>58</v>
      </c>
      <c r="F154" s="56" t="s">
        <v>51</v>
      </c>
      <c r="G154" s="95"/>
      <c r="H154" s="1">
        <f t="shared" ref="H154:N154" si="84">SUM(H155:H156)</f>
        <v>82608.180000000008</v>
      </c>
      <c r="I154" s="1">
        <f t="shared" si="84"/>
        <v>0</v>
      </c>
      <c r="J154" s="1">
        <f t="shared" si="84"/>
        <v>0</v>
      </c>
      <c r="K154" s="1">
        <f t="shared" si="84"/>
        <v>0</v>
      </c>
      <c r="L154" s="1">
        <f t="shared" si="84"/>
        <v>82608.180000000008</v>
      </c>
      <c r="M154" s="1">
        <f t="shared" si="84"/>
        <v>32986.300000000003</v>
      </c>
      <c r="N154" s="1">
        <f t="shared" si="84"/>
        <v>209000</v>
      </c>
      <c r="O154" s="119"/>
      <c r="P154" s="122"/>
    </row>
    <row r="155" spans="1:17" x14ac:dyDescent="0.25">
      <c r="A155" s="119"/>
      <c r="B155" s="134" t="s">
        <v>79</v>
      </c>
      <c r="C155" s="66">
        <v>176</v>
      </c>
      <c r="D155" s="56" t="s">
        <v>59</v>
      </c>
      <c r="E155" s="56" t="s">
        <v>58</v>
      </c>
      <c r="F155" s="56" t="s">
        <v>51</v>
      </c>
      <c r="G155" s="56">
        <v>243</v>
      </c>
      <c r="H155" s="1">
        <f>I155+J155+K155+L155</f>
        <v>79738.180000000008</v>
      </c>
      <c r="I155" s="1">
        <v>0</v>
      </c>
      <c r="J155" s="1">
        <v>0</v>
      </c>
      <c r="K155" s="1">
        <v>0</v>
      </c>
      <c r="L155" s="1">
        <f>34000+2000+16359.66+9329.1+13858.7+4190.72</f>
        <v>79738.180000000008</v>
      </c>
      <c r="M155" s="1">
        <f>26550.2+2336.1</f>
        <v>28886.3</v>
      </c>
      <c r="N155" s="1">
        <f>203000+6000</f>
        <v>209000</v>
      </c>
      <c r="O155" s="119"/>
      <c r="P155" s="122"/>
    </row>
    <row r="156" spans="1:17" x14ac:dyDescent="0.25">
      <c r="A156" s="119"/>
      <c r="B156" s="144"/>
      <c r="C156" s="66">
        <v>176</v>
      </c>
      <c r="D156" s="56" t="s">
        <v>59</v>
      </c>
      <c r="E156" s="56" t="s">
        <v>58</v>
      </c>
      <c r="F156" s="56" t="s">
        <v>51</v>
      </c>
      <c r="G156" s="56">
        <v>414</v>
      </c>
      <c r="H156" s="1">
        <f t="shared" ref="H156:H157" si="85">I156+J156+K156+L156</f>
        <v>2870</v>
      </c>
      <c r="I156" s="1">
        <v>0</v>
      </c>
      <c r="J156" s="1">
        <v>0</v>
      </c>
      <c r="K156" s="1">
        <v>0</v>
      </c>
      <c r="L156" s="1">
        <f>2770+100</f>
        <v>2870</v>
      </c>
      <c r="M156" s="1">
        <f>4000+100</f>
        <v>4100</v>
      </c>
      <c r="N156" s="1">
        <v>0</v>
      </c>
      <c r="O156" s="119"/>
      <c r="P156" s="122"/>
    </row>
    <row r="157" spans="1:17" ht="22.5" x14ac:dyDescent="0.25">
      <c r="A157" s="119"/>
      <c r="B157" s="90" t="s">
        <v>23</v>
      </c>
      <c r="C157" s="56"/>
      <c r="D157" s="56"/>
      <c r="E157" s="56"/>
      <c r="F157" s="56"/>
      <c r="G157" s="56"/>
      <c r="H157" s="1">
        <f t="shared" si="85"/>
        <v>0</v>
      </c>
      <c r="I157" s="1">
        <v>0</v>
      </c>
      <c r="J157" s="1">
        <v>0</v>
      </c>
      <c r="K157" s="1">
        <v>0</v>
      </c>
      <c r="L157" s="1">
        <v>0</v>
      </c>
      <c r="M157" s="1">
        <v>0</v>
      </c>
      <c r="N157" s="1">
        <v>0</v>
      </c>
      <c r="O157" s="119"/>
      <c r="P157" s="122"/>
    </row>
    <row r="158" spans="1:17" x14ac:dyDescent="0.25">
      <c r="A158" s="119"/>
      <c r="B158" s="90" t="s">
        <v>21</v>
      </c>
      <c r="C158" s="56">
        <v>780</v>
      </c>
      <c r="D158" s="56" t="s">
        <v>59</v>
      </c>
      <c r="E158" s="56" t="s">
        <v>58</v>
      </c>
      <c r="F158" s="56" t="s">
        <v>55</v>
      </c>
      <c r="G158" s="56">
        <v>244</v>
      </c>
      <c r="H158" s="1">
        <f>I158+J158+K158+L158</f>
        <v>65000</v>
      </c>
      <c r="I158" s="1">
        <v>0</v>
      </c>
      <c r="J158" s="1">
        <v>15000</v>
      </c>
      <c r="K158" s="1">
        <v>50000</v>
      </c>
      <c r="L158" s="1">
        <v>0</v>
      </c>
      <c r="M158" s="1">
        <v>50000</v>
      </c>
      <c r="N158" s="1">
        <v>50000</v>
      </c>
      <c r="O158" s="119"/>
      <c r="P158" s="122"/>
    </row>
    <row r="159" spans="1:17" ht="22.5" x14ac:dyDescent="0.25">
      <c r="A159" s="119"/>
      <c r="B159" s="90" t="s">
        <v>22</v>
      </c>
      <c r="C159" s="95"/>
      <c r="D159" s="95"/>
      <c r="E159" s="95"/>
      <c r="F159" s="95"/>
      <c r="G159" s="95"/>
      <c r="H159" s="1">
        <v>0</v>
      </c>
      <c r="I159" s="1">
        <v>0</v>
      </c>
      <c r="J159" s="1">
        <v>0</v>
      </c>
      <c r="K159" s="1">
        <v>0</v>
      </c>
      <c r="L159" s="1">
        <v>0</v>
      </c>
      <c r="M159" s="1">
        <v>0</v>
      </c>
      <c r="N159" s="1">
        <v>0</v>
      </c>
      <c r="O159" s="119"/>
      <c r="P159" s="122"/>
      <c r="Q159" s="5"/>
    </row>
    <row r="160" spans="1:17" x14ac:dyDescent="0.25">
      <c r="A160" s="120"/>
      <c r="B160" s="92" t="s">
        <v>130</v>
      </c>
      <c r="C160" s="7"/>
      <c r="D160" s="7"/>
      <c r="E160" s="7"/>
      <c r="F160" s="7"/>
      <c r="G160" s="7"/>
      <c r="H160" s="55">
        <f t="shared" ref="H160" si="86">I160+J160+K160+L160</f>
        <v>0</v>
      </c>
      <c r="I160" s="55">
        <v>0</v>
      </c>
      <c r="J160" s="55">
        <v>0</v>
      </c>
      <c r="K160" s="55">
        <v>0</v>
      </c>
      <c r="L160" s="55">
        <v>0</v>
      </c>
      <c r="M160" s="55">
        <v>0</v>
      </c>
      <c r="N160" s="55">
        <v>0</v>
      </c>
      <c r="O160" s="120"/>
      <c r="P160" s="123"/>
      <c r="Q160" s="5"/>
    </row>
    <row r="161" spans="1:17" ht="20.45" customHeight="1" x14ac:dyDescent="0.25">
      <c r="A161" s="118" t="s">
        <v>159</v>
      </c>
      <c r="B161" s="90" t="s">
        <v>36</v>
      </c>
      <c r="C161" s="95"/>
      <c r="D161" s="95"/>
      <c r="E161" s="95"/>
      <c r="F161" s="95"/>
      <c r="G161" s="95"/>
      <c r="H161" s="1">
        <f t="shared" ref="H161:H165" si="87">I161+J161+K161+L161</f>
        <v>6</v>
      </c>
      <c r="I161" s="1">
        <v>0</v>
      </c>
      <c r="J161" s="1">
        <v>0</v>
      </c>
      <c r="K161" s="1">
        <v>0</v>
      </c>
      <c r="L161" s="1">
        <v>6</v>
      </c>
      <c r="M161" s="1">
        <v>11</v>
      </c>
      <c r="N161" s="1">
        <v>13</v>
      </c>
      <c r="O161" s="118" t="s">
        <v>37</v>
      </c>
      <c r="P161" s="118" t="s">
        <v>120</v>
      </c>
      <c r="Q161" s="108"/>
    </row>
    <row r="162" spans="1:17" x14ac:dyDescent="0.25">
      <c r="A162" s="119"/>
      <c r="B162" s="90" t="s">
        <v>17</v>
      </c>
      <c r="C162" s="95"/>
      <c r="D162" s="95"/>
      <c r="E162" s="95"/>
      <c r="F162" s="95"/>
      <c r="G162" s="95"/>
      <c r="H162" s="1">
        <f>H163/H161</f>
        <v>17633.553333333333</v>
      </c>
      <c r="I162" s="1" t="s">
        <v>18</v>
      </c>
      <c r="J162" s="1" t="s">
        <v>18</v>
      </c>
      <c r="K162" s="1" t="s">
        <v>18</v>
      </c>
      <c r="L162" s="1" t="s">
        <v>18</v>
      </c>
      <c r="M162" s="1">
        <f>M163/M161</f>
        <v>7358.0327272727263</v>
      </c>
      <c r="N162" s="1">
        <f>N163/N161</f>
        <v>20662.430769230767</v>
      </c>
      <c r="O162" s="119"/>
      <c r="P162" s="119"/>
      <c r="Q162" s="108"/>
    </row>
    <row r="163" spans="1:17" ht="22.5" x14ac:dyDescent="0.25">
      <c r="A163" s="119"/>
      <c r="B163" s="90" t="s">
        <v>54</v>
      </c>
      <c r="C163" s="95"/>
      <c r="D163" s="95"/>
      <c r="E163" s="95"/>
      <c r="F163" s="95"/>
      <c r="G163" s="95"/>
      <c r="H163" s="1">
        <f t="shared" si="87"/>
        <v>105801.31999999999</v>
      </c>
      <c r="I163" s="1">
        <f>I164+I165+I166+I167+I168</f>
        <v>0</v>
      </c>
      <c r="J163" s="1">
        <f t="shared" ref="J163:N163" si="88">J164+J165+J166+J167+J168</f>
        <v>0</v>
      </c>
      <c r="K163" s="1">
        <f t="shared" si="88"/>
        <v>0</v>
      </c>
      <c r="L163" s="1">
        <f t="shared" si="88"/>
        <v>105801.31999999999</v>
      </c>
      <c r="M163" s="1">
        <f t="shared" si="88"/>
        <v>80938.359999999986</v>
      </c>
      <c r="N163" s="1">
        <f t="shared" si="88"/>
        <v>268611.59999999998</v>
      </c>
      <c r="O163" s="119"/>
      <c r="P163" s="119"/>
      <c r="Q163" s="108" t="s">
        <v>153</v>
      </c>
    </row>
    <row r="164" spans="1:17" x14ac:dyDescent="0.25">
      <c r="A164" s="119"/>
      <c r="B164" s="126" t="s">
        <v>20</v>
      </c>
      <c r="C164" s="56">
        <v>176</v>
      </c>
      <c r="D164" s="56" t="s">
        <v>59</v>
      </c>
      <c r="E164" s="56" t="s">
        <v>58</v>
      </c>
      <c r="F164" s="56" t="s">
        <v>51</v>
      </c>
      <c r="G164" s="56">
        <v>243</v>
      </c>
      <c r="H164" s="1">
        <f>I164+J164+K164+L164</f>
        <v>2688.7200000000003</v>
      </c>
      <c r="I164" s="1">
        <v>0</v>
      </c>
      <c r="J164" s="1">
        <v>0</v>
      </c>
      <c r="K164" s="1">
        <v>0</v>
      </c>
      <c r="L164" s="1">
        <f>1430+1258.72</f>
        <v>2688.7200000000003</v>
      </c>
      <c r="M164" s="1">
        <f>5000</f>
        <v>5000</v>
      </c>
      <c r="N164" s="1">
        <v>0</v>
      </c>
      <c r="O164" s="119"/>
      <c r="P164" s="119"/>
      <c r="Q164" s="108"/>
    </row>
    <row r="165" spans="1:17" x14ac:dyDescent="0.25">
      <c r="A165" s="119"/>
      <c r="B165" s="126"/>
      <c r="C165" s="56">
        <v>176</v>
      </c>
      <c r="D165" s="56" t="s">
        <v>59</v>
      </c>
      <c r="E165" s="56" t="s">
        <v>58</v>
      </c>
      <c r="F165" s="56" t="s">
        <v>51</v>
      </c>
      <c r="G165" s="56">
        <v>414</v>
      </c>
      <c r="H165" s="1">
        <f t="shared" si="87"/>
        <v>103112.59999999999</v>
      </c>
      <c r="I165" s="1">
        <v>0</v>
      </c>
      <c r="J165" s="1">
        <v>0</v>
      </c>
      <c r="K165" s="1">
        <v>0</v>
      </c>
      <c r="L165" s="1">
        <f>91411.51+300+600+10801.09</f>
        <v>103112.59999999999</v>
      </c>
      <c r="M165" s="1">
        <f>65151.24+200+600+9987.12</f>
        <v>75938.359999999986</v>
      </c>
      <c r="N165" s="1">
        <f>233511.6+500+600+34000</f>
        <v>268611.59999999998</v>
      </c>
      <c r="O165" s="119"/>
      <c r="P165" s="119"/>
      <c r="Q165" s="108" t="s">
        <v>153</v>
      </c>
    </row>
    <row r="166" spans="1:17" ht="22.5" x14ac:dyDescent="0.25">
      <c r="A166" s="119"/>
      <c r="B166" s="90" t="s">
        <v>23</v>
      </c>
      <c r="C166" s="56"/>
      <c r="D166" s="56"/>
      <c r="E166" s="56"/>
      <c r="F166" s="56"/>
      <c r="G166" s="56"/>
      <c r="H166" s="1">
        <v>0</v>
      </c>
      <c r="I166" s="1">
        <v>0</v>
      </c>
      <c r="J166" s="1">
        <v>0</v>
      </c>
      <c r="K166" s="1">
        <v>0</v>
      </c>
      <c r="L166" s="1">
        <v>0</v>
      </c>
      <c r="M166" s="1">
        <v>0</v>
      </c>
      <c r="N166" s="1">
        <v>0</v>
      </c>
      <c r="O166" s="119"/>
      <c r="P166" s="119"/>
      <c r="Q166" s="108"/>
    </row>
    <row r="167" spans="1:17" x14ac:dyDescent="0.25">
      <c r="A167" s="119"/>
      <c r="B167" s="90" t="s">
        <v>21</v>
      </c>
      <c r="C167" s="95"/>
      <c r="D167" s="95"/>
      <c r="E167" s="95"/>
      <c r="F167" s="95"/>
      <c r="G167" s="95"/>
      <c r="H167" s="1">
        <v>0</v>
      </c>
      <c r="I167" s="1">
        <v>0</v>
      </c>
      <c r="J167" s="1">
        <v>0</v>
      </c>
      <c r="K167" s="1">
        <v>0</v>
      </c>
      <c r="L167" s="1">
        <v>0</v>
      </c>
      <c r="M167" s="1">
        <v>0</v>
      </c>
      <c r="N167" s="1">
        <v>0</v>
      </c>
      <c r="O167" s="119"/>
      <c r="P167" s="119"/>
      <c r="Q167" s="108"/>
    </row>
    <row r="168" spans="1:17" ht="22.5" x14ac:dyDescent="0.25">
      <c r="A168" s="119"/>
      <c r="B168" s="90" t="s">
        <v>22</v>
      </c>
      <c r="C168" s="95"/>
      <c r="D168" s="95"/>
      <c r="E168" s="95"/>
      <c r="F168" s="95"/>
      <c r="G168" s="95"/>
      <c r="H168" s="1">
        <v>0</v>
      </c>
      <c r="I168" s="1">
        <v>0</v>
      </c>
      <c r="J168" s="1">
        <v>0</v>
      </c>
      <c r="K168" s="1">
        <v>0</v>
      </c>
      <c r="L168" s="1">
        <v>0</v>
      </c>
      <c r="M168" s="1">
        <v>0</v>
      </c>
      <c r="N168" s="1">
        <v>0</v>
      </c>
      <c r="O168" s="119"/>
      <c r="P168" s="119"/>
      <c r="Q168" s="108"/>
    </row>
    <row r="169" spans="1:17" x14ac:dyDescent="0.25">
      <c r="A169" s="120"/>
      <c r="B169" s="92" t="s">
        <v>130</v>
      </c>
      <c r="C169" s="7"/>
      <c r="D169" s="7"/>
      <c r="E169" s="7"/>
      <c r="F169" s="7"/>
      <c r="G169" s="7"/>
      <c r="H169" s="55">
        <f t="shared" ref="H169" si="89">I169+J169+K169+L169</f>
        <v>0</v>
      </c>
      <c r="I169" s="55">
        <v>0</v>
      </c>
      <c r="J169" s="55">
        <v>0</v>
      </c>
      <c r="K169" s="55">
        <v>0</v>
      </c>
      <c r="L169" s="55">
        <v>0</v>
      </c>
      <c r="M169" s="55">
        <v>0</v>
      </c>
      <c r="N169" s="55">
        <v>0</v>
      </c>
      <c r="O169" s="120"/>
      <c r="P169" s="120"/>
      <c r="Q169" s="108"/>
    </row>
    <row r="170" spans="1:17" ht="22.5" customHeight="1" x14ac:dyDescent="0.25">
      <c r="A170" s="118" t="s">
        <v>160</v>
      </c>
      <c r="B170" s="90" t="s">
        <v>35</v>
      </c>
      <c r="C170" s="95"/>
      <c r="D170" s="95"/>
      <c r="E170" s="95"/>
      <c r="F170" s="95"/>
      <c r="G170" s="95"/>
      <c r="H170" s="1">
        <v>0.4</v>
      </c>
      <c r="I170" s="1">
        <v>0</v>
      </c>
      <c r="J170" s="1">
        <v>0</v>
      </c>
      <c r="K170" s="1">
        <v>0</v>
      </c>
      <c r="L170" s="1">
        <v>0.4</v>
      </c>
      <c r="M170" s="1">
        <v>0</v>
      </c>
      <c r="N170" s="1">
        <v>0.8</v>
      </c>
      <c r="O170" s="118" t="s">
        <v>37</v>
      </c>
      <c r="P170" s="118" t="s">
        <v>175</v>
      </c>
      <c r="Q170" s="108" t="s">
        <v>151</v>
      </c>
    </row>
    <row r="171" spans="1:17" x14ac:dyDescent="0.25">
      <c r="A171" s="119"/>
      <c r="B171" s="90" t="s">
        <v>17</v>
      </c>
      <c r="C171" s="95"/>
      <c r="D171" s="95"/>
      <c r="E171" s="95"/>
      <c r="F171" s="95"/>
      <c r="G171" s="95"/>
      <c r="H171" s="1">
        <f>H172/H170</f>
        <v>7148.5249999999996</v>
      </c>
      <c r="I171" s="1" t="s">
        <v>18</v>
      </c>
      <c r="J171" s="1" t="s">
        <v>18</v>
      </c>
      <c r="K171" s="1" t="s">
        <v>18</v>
      </c>
      <c r="L171" s="1" t="s">
        <v>18</v>
      </c>
      <c r="M171" s="1">
        <v>0</v>
      </c>
      <c r="N171" s="1">
        <f>N172/N170</f>
        <v>51875</v>
      </c>
      <c r="O171" s="119"/>
      <c r="P171" s="119"/>
      <c r="Q171" s="108"/>
    </row>
    <row r="172" spans="1:17" ht="22.5" x14ac:dyDescent="0.25">
      <c r="A172" s="119"/>
      <c r="B172" s="90" t="s">
        <v>54</v>
      </c>
      <c r="C172" s="95"/>
      <c r="D172" s="95"/>
      <c r="E172" s="95"/>
      <c r="F172" s="95"/>
      <c r="G172" s="95"/>
      <c r="H172" s="1">
        <f t="shared" ref="H172:H173" si="90">I172+J172+K172+L172</f>
        <v>2859.41</v>
      </c>
      <c r="I172" s="1">
        <f>I173+I174+I175+I176+I177</f>
        <v>0</v>
      </c>
      <c r="J172" s="1">
        <f t="shared" ref="J172:M172" si="91">J173+J174+J175+J176+J177</f>
        <v>0</v>
      </c>
      <c r="K172" s="1">
        <f t="shared" si="91"/>
        <v>1309.92</v>
      </c>
      <c r="L172" s="1">
        <f t="shared" si="91"/>
        <v>1549.49</v>
      </c>
      <c r="M172" s="1">
        <f t="shared" si="91"/>
        <v>1662.44</v>
      </c>
      <c r="N172" s="1">
        <f>N173+N174+N175+N176+N177</f>
        <v>41500</v>
      </c>
      <c r="O172" s="119"/>
      <c r="P172" s="119"/>
      <c r="Q172" s="108" t="s">
        <v>152</v>
      </c>
    </row>
    <row r="173" spans="1:17" x14ac:dyDescent="0.25">
      <c r="A173" s="119"/>
      <c r="B173" s="126" t="s">
        <v>20</v>
      </c>
      <c r="C173" s="56">
        <v>176</v>
      </c>
      <c r="D173" s="56" t="s">
        <v>59</v>
      </c>
      <c r="E173" s="56" t="s">
        <v>58</v>
      </c>
      <c r="F173" s="56" t="s">
        <v>51</v>
      </c>
      <c r="G173" s="56">
        <v>244</v>
      </c>
      <c r="H173" s="1">
        <f t="shared" si="90"/>
        <v>0</v>
      </c>
      <c r="I173" s="1">
        <v>0</v>
      </c>
      <c r="J173" s="1">
        <v>0</v>
      </c>
      <c r="K173" s="1">
        <v>0</v>
      </c>
      <c r="L173" s="1">
        <v>0</v>
      </c>
      <c r="M173" s="1">
        <v>0</v>
      </c>
      <c r="N173" s="1">
        <v>0</v>
      </c>
      <c r="O173" s="119"/>
      <c r="P173" s="119"/>
      <c r="Q173" s="108"/>
    </row>
    <row r="174" spans="1:17" x14ac:dyDescent="0.25">
      <c r="A174" s="119"/>
      <c r="B174" s="126"/>
      <c r="C174" s="56">
        <v>176</v>
      </c>
      <c r="D174" s="56" t="s">
        <v>59</v>
      </c>
      <c r="E174" s="56" t="s">
        <v>58</v>
      </c>
      <c r="F174" s="56" t="s">
        <v>51</v>
      </c>
      <c r="G174" s="56">
        <v>414</v>
      </c>
      <c r="H174" s="1">
        <f>I174+J174+K174+L174</f>
        <v>2859.41</v>
      </c>
      <c r="I174" s="1">
        <v>0</v>
      </c>
      <c r="J174" s="1">
        <v>0</v>
      </c>
      <c r="K174" s="1">
        <v>1309.92</v>
      </c>
      <c r="L174" s="1">
        <f>1499.49+50</f>
        <v>1549.49</v>
      </c>
      <c r="M174" s="1">
        <f>1600+62.44</f>
        <v>1662.44</v>
      </c>
      <c r="N174" s="1">
        <f>1500+40000</f>
        <v>41500</v>
      </c>
      <c r="O174" s="119"/>
      <c r="P174" s="119"/>
      <c r="Q174" s="108" t="s">
        <v>152</v>
      </c>
    </row>
    <row r="175" spans="1:17" ht="22.5" x14ac:dyDescent="0.25">
      <c r="A175" s="119"/>
      <c r="B175" s="90" t="s">
        <v>23</v>
      </c>
      <c r="C175" s="56"/>
      <c r="D175" s="56"/>
      <c r="E175" s="56"/>
      <c r="F175" s="56"/>
      <c r="G175" s="56"/>
      <c r="H175" s="1">
        <v>0</v>
      </c>
      <c r="I175" s="1">
        <v>0</v>
      </c>
      <c r="J175" s="1">
        <v>0</v>
      </c>
      <c r="K175" s="1">
        <v>0</v>
      </c>
      <c r="L175" s="1">
        <v>0</v>
      </c>
      <c r="M175" s="1">
        <v>0</v>
      </c>
      <c r="N175" s="1">
        <v>0</v>
      </c>
      <c r="O175" s="119"/>
      <c r="P175" s="119"/>
      <c r="Q175" s="108"/>
    </row>
    <row r="176" spans="1:17" x14ac:dyDescent="0.25">
      <c r="A176" s="119"/>
      <c r="B176" s="90" t="s">
        <v>21</v>
      </c>
      <c r="C176" s="95"/>
      <c r="D176" s="95"/>
      <c r="E176" s="95"/>
      <c r="F176" s="95"/>
      <c r="G176" s="95"/>
      <c r="H176" s="1">
        <v>0</v>
      </c>
      <c r="I176" s="1">
        <v>0</v>
      </c>
      <c r="J176" s="1">
        <v>0</v>
      </c>
      <c r="K176" s="1">
        <v>0</v>
      </c>
      <c r="L176" s="1">
        <v>0</v>
      </c>
      <c r="M176" s="1">
        <v>0</v>
      </c>
      <c r="N176" s="1">
        <v>0</v>
      </c>
      <c r="O176" s="119"/>
      <c r="P176" s="119"/>
      <c r="Q176" s="108"/>
    </row>
    <row r="177" spans="1:17" ht="22.5" x14ac:dyDescent="0.25">
      <c r="A177" s="119"/>
      <c r="B177" s="90" t="s">
        <v>22</v>
      </c>
      <c r="C177" s="95"/>
      <c r="D177" s="95"/>
      <c r="E177" s="95"/>
      <c r="F177" s="95"/>
      <c r="G177" s="95"/>
      <c r="H177" s="1">
        <v>0</v>
      </c>
      <c r="I177" s="1">
        <v>0</v>
      </c>
      <c r="J177" s="1">
        <v>0</v>
      </c>
      <c r="K177" s="1">
        <v>0</v>
      </c>
      <c r="L177" s="1">
        <v>0</v>
      </c>
      <c r="M177" s="1">
        <v>0</v>
      </c>
      <c r="N177" s="1">
        <v>0</v>
      </c>
      <c r="O177" s="119"/>
      <c r="P177" s="119"/>
      <c r="Q177" s="108"/>
    </row>
    <row r="178" spans="1:17" x14ac:dyDescent="0.25">
      <c r="A178" s="120"/>
      <c r="B178" s="92" t="s">
        <v>130</v>
      </c>
      <c r="C178" s="7"/>
      <c r="D178" s="7"/>
      <c r="E178" s="7"/>
      <c r="F178" s="7"/>
      <c r="G178" s="7"/>
      <c r="H178" s="55">
        <f t="shared" ref="H178" si="92">I178+J178+K178+L178</f>
        <v>0</v>
      </c>
      <c r="I178" s="55">
        <v>0</v>
      </c>
      <c r="J178" s="55">
        <v>0</v>
      </c>
      <c r="K178" s="55">
        <v>0</v>
      </c>
      <c r="L178" s="55">
        <v>0</v>
      </c>
      <c r="M178" s="55">
        <v>0</v>
      </c>
      <c r="N178" s="55">
        <v>0</v>
      </c>
      <c r="O178" s="120"/>
      <c r="P178" s="120"/>
      <c r="Q178" s="5"/>
    </row>
    <row r="179" spans="1:17" ht="33.75" customHeight="1" x14ac:dyDescent="0.25">
      <c r="A179" s="118" t="s">
        <v>161</v>
      </c>
      <c r="B179" s="90" t="s">
        <v>38</v>
      </c>
      <c r="C179" s="95"/>
      <c r="D179" s="95"/>
      <c r="E179" s="95"/>
      <c r="F179" s="95"/>
      <c r="G179" s="95"/>
      <c r="H179" s="1">
        <f>I179+J179+K179+L179</f>
        <v>2</v>
      </c>
      <c r="I179" s="72">
        <v>0</v>
      </c>
      <c r="J179" s="1">
        <v>0</v>
      </c>
      <c r="K179" s="1">
        <v>0</v>
      </c>
      <c r="L179" s="55">
        <v>2</v>
      </c>
      <c r="M179" s="1">
        <v>3</v>
      </c>
      <c r="N179" s="1">
        <v>2</v>
      </c>
      <c r="O179" s="118" t="s">
        <v>82</v>
      </c>
      <c r="P179" s="118" t="s">
        <v>121</v>
      </c>
    </row>
    <row r="180" spans="1:17" x14ac:dyDescent="0.25">
      <c r="A180" s="119"/>
      <c r="B180" s="90" t="s">
        <v>17</v>
      </c>
      <c r="C180" s="95"/>
      <c r="D180" s="95"/>
      <c r="E180" s="95"/>
      <c r="F180" s="95"/>
      <c r="G180" s="95"/>
      <c r="H180" s="1">
        <f>H181/H179</f>
        <v>5101</v>
      </c>
      <c r="I180" s="1" t="s">
        <v>18</v>
      </c>
      <c r="J180" s="1" t="s">
        <v>18</v>
      </c>
      <c r="K180" s="1" t="s">
        <v>18</v>
      </c>
      <c r="L180" s="1" t="s">
        <v>18</v>
      </c>
      <c r="M180" s="1">
        <f>M181/M179</f>
        <v>2884</v>
      </c>
      <c r="N180" s="1">
        <f>N181/N179</f>
        <v>2225</v>
      </c>
      <c r="O180" s="119"/>
      <c r="P180" s="119"/>
    </row>
    <row r="181" spans="1:17" ht="22.5" x14ac:dyDescent="0.25">
      <c r="A181" s="119"/>
      <c r="B181" s="90" t="s">
        <v>54</v>
      </c>
      <c r="C181" s="95"/>
      <c r="D181" s="95"/>
      <c r="E181" s="95"/>
      <c r="F181" s="95"/>
      <c r="G181" s="95"/>
      <c r="H181" s="55">
        <f>H182+H183+H184</f>
        <v>10202</v>
      </c>
      <c r="I181" s="55">
        <f>I182+I183+I184</f>
        <v>0</v>
      </c>
      <c r="J181" s="55">
        <f t="shared" ref="J181:M181" si="93">J182+J183+J184</f>
        <v>0</v>
      </c>
      <c r="K181" s="55">
        <f t="shared" si="93"/>
        <v>0</v>
      </c>
      <c r="L181" s="55">
        <f t="shared" si="93"/>
        <v>10202</v>
      </c>
      <c r="M181" s="55">
        <f t="shared" si="93"/>
        <v>8652</v>
      </c>
      <c r="N181" s="55">
        <f>N182+N183+N184</f>
        <v>4450</v>
      </c>
      <c r="O181" s="119"/>
      <c r="P181" s="119"/>
    </row>
    <row r="182" spans="1:17" x14ac:dyDescent="0.25">
      <c r="A182" s="119"/>
      <c r="B182" s="90" t="s">
        <v>20</v>
      </c>
      <c r="C182" s="56">
        <v>176</v>
      </c>
      <c r="D182" s="56" t="s">
        <v>59</v>
      </c>
      <c r="E182" s="56" t="s">
        <v>58</v>
      </c>
      <c r="F182" s="56" t="s">
        <v>51</v>
      </c>
      <c r="G182" s="56">
        <v>244</v>
      </c>
      <c r="H182" s="1">
        <v>0</v>
      </c>
      <c r="I182" s="1">
        <v>0</v>
      </c>
      <c r="J182" s="1">
        <v>0</v>
      </c>
      <c r="K182" s="1">
        <v>0</v>
      </c>
      <c r="L182" s="1">
        <v>0</v>
      </c>
      <c r="M182" s="1">
        <v>0</v>
      </c>
      <c r="N182" s="1">
        <v>0</v>
      </c>
      <c r="O182" s="119"/>
      <c r="P182" s="119"/>
    </row>
    <row r="183" spans="1:17" x14ac:dyDescent="0.25">
      <c r="A183" s="119"/>
      <c r="B183" s="90" t="s">
        <v>21</v>
      </c>
      <c r="C183" s="95"/>
      <c r="D183" s="95"/>
      <c r="E183" s="95"/>
      <c r="F183" s="95"/>
      <c r="G183" s="95"/>
      <c r="H183" s="1">
        <f t="shared" ref="H183" si="94">I183+J183+K183+L183</f>
        <v>0</v>
      </c>
      <c r="I183" s="1">
        <v>0</v>
      </c>
      <c r="J183" s="1">
        <v>0</v>
      </c>
      <c r="K183" s="1">
        <v>0</v>
      </c>
      <c r="L183" s="1">
        <v>0</v>
      </c>
      <c r="M183" s="1">
        <v>0</v>
      </c>
      <c r="N183" s="1">
        <v>0</v>
      </c>
      <c r="O183" s="119"/>
      <c r="P183" s="119"/>
    </row>
    <row r="184" spans="1:17" ht="22.5" x14ac:dyDescent="0.25">
      <c r="A184" s="119"/>
      <c r="B184" s="90" t="s">
        <v>22</v>
      </c>
      <c r="C184" s="95"/>
      <c r="D184" s="95"/>
      <c r="E184" s="95"/>
      <c r="F184" s="95"/>
      <c r="G184" s="95"/>
      <c r="H184" s="1">
        <f>SUM(I184:L184)</f>
        <v>10202</v>
      </c>
      <c r="I184" s="55">
        <v>0</v>
      </c>
      <c r="J184" s="1">
        <v>0</v>
      </c>
      <c r="K184" s="1">
        <v>0</v>
      </c>
      <c r="L184" s="1">
        <v>10202</v>
      </c>
      <c r="M184" s="1">
        <v>8652</v>
      </c>
      <c r="N184" s="1">
        <v>4450</v>
      </c>
      <c r="O184" s="119"/>
      <c r="P184" s="119"/>
    </row>
    <row r="185" spans="1:17" x14ac:dyDescent="0.25">
      <c r="A185" s="120"/>
      <c r="B185" s="92" t="s">
        <v>130</v>
      </c>
      <c r="C185" s="7"/>
      <c r="D185" s="7"/>
      <c r="E185" s="7"/>
      <c r="F185" s="7"/>
      <c r="G185" s="7"/>
      <c r="H185" s="55">
        <f t="shared" ref="H185" si="95">I185+J185+K185+L185</f>
        <v>0</v>
      </c>
      <c r="I185" s="55">
        <v>0</v>
      </c>
      <c r="J185" s="55">
        <v>0</v>
      </c>
      <c r="K185" s="55">
        <v>0</v>
      </c>
      <c r="L185" s="55">
        <v>0</v>
      </c>
      <c r="M185" s="55">
        <v>0</v>
      </c>
      <c r="N185" s="55">
        <v>0</v>
      </c>
      <c r="O185" s="120"/>
      <c r="P185" s="120"/>
    </row>
    <row r="186" spans="1:17" ht="22.5" customHeight="1" x14ac:dyDescent="0.25">
      <c r="A186" s="118" t="s">
        <v>162</v>
      </c>
      <c r="B186" s="90" t="s">
        <v>35</v>
      </c>
      <c r="C186" s="95"/>
      <c r="D186" s="95"/>
      <c r="E186" s="95"/>
      <c r="F186" s="95"/>
      <c r="G186" s="95"/>
      <c r="H186" s="73">
        <f t="shared" ref="H186:H191" si="96">I186+J186+K186+L186</f>
        <v>14.6</v>
      </c>
      <c r="I186" s="74">
        <v>0</v>
      </c>
      <c r="J186" s="73">
        <v>7.3</v>
      </c>
      <c r="K186" s="73">
        <v>7.3</v>
      </c>
      <c r="L186" s="73">
        <v>0</v>
      </c>
      <c r="M186" s="73">
        <v>4.5</v>
      </c>
      <c r="N186" s="73">
        <v>4.5</v>
      </c>
      <c r="O186" s="118" t="s">
        <v>83</v>
      </c>
      <c r="P186" s="118" t="s">
        <v>122</v>
      </c>
    </row>
    <row r="187" spans="1:17" x14ac:dyDescent="0.25">
      <c r="A187" s="119"/>
      <c r="B187" s="90" t="s">
        <v>17</v>
      </c>
      <c r="C187" s="95"/>
      <c r="D187" s="95"/>
      <c r="E187" s="95"/>
      <c r="F187" s="95"/>
      <c r="G187" s="95"/>
      <c r="H187" s="1">
        <f>H188/H186</f>
        <v>8234.2465753424658</v>
      </c>
      <c r="I187" s="1" t="s">
        <v>18</v>
      </c>
      <c r="J187" s="1" t="s">
        <v>18</v>
      </c>
      <c r="K187" s="1" t="s">
        <v>18</v>
      </c>
      <c r="L187" s="1" t="s">
        <v>18</v>
      </c>
      <c r="M187" s="1">
        <f>M188/M186</f>
        <v>6666.666666666667</v>
      </c>
      <c r="N187" s="1">
        <f>N188/N186</f>
        <v>6666.666666666667</v>
      </c>
      <c r="O187" s="119"/>
      <c r="P187" s="119"/>
    </row>
    <row r="188" spans="1:17" ht="22.5" x14ac:dyDescent="0.25">
      <c r="A188" s="119"/>
      <c r="B188" s="90" t="s">
        <v>54</v>
      </c>
      <c r="C188" s="95"/>
      <c r="D188" s="95"/>
      <c r="E188" s="95"/>
      <c r="F188" s="95"/>
      <c r="G188" s="95"/>
      <c r="H188" s="1">
        <f>I188+J188+K188+L188</f>
        <v>120220</v>
      </c>
      <c r="I188" s="1">
        <f>I189+I190+I191+I192</f>
        <v>0</v>
      </c>
      <c r="J188" s="1">
        <f t="shared" ref="J188:N188" si="97">J189+J190+J191+J192</f>
        <v>60110</v>
      </c>
      <c r="K188" s="1">
        <f t="shared" si="97"/>
        <v>60110</v>
      </c>
      <c r="L188" s="1">
        <f t="shared" si="97"/>
        <v>0</v>
      </c>
      <c r="M188" s="1">
        <f t="shared" si="97"/>
        <v>30000</v>
      </c>
      <c r="N188" s="1">
        <f t="shared" si="97"/>
        <v>30000</v>
      </c>
      <c r="O188" s="119"/>
      <c r="P188" s="119"/>
    </row>
    <row r="189" spans="1:17" x14ac:dyDescent="0.25">
      <c r="A189" s="119"/>
      <c r="B189" s="90" t="s">
        <v>20</v>
      </c>
      <c r="C189" s="56"/>
      <c r="D189" s="56"/>
      <c r="E189" s="56"/>
      <c r="F189" s="56"/>
      <c r="G189" s="56"/>
      <c r="H189" s="1">
        <f t="shared" si="96"/>
        <v>0</v>
      </c>
      <c r="I189" s="1">
        <f t="shared" ref="I189:I190" si="98">J189+K189+L189+M189</f>
        <v>0</v>
      </c>
      <c r="J189" s="1">
        <f t="shared" ref="J189:J190" si="99">K189+L189+M189+N189</f>
        <v>0</v>
      </c>
      <c r="K189" s="1">
        <f t="shared" ref="K189:K190" si="100">L189+M189+N189+O189</f>
        <v>0</v>
      </c>
      <c r="L189" s="1">
        <f t="shared" ref="L189:L190" si="101">M189+N189+O189+P189</f>
        <v>0</v>
      </c>
      <c r="M189" s="1">
        <f t="shared" ref="M189:M190" si="102">N189+O189+P189+Q189</f>
        <v>0</v>
      </c>
      <c r="N189" s="1">
        <f t="shared" ref="N189:N190" si="103">O189+P189+Q189+R189</f>
        <v>0</v>
      </c>
      <c r="O189" s="119"/>
      <c r="P189" s="119"/>
    </row>
    <row r="190" spans="1:17" ht="22.5" x14ac:dyDescent="0.25">
      <c r="A190" s="119"/>
      <c r="B190" s="90" t="s">
        <v>23</v>
      </c>
      <c r="C190" s="56"/>
      <c r="D190" s="56"/>
      <c r="E190" s="56"/>
      <c r="F190" s="56"/>
      <c r="G190" s="56"/>
      <c r="H190" s="1">
        <f t="shared" si="96"/>
        <v>0</v>
      </c>
      <c r="I190" s="1">
        <f t="shared" si="98"/>
        <v>0</v>
      </c>
      <c r="J190" s="1">
        <f t="shared" si="99"/>
        <v>0</v>
      </c>
      <c r="K190" s="1">
        <f t="shared" si="100"/>
        <v>0</v>
      </c>
      <c r="L190" s="1">
        <f t="shared" si="101"/>
        <v>0</v>
      </c>
      <c r="M190" s="1">
        <f t="shared" si="102"/>
        <v>0</v>
      </c>
      <c r="N190" s="1">
        <f t="shared" si="103"/>
        <v>0</v>
      </c>
      <c r="O190" s="119"/>
      <c r="P190" s="119"/>
    </row>
    <row r="191" spans="1:17" x14ac:dyDescent="0.25">
      <c r="A191" s="119"/>
      <c r="B191" s="90" t="s">
        <v>21</v>
      </c>
      <c r="C191" s="56">
        <v>780</v>
      </c>
      <c r="D191" s="56" t="s">
        <v>59</v>
      </c>
      <c r="E191" s="56" t="s">
        <v>58</v>
      </c>
      <c r="F191" s="56" t="s">
        <v>109</v>
      </c>
      <c r="G191" s="56">
        <v>244</v>
      </c>
      <c r="H191" s="1">
        <f t="shared" si="96"/>
        <v>120220</v>
      </c>
      <c r="I191" s="1">
        <v>0</v>
      </c>
      <c r="J191" s="1">
        <v>60110</v>
      </c>
      <c r="K191" s="1">
        <v>60110</v>
      </c>
      <c r="L191" s="1">
        <v>0</v>
      </c>
      <c r="M191" s="1">
        <v>30000</v>
      </c>
      <c r="N191" s="1">
        <v>30000</v>
      </c>
      <c r="O191" s="119"/>
      <c r="P191" s="119"/>
    </row>
    <row r="192" spans="1:17" ht="22.5" x14ac:dyDescent="0.25">
      <c r="A192" s="119"/>
      <c r="B192" s="90" t="s">
        <v>22</v>
      </c>
      <c r="C192" s="95"/>
      <c r="D192" s="95"/>
      <c r="E192" s="95"/>
      <c r="F192" s="95"/>
      <c r="G192" s="56"/>
      <c r="H192" s="1">
        <v>0</v>
      </c>
      <c r="I192" s="1">
        <v>0</v>
      </c>
      <c r="J192" s="1">
        <v>0</v>
      </c>
      <c r="K192" s="1">
        <v>0</v>
      </c>
      <c r="L192" s="1">
        <v>0</v>
      </c>
      <c r="M192" s="1">
        <v>0</v>
      </c>
      <c r="N192" s="1">
        <v>0</v>
      </c>
      <c r="O192" s="119"/>
      <c r="P192" s="119"/>
    </row>
    <row r="193" spans="1:16" x14ac:dyDescent="0.25">
      <c r="A193" s="120"/>
      <c r="B193" s="92" t="s">
        <v>130</v>
      </c>
      <c r="C193" s="7"/>
      <c r="D193" s="7"/>
      <c r="E193" s="7"/>
      <c r="F193" s="7"/>
      <c r="G193" s="7"/>
      <c r="H193" s="55">
        <f t="shared" ref="H193" si="104">I193+J193+K193+L193</f>
        <v>0</v>
      </c>
      <c r="I193" s="55">
        <v>0</v>
      </c>
      <c r="J193" s="55">
        <v>0</v>
      </c>
      <c r="K193" s="55">
        <v>0</v>
      </c>
      <c r="L193" s="55">
        <v>0</v>
      </c>
      <c r="M193" s="55">
        <v>0</v>
      </c>
      <c r="N193" s="55">
        <v>0</v>
      </c>
      <c r="O193" s="120"/>
      <c r="P193" s="120"/>
    </row>
    <row r="194" spans="1:16" ht="22.5" customHeight="1" x14ac:dyDescent="0.25">
      <c r="A194" s="118" t="s">
        <v>163</v>
      </c>
      <c r="B194" s="90" t="s">
        <v>176</v>
      </c>
      <c r="C194" s="95"/>
      <c r="D194" s="95"/>
      <c r="E194" s="95"/>
      <c r="F194" s="95"/>
      <c r="G194" s="95"/>
      <c r="H194" s="1">
        <f>SUM(I194:L194)</f>
        <v>2000</v>
      </c>
      <c r="I194" s="1">
        <v>0</v>
      </c>
      <c r="J194" s="1">
        <v>0</v>
      </c>
      <c r="K194" s="1">
        <v>0</v>
      </c>
      <c r="L194" s="1">
        <v>2000</v>
      </c>
      <c r="M194" s="1">
        <v>5000</v>
      </c>
      <c r="N194" s="1">
        <v>2000</v>
      </c>
      <c r="O194" s="118" t="s">
        <v>37</v>
      </c>
      <c r="P194" s="118" t="s">
        <v>123</v>
      </c>
    </row>
    <row r="195" spans="1:16" x14ac:dyDescent="0.25">
      <c r="A195" s="119"/>
      <c r="B195" s="90" t="s">
        <v>17</v>
      </c>
      <c r="C195" s="95"/>
      <c r="D195" s="95"/>
      <c r="E195" s="95"/>
      <c r="F195" s="95"/>
      <c r="G195" s="95"/>
      <c r="H195" s="1">
        <f>H196/H194</f>
        <v>5</v>
      </c>
      <c r="I195" s="1" t="s">
        <v>18</v>
      </c>
      <c r="J195" s="1" t="s">
        <v>18</v>
      </c>
      <c r="K195" s="1" t="s">
        <v>18</v>
      </c>
      <c r="L195" s="1" t="s">
        <v>18</v>
      </c>
      <c r="M195" s="1">
        <f>M196/M194</f>
        <v>5</v>
      </c>
      <c r="N195" s="1">
        <f>N196/N194</f>
        <v>5</v>
      </c>
      <c r="O195" s="119"/>
      <c r="P195" s="119"/>
    </row>
    <row r="196" spans="1:16" ht="22.5" x14ac:dyDescent="0.25">
      <c r="A196" s="119"/>
      <c r="B196" s="90" t="s">
        <v>54</v>
      </c>
      <c r="C196" s="95"/>
      <c r="D196" s="95"/>
      <c r="E196" s="95"/>
      <c r="F196" s="95"/>
      <c r="G196" s="95"/>
      <c r="H196" s="1">
        <f>I196+J196+K196+L196</f>
        <v>10000</v>
      </c>
      <c r="I196" s="1">
        <f>I197+I198+I199+I200</f>
        <v>0</v>
      </c>
      <c r="J196" s="1">
        <f t="shared" ref="J196:N196" si="105">J197+J198+J199+J200</f>
        <v>0</v>
      </c>
      <c r="K196" s="1">
        <f t="shared" si="105"/>
        <v>0</v>
      </c>
      <c r="L196" s="1">
        <f t="shared" si="105"/>
        <v>10000</v>
      </c>
      <c r="M196" s="1">
        <f t="shared" si="105"/>
        <v>25000</v>
      </c>
      <c r="N196" s="1">
        <f t="shared" si="105"/>
        <v>10000</v>
      </c>
      <c r="O196" s="119"/>
      <c r="P196" s="119"/>
    </row>
    <row r="197" spans="1:16" x14ac:dyDescent="0.25">
      <c r="A197" s="119"/>
      <c r="B197" s="90" t="s">
        <v>20</v>
      </c>
      <c r="C197" s="56">
        <v>176</v>
      </c>
      <c r="D197" s="56" t="s">
        <v>59</v>
      </c>
      <c r="E197" s="56" t="s">
        <v>58</v>
      </c>
      <c r="F197" s="56" t="s">
        <v>51</v>
      </c>
      <c r="G197" s="56">
        <v>244</v>
      </c>
      <c r="H197" s="1">
        <f>I197+J197+K197+L197</f>
        <v>10000</v>
      </c>
      <c r="I197" s="1">
        <v>0</v>
      </c>
      <c r="J197" s="72">
        <v>0</v>
      </c>
      <c r="K197" s="72">
        <v>0</v>
      </c>
      <c r="L197" s="55">
        <v>10000</v>
      </c>
      <c r="M197" s="1">
        <v>25000</v>
      </c>
      <c r="N197" s="1">
        <v>10000</v>
      </c>
      <c r="O197" s="119"/>
      <c r="P197" s="119"/>
    </row>
    <row r="198" spans="1:16" ht="22.5" x14ac:dyDescent="0.25">
      <c r="A198" s="119"/>
      <c r="B198" s="90" t="s">
        <v>23</v>
      </c>
      <c r="C198" s="56"/>
      <c r="D198" s="56"/>
      <c r="E198" s="56"/>
      <c r="F198" s="56"/>
      <c r="G198" s="56"/>
      <c r="H198" s="1">
        <f t="shared" ref="H198:H201" si="106">I198+J198+K198+L198</f>
        <v>0</v>
      </c>
      <c r="I198" s="1">
        <f t="shared" ref="I198:I200" si="107">J198+K198+L198+M198</f>
        <v>0</v>
      </c>
      <c r="J198" s="1">
        <f t="shared" ref="J198:J200" si="108">K198+L198+M198+N198</f>
        <v>0</v>
      </c>
      <c r="K198" s="1">
        <f t="shared" ref="K198:K200" si="109">L198+M198+N198+O198</f>
        <v>0</v>
      </c>
      <c r="L198" s="1">
        <f t="shared" ref="L198:L200" si="110">M198+N198+O198+P198</f>
        <v>0</v>
      </c>
      <c r="M198" s="1">
        <f t="shared" ref="M198:M200" si="111">N198+O198+P198+Q198</f>
        <v>0</v>
      </c>
      <c r="N198" s="1">
        <f t="shared" ref="N198:N200" si="112">O198+P198+Q198+R198</f>
        <v>0</v>
      </c>
      <c r="O198" s="119"/>
      <c r="P198" s="119"/>
    </row>
    <row r="199" spans="1:16" x14ac:dyDescent="0.25">
      <c r="A199" s="119"/>
      <c r="B199" s="90" t="s">
        <v>21</v>
      </c>
      <c r="C199" s="95"/>
      <c r="D199" s="95"/>
      <c r="E199" s="95"/>
      <c r="F199" s="95"/>
      <c r="G199" s="95"/>
      <c r="H199" s="1">
        <f t="shared" si="106"/>
        <v>0</v>
      </c>
      <c r="I199" s="1">
        <f t="shared" si="107"/>
        <v>0</v>
      </c>
      <c r="J199" s="1">
        <f t="shared" si="108"/>
        <v>0</v>
      </c>
      <c r="K199" s="1">
        <f t="shared" si="109"/>
        <v>0</v>
      </c>
      <c r="L199" s="1">
        <f t="shared" si="110"/>
        <v>0</v>
      </c>
      <c r="M199" s="1">
        <f t="shared" si="111"/>
        <v>0</v>
      </c>
      <c r="N199" s="1">
        <f t="shared" si="112"/>
        <v>0</v>
      </c>
      <c r="O199" s="119"/>
      <c r="P199" s="119"/>
    </row>
    <row r="200" spans="1:16" ht="22.5" x14ac:dyDescent="0.25">
      <c r="A200" s="119"/>
      <c r="B200" s="90" t="s">
        <v>22</v>
      </c>
      <c r="C200" s="95"/>
      <c r="D200" s="95"/>
      <c r="E200" s="95"/>
      <c r="F200" s="95"/>
      <c r="G200" s="95"/>
      <c r="H200" s="1">
        <f t="shared" si="106"/>
        <v>0</v>
      </c>
      <c r="I200" s="1">
        <f t="shared" si="107"/>
        <v>0</v>
      </c>
      <c r="J200" s="1">
        <f t="shared" si="108"/>
        <v>0</v>
      </c>
      <c r="K200" s="1">
        <f t="shared" si="109"/>
        <v>0</v>
      </c>
      <c r="L200" s="1">
        <f t="shared" si="110"/>
        <v>0</v>
      </c>
      <c r="M200" s="1">
        <f t="shared" si="111"/>
        <v>0</v>
      </c>
      <c r="N200" s="1">
        <f t="shared" si="112"/>
        <v>0</v>
      </c>
      <c r="O200" s="119"/>
      <c r="P200" s="119"/>
    </row>
    <row r="201" spans="1:16" x14ac:dyDescent="0.25">
      <c r="A201" s="120"/>
      <c r="B201" s="92" t="s">
        <v>130</v>
      </c>
      <c r="C201" s="7"/>
      <c r="D201" s="7"/>
      <c r="E201" s="7"/>
      <c r="F201" s="7"/>
      <c r="G201" s="7"/>
      <c r="H201" s="55">
        <f t="shared" si="106"/>
        <v>0</v>
      </c>
      <c r="I201" s="55">
        <v>0</v>
      </c>
      <c r="J201" s="55">
        <v>0</v>
      </c>
      <c r="K201" s="55">
        <v>0</v>
      </c>
      <c r="L201" s="55">
        <v>0</v>
      </c>
      <c r="M201" s="55">
        <v>0</v>
      </c>
      <c r="N201" s="55">
        <v>0</v>
      </c>
      <c r="O201" s="120"/>
      <c r="P201" s="120"/>
    </row>
    <row r="202" spans="1:16" ht="22.5" customHeight="1" x14ac:dyDescent="0.25">
      <c r="A202" s="118" t="s">
        <v>183</v>
      </c>
      <c r="B202" s="90" t="s">
        <v>35</v>
      </c>
      <c r="C202" s="95"/>
      <c r="D202" s="95"/>
      <c r="E202" s="95"/>
      <c r="F202" s="95"/>
      <c r="G202" s="95"/>
      <c r="H202" s="1">
        <f>I202+J202+K202+L202</f>
        <v>12.5</v>
      </c>
      <c r="I202" s="1">
        <v>0</v>
      </c>
      <c r="J202" s="1">
        <v>0</v>
      </c>
      <c r="K202" s="1">
        <v>3.7</v>
      </c>
      <c r="L202" s="1">
        <v>8.8000000000000007</v>
      </c>
      <c r="M202" s="1">
        <v>7.1</v>
      </c>
      <c r="N202" s="1">
        <v>21.4</v>
      </c>
      <c r="O202" s="118" t="s">
        <v>37</v>
      </c>
      <c r="P202" s="118" t="s">
        <v>178</v>
      </c>
    </row>
    <row r="203" spans="1:16" x14ac:dyDescent="0.25">
      <c r="A203" s="119"/>
      <c r="B203" s="90" t="s">
        <v>17</v>
      </c>
      <c r="C203" s="95"/>
      <c r="D203" s="95"/>
      <c r="E203" s="95"/>
      <c r="F203" s="95"/>
      <c r="G203" s="95"/>
      <c r="H203" s="1">
        <f>H204/H202</f>
        <v>4755.0472</v>
      </c>
      <c r="I203" s="1" t="s">
        <v>18</v>
      </c>
      <c r="J203" s="1" t="s">
        <v>18</v>
      </c>
      <c r="K203" s="1" t="s">
        <v>18</v>
      </c>
      <c r="L203" s="1" t="s">
        <v>18</v>
      </c>
      <c r="M203" s="1">
        <f>M204/M202</f>
        <v>1925.5661971830987</v>
      </c>
      <c r="N203" s="1">
        <f>N204/N202</f>
        <v>4386.7149532710282</v>
      </c>
      <c r="O203" s="119"/>
      <c r="P203" s="119"/>
    </row>
    <row r="204" spans="1:16" ht="22.5" x14ac:dyDescent="0.25">
      <c r="A204" s="119"/>
      <c r="B204" s="90" t="s">
        <v>54</v>
      </c>
      <c r="C204" s="95"/>
      <c r="D204" s="95"/>
      <c r="E204" s="95"/>
      <c r="F204" s="95"/>
      <c r="G204" s="95"/>
      <c r="H204" s="1">
        <f>H205+H206+H207+H208+H209</f>
        <v>59438.09</v>
      </c>
      <c r="I204" s="1">
        <f>I205+I206+I207+I208+I209</f>
        <v>0</v>
      </c>
      <c r="J204" s="1">
        <f t="shared" ref="J204:N204" si="113">J205+J206+J207+J208+J209</f>
        <v>0</v>
      </c>
      <c r="K204" s="1">
        <f t="shared" si="113"/>
        <v>17585.559999999998</v>
      </c>
      <c r="L204" s="1">
        <f t="shared" si="113"/>
        <v>41852.53</v>
      </c>
      <c r="M204" s="1">
        <f t="shared" si="113"/>
        <v>13671.52</v>
      </c>
      <c r="N204" s="1">
        <f t="shared" si="113"/>
        <v>93875.7</v>
      </c>
      <c r="O204" s="119"/>
      <c r="P204" s="119"/>
    </row>
    <row r="205" spans="1:16" x14ac:dyDescent="0.25">
      <c r="A205" s="119"/>
      <c r="B205" s="126" t="s">
        <v>20</v>
      </c>
      <c r="C205" s="56">
        <v>176</v>
      </c>
      <c r="D205" s="56" t="s">
        <v>59</v>
      </c>
      <c r="E205" s="56" t="s">
        <v>58</v>
      </c>
      <c r="F205" s="56" t="s">
        <v>51</v>
      </c>
      <c r="G205" s="56">
        <v>243</v>
      </c>
      <c r="H205" s="1">
        <f t="shared" ref="H205" si="114">I205+J205+K205+L205</f>
        <v>57729.09</v>
      </c>
      <c r="I205" s="1">
        <v>0</v>
      </c>
      <c r="J205" s="1">
        <v>0</v>
      </c>
      <c r="K205" s="1">
        <f>6005.93+10000.63</f>
        <v>16006.56</v>
      </c>
      <c r="L205" s="1">
        <f>6000+15000+2600+2700+2000+1200+3453+3812+4957.53</f>
        <v>41722.53</v>
      </c>
      <c r="M205" s="1">
        <f>10921.52+700</f>
        <v>11621.52</v>
      </c>
      <c r="N205" s="1">
        <f>88375.7+5500</f>
        <v>93875.7</v>
      </c>
      <c r="O205" s="119"/>
      <c r="P205" s="119"/>
    </row>
    <row r="206" spans="1:16" x14ac:dyDescent="0.25">
      <c r="A206" s="119"/>
      <c r="B206" s="126"/>
      <c r="C206" s="56">
        <v>176</v>
      </c>
      <c r="D206" s="56" t="s">
        <v>59</v>
      </c>
      <c r="E206" s="56" t="s">
        <v>58</v>
      </c>
      <c r="F206" s="56" t="s">
        <v>51</v>
      </c>
      <c r="G206" s="56">
        <v>414</v>
      </c>
      <c r="H206" s="1">
        <f>I206+J206+K206+L206</f>
        <v>1709</v>
      </c>
      <c r="I206" s="1">
        <v>0</v>
      </c>
      <c r="J206" s="1">
        <v>0</v>
      </c>
      <c r="K206" s="1">
        <f>1579</f>
        <v>1579</v>
      </c>
      <c r="L206" s="1">
        <f>50+80</f>
        <v>130</v>
      </c>
      <c r="M206" s="1">
        <f>2000+50</f>
        <v>2050</v>
      </c>
      <c r="N206" s="1"/>
      <c r="O206" s="119"/>
      <c r="P206" s="119"/>
    </row>
    <row r="207" spans="1:16" ht="22.5" x14ac:dyDescent="0.25">
      <c r="A207" s="119"/>
      <c r="B207" s="90" t="s">
        <v>23</v>
      </c>
      <c r="C207" s="56"/>
      <c r="D207" s="56"/>
      <c r="E207" s="56"/>
      <c r="F207" s="56"/>
      <c r="G207" s="56"/>
      <c r="H207" s="1">
        <v>0</v>
      </c>
      <c r="I207" s="1">
        <v>0</v>
      </c>
      <c r="J207" s="1">
        <v>0</v>
      </c>
      <c r="K207" s="1">
        <v>0</v>
      </c>
      <c r="L207" s="1">
        <v>0</v>
      </c>
      <c r="M207" s="1">
        <v>0</v>
      </c>
      <c r="N207" s="1">
        <v>0</v>
      </c>
      <c r="O207" s="119"/>
      <c r="P207" s="119"/>
    </row>
    <row r="208" spans="1:16" x14ac:dyDescent="0.25">
      <c r="A208" s="119"/>
      <c r="B208" s="90" t="s">
        <v>21</v>
      </c>
      <c r="C208" s="95"/>
      <c r="D208" s="95"/>
      <c r="E208" s="95"/>
      <c r="F208" s="95"/>
      <c r="G208" s="95"/>
      <c r="H208" s="1">
        <v>0</v>
      </c>
      <c r="I208" s="1">
        <v>0</v>
      </c>
      <c r="J208" s="1">
        <v>0</v>
      </c>
      <c r="K208" s="1">
        <v>0</v>
      </c>
      <c r="L208" s="1">
        <v>0</v>
      </c>
      <c r="M208" s="1">
        <v>0</v>
      </c>
      <c r="N208" s="1">
        <v>0</v>
      </c>
      <c r="O208" s="119"/>
      <c r="P208" s="119"/>
    </row>
    <row r="209" spans="1:16" ht="22.5" x14ac:dyDescent="0.25">
      <c r="A209" s="119"/>
      <c r="B209" s="90" t="s">
        <v>22</v>
      </c>
      <c r="C209" s="95"/>
      <c r="D209" s="95"/>
      <c r="E209" s="95"/>
      <c r="F209" s="95"/>
      <c r="G209" s="95"/>
      <c r="H209" s="1">
        <v>0</v>
      </c>
      <c r="I209" s="1">
        <v>0</v>
      </c>
      <c r="J209" s="1">
        <v>0</v>
      </c>
      <c r="K209" s="1">
        <v>0</v>
      </c>
      <c r="L209" s="1">
        <v>0</v>
      </c>
      <c r="M209" s="1">
        <v>0</v>
      </c>
      <c r="N209" s="1">
        <v>0</v>
      </c>
      <c r="O209" s="119"/>
      <c r="P209" s="119"/>
    </row>
    <row r="210" spans="1:16" x14ac:dyDescent="0.25">
      <c r="A210" s="120"/>
      <c r="B210" s="92" t="s">
        <v>130</v>
      </c>
      <c r="C210" s="7"/>
      <c r="D210" s="7"/>
      <c r="E210" s="7"/>
      <c r="F210" s="7"/>
      <c r="G210" s="7"/>
      <c r="H210" s="55">
        <f t="shared" ref="H210" si="115">I210+J210+K210+L210</f>
        <v>0</v>
      </c>
      <c r="I210" s="55">
        <v>0</v>
      </c>
      <c r="J210" s="55">
        <v>0</v>
      </c>
      <c r="K210" s="55">
        <v>0</v>
      </c>
      <c r="L210" s="55">
        <v>0</v>
      </c>
      <c r="M210" s="55">
        <v>0</v>
      </c>
      <c r="N210" s="55">
        <v>0</v>
      </c>
      <c r="O210" s="120"/>
      <c r="P210" s="120"/>
    </row>
    <row r="211" spans="1:16" ht="22.5" customHeight="1" x14ac:dyDescent="0.25">
      <c r="A211" s="118" t="s">
        <v>164</v>
      </c>
      <c r="B211" s="90" t="s">
        <v>35</v>
      </c>
      <c r="C211" s="95"/>
      <c r="D211" s="95"/>
      <c r="E211" s="95"/>
      <c r="F211" s="95"/>
      <c r="G211" s="95"/>
      <c r="H211" s="1">
        <f>I211+J211+K211+L211</f>
        <v>5056</v>
      </c>
      <c r="I211" s="1">
        <v>0</v>
      </c>
      <c r="J211" s="1">
        <f>3281+600</f>
        <v>3881</v>
      </c>
      <c r="K211" s="1">
        <v>1175</v>
      </c>
      <c r="L211" s="1">
        <v>0</v>
      </c>
      <c r="M211" s="1">
        <f>3281+1250</f>
        <v>4531</v>
      </c>
      <c r="N211" s="1">
        <f>3281+1250</f>
        <v>4531</v>
      </c>
      <c r="O211" s="118" t="s">
        <v>81</v>
      </c>
      <c r="P211" s="121" t="s">
        <v>124</v>
      </c>
    </row>
    <row r="212" spans="1:16" x14ac:dyDescent="0.25">
      <c r="A212" s="119"/>
      <c r="B212" s="90" t="s">
        <v>17</v>
      </c>
      <c r="C212" s="95"/>
      <c r="D212" s="95"/>
      <c r="E212" s="95"/>
      <c r="F212" s="95"/>
      <c r="G212" s="95"/>
      <c r="H212" s="1">
        <f>H213/H211</f>
        <v>77.708445411392404</v>
      </c>
      <c r="I212" s="1" t="s">
        <v>18</v>
      </c>
      <c r="J212" s="1" t="s">
        <v>18</v>
      </c>
      <c r="K212" s="1" t="s">
        <v>18</v>
      </c>
      <c r="L212" s="1" t="s">
        <v>18</v>
      </c>
      <c r="M212" s="1">
        <f>M213/M211</f>
        <v>69.635771352902225</v>
      </c>
      <c r="N212" s="1">
        <f>N213/N211</f>
        <v>105.93868903111895</v>
      </c>
      <c r="O212" s="119"/>
      <c r="P212" s="122"/>
    </row>
    <row r="213" spans="1:16" ht="22.5" x14ac:dyDescent="0.25">
      <c r="A213" s="119"/>
      <c r="B213" s="90" t="s">
        <v>54</v>
      </c>
      <c r="C213" s="95"/>
      <c r="D213" s="95"/>
      <c r="E213" s="95"/>
      <c r="F213" s="95"/>
      <c r="G213" s="95"/>
      <c r="H213" s="1">
        <f>I213+J213+K213+L213</f>
        <v>392893.9</v>
      </c>
      <c r="I213" s="1">
        <f>I214+I215+I217+I218+I219+I220</f>
        <v>0</v>
      </c>
      <c r="J213" s="1">
        <f t="shared" ref="J213:N213" si="116">J214+J215+J217+J218+J219+J220</f>
        <v>158750</v>
      </c>
      <c r="K213" s="1">
        <f t="shared" si="116"/>
        <v>23750</v>
      </c>
      <c r="L213" s="1">
        <f t="shared" si="116"/>
        <v>210393.90000000002</v>
      </c>
      <c r="M213" s="1">
        <f t="shared" si="116"/>
        <v>315519.68</v>
      </c>
      <c r="N213" s="1">
        <f t="shared" si="116"/>
        <v>480008.2</v>
      </c>
      <c r="O213" s="119"/>
      <c r="P213" s="122"/>
    </row>
    <row r="214" spans="1:16" x14ac:dyDescent="0.25">
      <c r="A214" s="119"/>
      <c r="B214" s="90" t="s">
        <v>20</v>
      </c>
      <c r="C214" s="56">
        <v>176</v>
      </c>
      <c r="D214" s="56" t="s">
        <v>59</v>
      </c>
      <c r="E214" s="56" t="s">
        <v>58</v>
      </c>
      <c r="F214" s="56" t="s">
        <v>51</v>
      </c>
      <c r="G214" s="56">
        <v>244</v>
      </c>
      <c r="H214" s="1">
        <f t="shared" ref="H214:H219" si="117">I214+J214+K214+L214</f>
        <v>360393.9</v>
      </c>
      <c r="I214" s="1">
        <v>0</v>
      </c>
      <c r="J214" s="1">
        <v>150000</v>
      </c>
      <c r="K214" s="1">
        <v>0</v>
      </c>
      <c r="L214" s="1">
        <f>360393.9-J214</f>
        <v>210393.90000000002</v>
      </c>
      <c r="M214" s="1">
        <v>292519.67999999999</v>
      </c>
      <c r="N214" s="1">
        <v>457008.2</v>
      </c>
      <c r="O214" s="119"/>
      <c r="P214" s="122"/>
    </row>
    <row r="215" spans="1:16" ht="22.5" x14ac:dyDescent="0.25">
      <c r="A215" s="119"/>
      <c r="B215" s="88" t="s">
        <v>23</v>
      </c>
      <c r="C215" s="56"/>
      <c r="D215" s="56"/>
      <c r="E215" s="56"/>
      <c r="F215" s="56"/>
      <c r="G215" s="56"/>
      <c r="H215" s="1">
        <f t="shared" si="117"/>
        <v>0</v>
      </c>
      <c r="I215" s="1">
        <v>0</v>
      </c>
      <c r="J215" s="1">
        <v>0</v>
      </c>
      <c r="K215" s="1">
        <v>0</v>
      </c>
      <c r="L215" s="1">
        <v>0</v>
      </c>
      <c r="M215" s="1">
        <v>0</v>
      </c>
      <c r="N215" s="1">
        <v>0</v>
      </c>
      <c r="O215" s="119"/>
      <c r="P215" s="122"/>
    </row>
    <row r="216" spans="1:16" x14ac:dyDescent="0.25">
      <c r="A216" s="119"/>
      <c r="B216" s="65" t="s">
        <v>21</v>
      </c>
      <c r="C216" s="66">
        <v>780</v>
      </c>
      <c r="D216" s="56" t="s">
        <v>59</v>
      </c>
      <c r="E216" s="56" t="s">
        <v>58</v>
      </c>
      <c r="F216" s="56"/>
      <c r="G216" s="56"/>
      <c r="H216" s="1">
        <f t="shared" ref="H216:N216" si="118">SUM(H217:H219)</f>
        <v>32500</v>
      </c>
      <c r="I216" s="1">
        <f t="shared" si="118"/>
        <v>0</v>
      </c>
      <c r="J216" s="1">
        <f t="shared" si="118"/>
        <v>8750</v>
      </c>
      <c r="K216" s="1">
        <f t="shared" si="118"/>
        <v>23750</v>
      </c>
      <c r="L216" s="1">
        <f t="shared" si="118"/>
        <v>0</v>
      </c>
      <c r="M216" s="1">
        <f t="shared" si="118"/>
        <v>23000</v>
      </c>
      <c r="N216" s="1">
        <f t="shared" si="118"/>
        <v>23000</v>
      </c>
      <c r="O216" s="119"/>
      <c r="P216" s="122"/>
    </row>
    <row r="217" spans="1:16" x14ac:dyDescent="0.25">
      <c r="A217" s="119"/>
      <c r="B217" s="134" t="s">
        <v>79</v>
      </c>
      <c r="C217" s="66">
        <v>780</v>
      </c>
      <c r="D217" s="56" t="s">
        <v>59</v>
      </c>
      <c r="E217" s="56" t="s">
        <v>58</v>
      </c>
      <c r="F217" s="56" t="s">
        <v>110</v>
      </c>
      <c r="G217" s="56">
        <v>244</v>
      </c>
      <c r="H217" s="1">
        <f t="shared" si="117"/>
        <v>10000</v>
      </c>
      <c r="I217" s="1">
        <v>0</v>
      </c>
      <c r="J217" s="1">
        <v>0</v>
      </c>
      <c r="K217" s="1">
        <v>10000</v>
      </c>
      <c r="L217" s="1">
        <v>0</v>
      </c>
      <c r="M217" s="1">
        <v>4000</v>
      </c>
      <c r="N217" s="1">
        <v>4000</v>
      </c>
      <c r="O217" s="119"/>
      <c r="P217" s="122"/>
    </row>
    <row r="218" spans="1:16" x14ac:dyDescent="0.25">
      <c r="A218" s="119"/>
      <c r="B218" s="134"/>
      <c r="C218" s="66">
        <v>780</v>
      </c>
      <c r="D218" s="56" t="s">
        <v>59</v>
      </c>
      <c r="E218" s="56" t="s">
        <v>58</v>
      </c>
      <c r="F218" s="56" t="s">
        <v>111</v>
      </c>
      <c r="G218" s="56">
        <v>244</v>
      </c>
      <c r="H218" s="1">
        <f t="shared" si="117"/>
        <v>7500</v>
      </c>
      <c r="I218" s="1">
        <v>0</v>
      </c>
      <c r="J218" s="1">
        <v>3750</v>
      </c>
      <c r="K218" s="1">
        <v>3750</v>
      </c>
      <c r="L218" s="1">
        <v>0</v>
      </c>
      <c r="M218" s="1">
        <v>4000</v>
      </c>
      <c r="N218" s="1">
        <v>4000</v>
      </c>
      <c r="O218" s="119"/>
      <c r="P218" s="122"/>
    </row>
    <row r="219" spans="1:16" x14ac:dyDescent="0.25">
      <c r="A219" s="119"/>
      <c r="B219" s="134"/>
      <c r="C219" s="66">
        <v>780</v>
      </c>
      <c r="D219" s="56" t="s">
        <v>59</v>
      </c>
      <c r="E219" s="56" t="s">
        <v>58</v>
      </c>
      <c r="F219" s="56" t="s">
        <v>112</v>
      </c>
      <c r="G219" s="56">
        <v>244</v>
      </c>
      <c r="H219" s="1">
        <f t="shared" si="117"/>
        <v>15000</v>
      </c>
      <c r="I219" s="1">
        <v>0</v>
      </c>
      <c r="J219" s="1">
        <v>5000</v>
      </c>
      <c r="K219" s="1">
        <v>10000</v>
      </c>
      <c r="L219" s="1">
        <v>0</v>
      </c>
      <c r="M219" s="1">
        <v>15000</v>
      </c>
      <c r="N219" s="1">
        <v>15000</v>
      </c>
      <c r="O219" s="119"/>
      <c r="P219" s="122"/>
    </row>
    <row r="220" spans="1:16" ht="22.5" x14ac:dyDescent="0.25">
      <c r="A220" s="119"/>
      <c r="B220" s="90" t="s">
        <v>22</v>
      </c>
      <c r="C220" s="95"/>
      <c r="D220" s="95"/>
      <c r="E220" s="95"/>
      <c r="F220" s="95"/>
      <c r="G220" s="95"/>
      <c r="H220" s="1">
        <v>0</v>
      </c>
      <c r="I220" s="1">
        <v>0</v>
      </c>
      <c r="J220" s="1">
        <v>0</v>
      </c>
      <c r="K220" s="1">
        <v>0</v>
      </c>
      <c r="L220" s="1">
        <v>0</v>
      </c>
      <c r="M220" s="1">
        <v>0</v>
      </c>
      <c r="N220" s="1">
        <v>0</v>
      </c>
      <c r="O220" s="119"/>
      <c r="P220" s="122"/>
    </row>
    <row r="221" spans="1:16" x14ac:dyDescent="0.25">
      <c r="A221" s="120"/>
      <c r="B221" s="92" t="s">
        <v>130</v>
      </c>
      <c r="C221" s="7"/>
      <c r="D221" s="7"/>
      <c r="E221" s="7"/>
      <c r="F221" s="7"/>
      <c r="G221" s="7"/>
      <c r="H221" s="55">
        <f t="shared" ref="H221" si="119">I221+J221+K221+L221</f>
        <v>0</v>
      </c>
      <c r="I221" s="55">
        <v>0</v>
      </c>
      <c r="J221" s="55">
        <v>0</v>
      </c>
      <c r="K221" s="55">
        <v>0</v>
      </c>
      <c r="L221" s="55">
        <v>0</v>
      </c>
      <c r="M221" s="55">
        <v>0</v>
      </c>
      <c r="N221" s="55">
        <v>0</v>
      </c>
      <c r="O221" s="120"/>
      <c r="P221" s="123"/>
    </row>
    <row r="222" spans="1:16" ht="22.5" customHeight="1" x14ac:dyDescent="0.25">
      <c r="A222" s="118" t="s">
        <v>165</v>
      </c>
      <c r="B222" s="90" t="s">
        <v>35</v>
      </c>
      <c r="C222" s="95"/>
      <c r="D222" s="95"/>
      <c r="E222" s="95"/>
      <c r="F222" s="95"/>
      <c r="G222" s="95"/>
      <c r="H222" s="1">
        <f t="shared" ref="H222:H229" si="120">I222+J222+K222+L222</f>
        <v>24</v>
      </c>
      <c r="I222" s="55">
        <v>6</v>
      </c>
      <c r="J222" s="55">
        <v>6</v>
      </c>
      <c r="K222" s="55">
        <v>6</v>
      </c>
      <c r="L222" s="55">
        <v>6</v>
      </c>
      <c r="M222" s="1">
        <v>24</v>
      </c>
      <c r="N222" s="1">
        <v>24</v>
      </c>
      <c r="O222" s="118" t="s">
        <v>81</v>
      </c>
      <c r="P222" s="121" t="s">
        <v>125</v>
      </c>
    </row>
    <row r="223" spans="1:16" x14ac:dyDescent="0.25">
      <c r="A223" s="119"/>
      <c r="B223" s="90" t="s">
        <v>17</v>
      </c>
      <c r="C223" s="95"/>
      <c r="D223" s="95"/>
      <c r="E223" s="95"/>
      <c r="F223" s="95"/>
      <c r="G223" s="95"/>
      <c r="H223" s="1">
        <f>H224/H222</f>
        <v>1875</v>
      </c>
      <c r="I223" s="1" t="s">
        <v>18</v>
      </c>
      <c r="J223" s="1" t="s">
        <v>18</v>
      </c>
      <c r="K223" s="1" t="s">
        <v>18</v>
      </c>
      <c r="L223" s="1" t="s">
        <v>18</v>
      </c>
      <c r="M223" s="1">
        <f>M224/M222</f>
        <v>1875</v>
      </c>
      <c r="N223" s="1">
        <f>N224/N222</f>
        <v>1875</v>
      </c>
      <c r="O223" s="119"/>
      <c r="P223" s="122"/>
    </row>
    <row r="224" spans="1:16" ht="22.5" x14ac:dyDescent="0.25">
      <c r="A224" s="119"/>
      <c r="B224" s="90" t="s">
        <v>54</v>
      </c>
      <c r="C224" s="95"/>
      <c r="D224" s="95"/>
      <c r="E224" s="95"/>
      <c r="F224" s="95"/>
      <c r="G224" s="95"/>
      <c r="H224" s="1">
        <f t="shared" si="120"/>
        <v>45000</v>
      </c>
      <c r="I224" s="55">
        <f>I225+I226+I227+I228</f>
        <v>11250</v>
      </c>
      <c r="J224" s="55">
        <f t="shared" ref="J224:N224" si="121">J225+J226+J227+J228</f>
        <v>11250</v>
      </c>
      <c r="K224" s="55">
        <f>K225+K226+K227+K228</f>
        <v>11250</v>
      </c>
      <c r="L224" s="55">
        <f t="shared" si="121"/>
        <v>11250</v>
      </c>
      <c r="M224" s="55">
        <f t="shared" si="121"/>
        <v>45000</v>
      </c>
      <c r="N224" s="55">
        <f t="shared" si="121"/>
        <v>45000</v>
      </c>
      <c r="O224" s="119"/>
      <c r="P224" s="122"/>
    </row>
    <row r="225" spans="1:16" x14ac:dyDescent="0.25">
      <c r="A225" s="119"/>
      <c r="B225" s="90" t="s">
        <v>20</v>
      </c>
      <c r="C225" s="56"/>
      <c r="D225" s="56"/>
      <c r="E225" s="56"/>
      <c r="F225" s="56"/>
      <c r="G225" s="56"/>
      <c r="H225" s="1">
        <f t="shared" si="120"/>
        <v>0</v>
      </c>
      <c r="I225" s="1">
        <v>0</v>
      </c>
      <c r="J225" s="1">
        <v>0</v>
      </c>
      <c r="K225" s="1">
        <v>0</v>
      </c>
      <c r="L225" s="1">
        <v>0</v>
      </c>
      <c r="M225" s="1">
        <v>0</v>
      </c>
      <c r="N225" s="1">
        <v>0</v>
      </c>
      <c r="O225" s="119"/>
      <c r="P225" s="122"/>
    </row>
    <row r="226" spans="1:16" ht="22.5" x14ac:dyDescent="0.25">
      <c r="A226" s="119"/>
      <c r="B226" s="90" t="s">
        <v>23</v>
      </c>
      <c r="C226" s="56"/>
      <c r="D226" s="56"/>
      <c r="E226" s="56"/>
      <c r="F226" s="56"/>
      <c r="G226" s="56"/>
      <c r="H226" s="1">
        <f t="shared" si="120"/>
        <v>0</v>
      </c>
      <c r="I226" s="1">
        <v>0</v>
      </c>
      <c r="J226" s="1">
        <v>0</v>
      </c>
      <c r="K226" s="1">
        <v>0</v>
      </c>
      <c r="L226" s="1">
        <v>0</v>
      </c>
      <c r="M226" s="1">
        <v>0</v>
      </c>
      <c r="N226" s="1">
        <v>0</v>
      </c>
      <c r="O226" s="119"/>
      <c r="P226" s="122"/>
    </row>
    <row r="227" spans="1:16" x14ac:dyDescent="0.25">
      <c r="A227" s="119"/>
      <c r="B227" s="90" t="s">
        <v>21</v>
      </c>
      <c r="C227" s="56">
        <v>780</v>
      </c>
      <c r="D227" s="56" t="s">
        <v>59</v>
      </c>
      <c r="E227" s="56" t="s">
        <v>58</v>
      </c>
      <c r="F227" s="56" t="s">
        <v>113</v>
      </c>
      <c r="G227" s="56">
        <v>244</v>
      </c>
      <c r="H227" s="1">
        <f>I227+J227+K227+L227</f>
        <v>45000</v>
      </c>
      <c r="I227" s="55">
        <v>11250</v>
      </c>
      <c r="J227" s="1">
        <v>11250</v>
      </c>
      <c r="K227" s="1">
        <v>11250</v>
      </c>
      <c r="L227" s="1">
        <v>11250</v>
      </c>
      <c r="M227" s="1">
        <v>45000</v>
      </c>
      <c r="N227" s="1">
        <v>45000</v>
      </c>
      <c r="O227" s="119"/>
      <c r="P227" s="122"/>
    </row>
    <row r="228" spans="1:16" ht="22.5" x14ac:dyDescent="0.25">
      <c r="A228" s="119"/>
      <c r="B228" s="90" t="s">
        <v>22</v>
      </c>
      <c r="C228" s="95"/>
      <c r="D228" s="95"/>
      <c r="E228" s="95"/>
      <c r="F228" s="95"/>
      <c r="G228" s="95"/>
      <c r="H228" s="1">
        <f t="shared" si="120"/>
        <v>0</v>
      </c>
      <c r="I228" s="1">
        <v>0</v>
      </c>
      <c r="J228" s="1">
        <v>0</v>
      </c>
      <c r="K228" s="1">
        <v>0</v>
      </c>
      <c r="L228" s="1">
        <v>0</v>
      </c>
      <c r="M228" s="1">
        <v>0</v>
      </c>
      <c r="N228" s="1">
        <v>0</v>
      </c>
      <c r="O228" s="119"/>
      <c r="P228" s="122"/>
    </row>
    <row r="229" spans="1:16" x14ac:dyDescent="0.25">
      <c r="A229" s="120"/>
      <c r="B229" s="92" t="s">
        <v>130</v>
      </c>
      <c r="C229" s="7"/>
      <c r="D229" s="7"/>
      <c r="E229" s="7"/>
      <c r="F229" s="7"/>
      <c r="G229" s="7"/>
      <c r="H229" s="55">
        <f t="shared" si="120"/>
        <v>0</v>
      </c>
      <c r="I229" s="55">
        <v>0</v>
      </c>
      <c r="J229" s="55">
        <v>0</v>
      </c>
      <c r="K229" s="55">
        <v>0</v>
      </c>
      <c r="L229" s="55">
        <v>0</v>
      </c>
      <c r="M229" s="55">
        <v>0</v>
      </c>
      <c r="N229" s="55">
        <v>0</v>
      </c>
      <c r="O229" s="120"/>
      <c r="P229" s="123"/>
    </row>
    <row r="230" spans="1:16" ht="15" customHeight="1" x14ac:dyDescent="0.25">
      <c r="A230" s="118" t="s">
        <v>166</v>
      </c>
      <c r="B230" s="90" t="s">
        <v>31</v>
      </c>
      <c r="C230" s="95"/>
      <c r="D230" s="95"/>
      <c r="E230" s="95"/>
      <c r="F230" s="95"/>
      <c r="G230" s="95"/>
      <c r="H230" s="1">
        <v>0</v>
      </c>
      <c r="I230" s="72">
        <v>0</v>
      </c>
      <c r="J230" s="72">
        <v>0</v>
      </c>
      <c r="K230" s="1">
        <v>0</v>
      </c>
      <c r="L230" s="1">
        <v>0</v>
      </c>
      <c r="M230" s="1">
        <v>0</v>
      </c>
      <c r="N230" s="1">
        <v>0</v>
      </c>
      <c r="O230" s="118" t="s">
        <v>37</v>
      </c>
      <c r="P230" s="118" t="s">
        <v>169</v>
      </c>
    </row>
    <row r="231" spans="1:16" x14ac:dyDescent="0.25">
      <c r="A231" s="119"/>
      <c r="B231" s="90" t="s">
        <v>17</v>
      </c>
      <c r="C231" s="95"/>
      <c r="D231" s="95"/>
      <c r="E231" s="95"/>
      <c r="F231" s="95"/>
      <c r="G231" s="95"/>
      <c r="H231" s="1" t="s">
        <v>18</v>
      </c>
      <c r="I231" s="1" t="s">
        <v>18</v>
      </c>
      <c r="J231" s="1" t="s">
        <v>18</v>
      </c>
      <c r="K231" s="1" t="s">
        <v>18</v>
      </c>
      <c r="L231" s="1" t="s">
        <v>18</v>
      </c>
      <c r="M231" s="1" t="s">
        <v>18</v>
      </c>
      <c r="N231" s="1" t="s">
        <v>18</v>
      </c>
      <c r="O231" s="119"/>
      <c r="P231" s="119"/>
    </row>
    <row r="232" spans="1:16" ht="22.5" x14ac:dyDescent="0.25">
      <c r="A232" s="119"/>
      <c r="B232" s="90" t="s">
        <v>54</v>
      </c>
      <c r="C232" s="95"/>
      <c r="D232" s="95"/>
      <c r="E232" s="95"/>
      <c r="F232" s="95"/>
      <c r="G232" s="95"/>
      <c r="H232" s="53">
        <f>I232+J232+K232+L232</f>
        <v>45337.599999999999</v>
      </c>
      <c r="I232" s="72">
        <f>I233+I234+I235+I236</f>
        <v>0</v>
      </c>
      <c r="J232" s="72">
        <f t="shared" ref="J232:N232" si="122">J233+J234+J235+J236</f>
        <v>0</v>
      </c>
      <c r="K232" s="72">
        <f t="shared" si="122"/>
        <v>0</v>
      </c>
      <c r="L232" s="55">
        <f>L233+L234+L235+L236</f>
        <v>45337.599999999999</v>
      </c>
      <c r="M232" s="55">
        <f t="shared" si="122"/>
        <v>41085.300000000003</v>
      </c>
      <c r="N232" s="55">
        <f t="shared" si="122"/>
        <v>41178</v>
      </c>
      <c r="O232" s="119"/>
      <c r="P232" s="119"/>
    </row>
    <row r="233" spans="1:16" x14ac:dyDescent="0.25">
      <c r="A233" s="119"/>
      <c r="B233" s="90" t="s">
        <v>20</v>
      </c>
      <c r="C233" s="56">
        <v>176</v>
      </c>
      <c r="D233" s="56" t="s">
        <v>59</v>
      </c>
      <c r="E233" s="56" t="s">
        <v>58</v>
      </c>
      <c r="F233" s="56" t="s">
        <v>51</v>
      </c>
      <c r="G233" s="54">
        <v>243</v>
      </c>
      <c r="H233" s="53">
        <f t="shared" ref="H233" si="123">I233+J233+K233+L233</f>
        <v>45337.599999999999</v>
      </c>
      <c r="I233" s="53">
        <v>0</v>
      </c>
      <c r="J233" s="53">
        <v>0</v>
      </c>
      <c r="K233" s="53">
        <v>0</v>
      </c>
      <c r="L233" s="53">
        <f>36137.6+9200</f>
        <v>45337.599999999999</v>
      </c>
      <c r="M233" s="53">
        <f>9000+32085.3</f>
        <v>41085.300000000003</v>
      </c>
      <c r="N233" s="55">
        <f>10211.6+30966.4</f>
        <v>41178</v>
      </c>
      <c r="O233" s="119"/>
      <c r="P233" s="119"/>
    </row>
    <row r="234" spans="1:16" ht="22.5" x14ac:dyDescent="0.25">
      <c r="A234" s="119"/>
      <c r="B234" s="90" t="s">
        <v>23</v>
      </c>
      <c r="C234" s="56"/>
      <c r="D234" s="56"/>
      <c r="E234" s="56"/>
      <c r="F234" s="56"/>
      <c r="G234" s="54"/>
      <c r="H234" s="53">
        <f t="shared" ref="H234:H237" si="124">I234+J234+K234+L234</f>
        <v>0</v>
      </c>
      <c r="I234" s="53">
        <f t="shared" ref="I234:I236" si="125">J234+K234+L234+M234</f>
        <v>0</v>
      </c>
      <c r="J234" s="53">
        <f t="shared" ref="J234:J236" si="126">K234+L234+M234+N234</f>
        <v>0</v>
      </c>
      <c r="K234" s="53">
        <f t="shared" ref="K234:K236" si="127">L234+M234+N234+O234</f>
        <v>0</v>
      </c>
      <c r="L234" s="53">
        <f t="shared" ref="L234:L236" si="128">M234+N234+O234+P234</f>
        <v>0</v>
      </c>
      <c r="M234" s="53">
        <f t="shared" ref="M234:M236" si="129">N234+O234+P234+Q234</f>
        <v>0</v>
      </c>
      <c r="N234" s="53">
        <f t="shared" ref="N234:N236" si="130">O234+P234+Q234+R234</f>
        <v>0</v>
      </c>
      <c r="O234" s="119"/>
      <c r="P234" s="119"/>
    </row>
    <row r="235" spans="1:16" x14ac:dyDescent="0.25">
      <c r="A235" s="119"/>
      <c r="B235" s="90" t="s">
        <v>21</v>
      </c>
      <c r="C235" s="95"/>
      <c r="D235" s="95"/>
      <c r="E235" s="95"/>
      <c r="F235" s="95"/>
      <c r="G235" s="95"/>
      <c r="H235" s="53">
        <f t="shared" si="124"/>
        <v>0</v>
      </c>
      <c r="I235" s="53">
        <f t="shared" si="125"/>
        <v>0</v>
      </c>
      <c r="J235" s="53">
        <f t="shared" si="126"/>
        <v>0</v>
      </c>
      <c r="K235" s="53">
        <f t="shared" si="127"/>
        <v>0</v>
      </c>
      <c r="L235" s="53">
        <f t="shared" si="128"/>
        <v>0</v>
      </c>
      <c r="M235" s="53">
        <f t="shared" si="129"/>
        <v>0</v>
      </c>
      <c r="N235" s="53">
        <f t="shared" si="130"/>
        <v>0</v>
      </c>
      <c r="O235" s="119"/>
      <c r="P235" s="119"/>
    </row>
    <row r="236" spans="1:16" ht="22.5" x14ac:dyDescent="0.25">
      <c r="A236" s="119"/>
      <c r="B236" s="90" t="s">
        <v>22</v>
      </c>
      <c r="C236" s="95"/>
      <c r="D236" s="95"/>
      <c r="E236" s="95"/>
      <c r="F236" s="95"/>
      <c r="G236" s="95"/>
      <c r="H236" s="53">
        <f t="shared" si="124"/>
        <v>0</v>
      </c>
      <c r="I236" s="53">
        <f t="shared" si="125"/>
        <v>0</v>
      </c>
      <c r="J236" s="53">
        <f t="shared" si="126"/>
        <v>0</v>
      </c>
      <c r="K236" s="53">
        <f t="shared" si="127"/>
        <v>0</v>
      </c>
      <c r="L236" s="53">
        <f t="shared" si="128"/>
        <v>0</v>
      </c>
      <c r="M236" s="53">
        <f t="shared" si="129"/>
        <v>0</v>
      </c>
      <c r="N236" s="53">
        <f t="shared" si="130"/>
        <v>0</v>
      </c>
      <c r="O236" s="119"/>
      <c r="P236" s="119"/>
    </row>
    <row r="237" spans="1:16" ht="15.75" thickBot="1" x14ac:dyDescent="0.3">
      <c r="A237" s="119"/>
      <c r="B237" s="99" t="s">
        <v>130</v>
      </c>
      <c r="C237" s="57"/>
      <c r="D237" s="57"/>
      <c r="E237" s="57"/>
      <c r="F237" s="57"/>
      <c r="G237" s="57"/>
      <c r="H237" s="58">
        <f t="shared" si="124"/>
        <v>0</v>
      </c>
      <c r="I237" s="58">
        <v>0</v>
      </c>
      <c r="J237" s="58">
        <v>0</v>
      </c>
      <c r="K237" s="58">
        <v>0</v>
      </c>
      <c r="L237" s="58">
        <v>0</v>
      </c>
      <c r="M237" s="58">
        <v>0</v>
      </c>
      <c r="N237" s="58">
        <v>0</v>
      </c>
      <c r="O237" s="119"/>
      <c r="P237" s="119"/>
    </row>
    <row r="238" spans="1:16" ht="33.75" customHeight="1" x14ac:dyDescent="0.25">
      <c r="A238" s="157" t="s">
        <v>167</v>
      </c>
      <c r="B238" s="91" t="s">
        <v>24</v>
      </c>
      <c r="C238" s="49"/>
      <c r="D238" s="49"/>
      <c r="E238" s="49"/>
      <c r="F238" s="49"/>
      <c r="G238" s="49"/>
      <c r="H238" s="50"/>
      <c r="I238" s="51"/>
      <c r="J238" s="50"/>
      <c r="K238" s="50"/>
      <c r="L238" s="51"/>
      <c r="M238" s="50"/>
      <c r="N238" s="52"/>
      <c r="O238" s="166" t="s">
        <v>37</v>
      </c>
      <c r="P238" s="163" t="s">
        <v>144</v>
      </c>
    </row>
    <row r="239" spans="1:16" x14ac:dyDescent="0.25">
      <c r="A239" s="158"/>
      <c r="B239" s="92" t="s">
        <v>17</v>
      </c>
      <c r="C239" s="7"/>
      <c r="D239" s="7"/>
      <c r="E239" s="7"/>
      <c r="F239" s="7"/>
      <c r="G239" s="7"/>
      <c r="H239" s="53"/>
      <c r="I239" s="53" t="s">
        <v>18</v>
      </c>
      <c r="J239" s="53" t="s">
        <v>18</v>
      </c>
      <c r="K239" s="53" t="s">
        <v>18</v>
      </c>
      <c r="L239" s="53" t="s">
        <v>18</v>
      </c>
      <c r="M239" s="53"/>
      <c r="N239" s="53"/>
      <c r="O239" s="167"/>
      <c r="P239" s="164"/>
    </row>
    <row r="240" spans="1:16" ht="22.5" x14ac:dyDescent="0.25">
      <c r="A240" s="158"/>
      <c r="B240" s="92" t="s">
        <v>19</v>
      </c>
      <c r="C240" s="7"/>
      <c r="D240" s="7"/>
      <c r="E240" s="7"/>
      <c r="F240" s="7"/>
      <c r="G240" s="7"/>
      <c r="H240" s="53">
        <f>H241+H242+H243+H244</f>
        <v>100000</v>
      </c>
      <c r="I240" s="53">
        <f t="shared" ref="I240:J240" si="131">I241+I242+I243+I244</f>
        <v>0</v>
      </c>
      <c r="J240" s="53">
        <f t="shared" si="131"/>
        <v>0</v>
      </c>
      <c r="K240" s="53">
        <f>K241+K242+K243+K244</f>
        <v>0</v>
      </c>
      <c r="L240" s="53">
        <f t="shared" ref="L240:N240" si="132">L241+L242+L243+L244</f>
        <v>100000</v>
      </c>
      <c r="M240" s="53">
        <f t="shared" si="132"/>
        <v>125000</v>
      </c>
      <c r="N240" s="53">
        <f t="shared" si="132"/>
        <v>80000</v>
      </c>
      <c r="O240" s="167"/>
      <c r="P240" s="164"/>
    </row>
    <row r="241" spans="1:16" x14ac:dyDescent="0.25">
      <c r="A241" s="158"/>
      <c r="B241" s="92" t="s">
        <v>20</v>
      </c>
      <c r="C241" s="56"/>
      <c r="D241" s="56"/>
      <c r="E241" s="56"/>
      <c r="F241" s="54"/>
      <c r="G241" s="56"/>
      <c r="H241" s="53">
        <f>I241+J241+K241+L241</f>
        <v>100000</v>
      </c>
      <c r="I241" s="53">
        <f>I249</f>
        <v>0</v>
      </c>
      <c r="J241" s="53">
        <f t="shared" ref="J241:N241" si="133">J249</f>
        <v>0</v>
      </c>
      <c r="K241" s="53">
        <f t="shared" si="133"/>
        <v>0</v>
      </c>
      <c r="L241" s="53">
        <f t="shared" si="133"/>
        <v>100000</v>
      </c>
      <c r="M241" s="53">
        <f t="shared" si="133"/>
        <v>125000</v>
      </c>
      <c r="N241" s="53">
        <f t="shared" si="133"/>
        <v>80000</v>
      </c>
      <c r="O241" s="167"/>
      <c r="P241" s="164"/>
    </row>
    <row r="242" spans="1:16" ht="22.5" x14ac:dyDescent="0.25">
      <c r="A242" s="158"/>
      <c r="B242" s="92" t="s">
        <v>23</v>
      </c>
      <c r="C242" s="54"/>
      <c r="D242" s="54"/>
      <c r="E242" s="54"/>
      <c r="F242" s="54"/>
      <c r="G242" s="54"/>
      <c r="H242" s="53">
        <f t="shared" ref="H242:H245" si="134">I242+J242+K242+L242</f>
        <v>0</v>
      </c>
      <c r="I242" s="53">
        <v>0</v>
      </c>
      <c r="J242" s="53">
        <v>0</v>
      </c>
      <c r="K242" s="53">
        <v>0</v>
      </c>
      <c r="L242" s="53">
        <v>0</v>
      </c>
      <c r="M242" s="53">
        <v>0</v>
      </c>
      <c r="N242" s="53">
        <v>0</v>
      </c>
      <c r="O242" s="167"/>
      <c r="P242" s="164"/>
    </row>
    <row r="243" spans="1:16" x14ac:dyDescent="0.25">
      <c r="A243" s="158"/>
      <c r="B243" s="92" t="s">
        <v>21</v>
      </c>
      <c r="C243" s="7"/>
      <c r="D243" s="7"/>
      <c r="E243" s="7"/>
      <c r="F243" s="7"/>
      <c r="G243" s="7"/>
      <c r="H243" s="53">
        <f t="shared" si="134"/>
        <v>0</v>
      </c>
      <c r="I243" s="55">
        <v>0</v>
      </c>
      <c r="J243" s="55">
        <v>0</v>
      </c>
      <c r="K243" s="55">
        <v>0</v>
      </c>
      <c r="L243" s="55">
        <v>0</v>
      </c>
      <c r="M243" s="55">
        <v>0</v>
      </c>
      <c r="N243" s="55">
        <v>0</v>
      </c>
      <c r="O243" s="167"/>
      <c r="P243" s="164"/>
    </row>
    <row r="244" spans="1:16" ht="22.5" x14ac:dyDescent="0.25">
      <c r="A244" s="158"/>
      <c r="B244" s="92" t="s">
        <v>22</v>
      </c>
      <c r="C244" s="7"/>
      <c r="D244" s="7"/>
      <c r="E244" s="7"/>
      <c r="F244" s="7"/>
      <c r="G244" s="7"/>
      <c r="H244" s="53">
        <f t="shared" si="134"/>
        <v>0</v>
      </c>
      <c r="I244" s="55">
        <v>0</v>
      </c>
      <c r="J244" s="55">
        <v>0</v>
      </c>
      <c r="K244" s="55">
        <v>0</v>
      </c>
      <c r="L244" s="55">
        <v>0</v>
      </c>
      <c r="M244" s="55">
        <v>0</v>
      </c>
      <c r="N244" s="55">
        <v>0</v>
      </c>
      <c r="O244" s="167"/>
      <c r="P244" s="164"/>
    </row>
    <row r="245" spans="1:16" x14ac:dyDescent="0.25">
      <c r="A245" s="159"/>
      <c r="B245" s="92" t="s">
        <v>130</v>
      </c>
      <c r="C245" s="7"/>
      <c r="D245" s="7"/>
      <c r="E245" s="7"/>
      <c r="F245" s="7"/>
      <c r="G245" s="7"/>
      <c r="H245" s="53">
        <f t="shared" si="134"/>
        <v>0</v>
      </c>
      <c r="I245" s="55">
        <v>0</v>
      </c>
      <c r="J245" s="55">
        <v>0</v>
      </c>
      <c r="K245" s="55">
        <v>0</v>
      </c>
      <c r="L245" s="55">
        <v>0</v>
      </c>
      <c r="M245" s="55">
        <v>0</v>
      </c>
      <c r="N245" s="55">
        <v>0</v>
      </c>
      <c r="O245" s="168"/>
      <c r="P245" s="165"/>
    </row>
    <row r="246" spans="1:16" ht="22.5" customHeight="1" x14ac:dyDescent="0.25">
      <c r="A246" s="126" t="s">
        <v>168</v>
      </c>
      <c r="B246" s="110" t="s">
        <v>101</v>
      </c>
      <c r="C246" s="7"/>
      <c r="D246" s="7"/>
      <c r="E246" s="7"/>
      <c r="F246" s="7"/>
      <c r="G246" s="7"/>
      <c r="H246" s="1">
        <v>4</v>
      </c>
      <c r="I246" s="1">
        <v>0</v>
      </c>
      <c r="J246" s="1">
        <v>0</v>
      </c>
      <c r="K246" s="1">
        <v>0</v>
      </c>
      <c r="L246" s="1">
        <v>4</v>
      </c>
      <c r="M246" s="1">
        <v>4</v>
      </c>
      <c r="N246" s="8">
        <v>3</v>
      </c>
      <c r="O246" s="118" t="s">
        <v>37</v>
      </c>
      <c r="P246" s="209" t="s">
        <v>145</v>
      </c>
    </row>
    <row r="247" spans="1:16" ht="20.45" customHeight="1" x14ac:dyDescent="0.25">
      <c r="A247" s="126"/>
      <c r="B247" s="110" t="s">
        <v>17</v>
      </c>
      <c r="C247" s="7"/>
      <c r="D247" s="7"/>
      <c r="E247" s="7"/>
      <c r="F247" s="7"/>
      <c r="G247" s="7"/>
      <c r="H247" s="1">
        <f>H248/H246</f>
        <v>25000</v>
      </c>
      <c r="I247" s="1" t="s">
        <v>18</v>
      </c>
      <c r="J247" s="1" t="s">
        <v>18</v>
      </c>
      <c r="K247" s="1" t="s">
        <v>18</v>
      </c>
      <c r="L247" s="1" t="s">
        <v>18</v>
      </c>
      <c r="M247" s="1">
        <f>M248/M246</f>
        <v>31250</v>
      </c>
      <c r="N247" s="1">
        <f>N248/N246</f>
        <v>26666.666666666668</v>
      </c>
      <c r="O247" s="119"/>
      <c r="P247" s="210"/>
    </row>
    <row r="248" spans="1:16" ht="22.5" x14ac:dyDescent="0.25">
      <c r="A248" s="126"/>
      <c r="B248" s="110" t="s">
        <v>54</v>
      </c>
      <c r="C248" s="7"/>
      <c r="D248" s="7"/>
      <c r="E248" s="7"/>
      <c r="F248" s="7"/>
      <c r="G248" s="7"/>
      <c r="H248" s="1">
        <f>I248+J248+K248+L248</f>
        <v>100000</v>
      </c>
      <c r="I248" s="1">
        <v>0</v>
      </c>
      <c r="J248" s="1">
        <v>0</v>
      </c>
      <c r="K248" s="1">
        <v>0</v>
      </c>
      <c r="L248" s="1">
        <f>L249</f>
        <v>100000</v>
      </c>
      <c r="M248" s="1">
        <f t="shared" ref="M248:N248" si="135">M249</f>
        <v>125000</v>
      </c>
      <c r="N248" s="1">
        <f t="shared" si="135"/>
        <v>80000</v>
      </c>
      <c r="O248" s="119"/>
      <c r="P248" s="210"/>
    </row>
    <row r="249" spans="1:16" x14ac:dyDescent="0.25">
      <c r="A249" s="126"/>
      <c r="B249" s="109" t="s">
        <v>20</v>
      </c>
      <c r="C249" s="56">
        <v>176</v>
      </c>
      <c r="D249" s="56" t="s">
        <v>59</v>
      </c>
      <c r="E249" s="56" t="s">
        <v>58</v>
      </c>
      <c r="F249" s="54" t="s">
        <v>92</v>
      </c>
      <c r="G249" s="56">
        <v>243</v>
      </c>
      <c r="H249" s="1">
        <f>I249+J249+K249+L249</f>
        <v>100000</v>
      </c>
      <c r="I249" s="55">
        <v>0</v>
      </c>
      <c r="J249" s="55">
        <v>0</v>
      </c>
      <c r="K249" s="55">
        <v>0</v>
      </c>
      <c r="L249" s="1">
        <v>100000</v>
      </c>
      <c r="M249" s="1">
        <v>125000</v>
      </c>
      <c r="N249" s="1">
        <v>80000</v>
      </c>
      <c r="O249" s="119"/>
      <c r="P249" s="210"/>
    </row>
    <row r="250" spans="1:16" ht="22.5" x14ac:dyDescent="0.25">
      <c r="A250" s="126"/>
      <c r="B250" s="110" t="s">
        <v>23</v>
      </c>
      <c r="C250" s="56"/>
      <c r="D250" s="56"/>
      <c r="E250" s="56"/>
      <c r="F250" s="56"/>
      <c r="G250" s="56"/>
      <c r="H250" s="1">
        <v>0</v>
      </c>
      <c r="I250" s="1">
        <v>0</v>
      </c>
      <c r="J250" s="1">
        <v>0</v>
      </c>
      <c r="K250" s="1">
        <v>0</v>
      </c>
      <c r="L250" s="1">
        <v>0</v>
      </c>
      <c r="M250" s="1">
        <v>0</v>
      </c>
      <c r="N250" s="1">
        <v>0</v>
      </c>
      <c r="O250" s="119"/>
      <c r="P250" s="210"/>
    </row>
    <row r="251" spans="1:16" x14ac:dyDescent="0.25">
      <c r="A251" s="126"/>
      <c r="B251" s="110" t="s">
        <v>21</v>
      </c>
      <c r="C251" s="7"/>
      <c r="D251" s="7"/>
      <c r="E251" s="7"/>
      <c r="F251" s="7"/>
      <c r="G251" s="7"/>
      <c r="H251" s="55">
        <v>0</v>
      </c>
      <c r="I251" s="55">
        <v>0</v>
      </c>
      <c r="J251" s="55">
        <v>0</v>
      </c>
      <c r="K251" s="55">
        <v>0</v>
      </c>
      <c r="L251" s="55">
        <v>0</v>
      </c>
      <c r="M251" s="55">
        <v>0</v>
      </c>
      <c r="N251" s="55">
        <v>0</v>
      </c>
      <c r="O251" s="119"/>
      <c r="P251" s="210"/>
    </row>
    <row r="252" spans="1:16" ht="22.5" x14ac:dyDescent="0.25">
      <c r="A252" s="126"/>
      <c r="B252" s="109" t="s">
        <v>22</v>
      </c>
      <c r="C252" s="57"/>
      <c r="D252" s="57"/>
      <c r="E252" s="57"/>
      <c r="F252" s="57"/>
      <c r="G252" s="57"/>
      <c r="H252" s="58">
        <v>0</v>
      </c>
      <c r="I252" s="58">
        <v>0</v>
      </c>
      <c r="J252" s="58">
        <v>0</v>
      </c>
      <c r="K252" s="58">
        <v>0</v>
      </c>
      <c r="L252" s="58">
        <v>0</v>
      </c>
      <c r="M252" s="58">
        <v>0</v>
      </c>
      <c r="N252" s="58">
        <v>0</v>
      </c>
      <c r="O252" s="119"/>
      <c r="P252" s="210"/>
    </row>
    <row r="253" spans="1:16" ht="15.75" thickBot="1" x14ac:dyDescent="0.3">
      <c r="A253" s="126"/>
      <c r="B253" s="92" t="s">
        <v>130</v>
      </c>
      <c r="C253" s="7"/>
      <c r="D253" s="7"/>
      <c r="E253" s="7"/>
      <c r="F253" s="7"/>
      <c r="G253" s="7"/>
      <c r="H253" s="55">
        <f t="shared" ref="H253" si="136">I253+J253+K253+L253</f>
        <v>0</v>
      </c>
      <c r="I253" s="55">
        <v>0</v>
      </c>
      <c r="J253" s="55">
        <v>0</v>
      </c>
      <c r="K253" s="55">
        <v>0</v>
      </c>
      <c r="L253" s="55">
        <v>0</v>
      </c>
      <c r="M253" s="55">
        <v>0</v>
      </c>
      <c r="N253" s="55">
        <v>0</v>
      </c>
      <c r="O253" s="120"/>
      <c r="P253" s="135"/>
    </row>
    <row r="254" spans="1:16" ht="21" customHeight="1" x14ac:dyDescent="0.25">
      <c r="A254" s="191" t="s">
        <v>69</v>
      </c>
      <c r="B254" s="81" t="s">
        <v>30</v>
      </c>
      <c r="C254" s="100"/>
      <c r="D254" s="100"/>
      <c r="E254" s="100"/>
      <c r="F254" s="100"/>
      <c r="G254" s="100"/>
      <c r="H254" s="83">
        <f>H255+H256+H257+H258</f>
        <v>1153078.5</v>
      </c>
      <c r="I254" s="83">
        <f>I255+I256+I257+I258</f>
        <v>16596.599999999999</v>
      </c>
      <c r="J254" s="83">
        <f>J255+J256+J257+J258</f>
        <v>247510</v>
      </c>
      <c r="K254" s="83">
        <f t="shared" ref="K254:N254" si="137">K255+K256+K257+K258</f>
        <v>243576.88</v>
      </c>
      <c r="L254" s="83">
        <f t="shared" si="137"/>
        <v>645395.02</v>
      </c>
      <c r="M254" s="83">
        <f t="shared" si="137"/>
        <v>791515.6</v>
      </c>
      <c r="N254" s="83">
        <f t="shared" si="137"/>
        <v>1395623.5</v>
      </c>
      <c r="O254" s="170"/>
      <c r="P254" s="206"/>
    </row>
    <row r="255" spans="1:16" x14ac:dyDescent="0.25">
      <c r="A255" s="192"/>
      <c r="B255" s="93" t="s">
        <v>41</v>
      </c>
      <c r="C255" s="94"/>
      <c r="D255" s="94"/>
      <c r="E255" s="94"/>
      <c r="F255" s="94"/>
      <c r="G255" s="94"/>
      <c r="H255" s="59">
        <f>I255+J255+K255+L255</f>
        <v>856156.5</v>
      </c>
      <c r="I255" s="59">
        <f>I104+I241</f>
        <v>2946.6</v>
      </c>
      <c r="J255" s="59">
        <f t="shared" ref="J255:N255" si="138">J104+J241</f>
        <v>150000</v>
      </c>
      <c r="K255" s="59">
        <f t="shared" si="138"/>
        <v>87666.87999999999</v>
      </c>
      <c r="L255" s="59">
        <f t="shared" si="138"/>
        <v>615543.02</v>
      </c>
      <c r="M255" s="59">
        <f t="shared" si="138"/>
        <v>612863.6</v>
      </c>
      <c r="N255" s="59">
        <f t="shared" si="138"/>
        <v>1221173.5</v>
      </c>
      <c r="O255" s="171"/>
      <c r="P255" s="207"/>
    </row>
    <row r="256" spans="1:16" ht="19.899999999999999" customHeight="1" x14ac:dyDescent="0.25">
      <c r="A256" s="192"/>
      <c r="B256" s="93" t="s">
        <v>60</v>
      </c>
      <c r="C256" s="94"/>
      <c r="D256" s="94"/>
      <c r="E256" s="94"/>
      <c r="F256" s="94"/>
      <c r="G256" s="94"/>
      <c r="H256" s="59">
        <f t="shared" ref="H256:H258" si="139">I256+J256+K256+L256</f>
        <v>0</v>
      </c>
      <c r="I256" s="59">
        <f t="shared" ref="I256:N258" si="140">I105</f>
        <v>0</v>
      </c>
      <c r="J256" s="59">
        <f t="shared" si="140"/>
        <v>0</v>
      </c>
      <c r="K256" s="59">
        <f t="shared" si="140"/>
        <v>0</v>
      </c>
      <c r="L256" s="59">
        <f t="shared" si="140"/>
        <v>0</v>
      </c>
      <c r="M256" s="59">
        <f t="shared" si="140"/>
        <v>0</v>
      </c>
      <c r="N256" s="59">
        <f t="shared" si="140"/>
        <v>0</v>
      </c>
      <c r="O256" s="171"/>
      <c r="P256" s="207"/>
    </row>
    <row r="257" spans="1:16" x14ac:dyDescent="0.25">
      <c r="A257" s="192"/>
      <c r="B257" s="93" t="s">
        <v>21</v>
      </c>
      <c r="C257" s="94"/>
      <c r="D257" s="94"/>
      <c r="E257" s="94"/>
      <c r="F257" s="94"/>
      <c r="G257" s="94"/>
      <c r="H257" s="59">
        <f t="shared" si="139"/>
        <v>286720</v>
      </c>
      <c r="I257" s="59">
        <f t="shared" si="140"/>
        <v>13650</v>
      </c>
      <c r="J257" s="59">
        <f t="shared" si="140"/>
        <v>97510</v>
      </c>
      <c r="K257" s="59">
        <f t="shared" si="140"/>
        <v>155910</v>
      </c>
      <c r="L257" s="59">
        <f t="shared" si="140"/>
        <v>19650</v>
      </c>
      <c r="M257" s="59">
        <f t="shared" si="140"/>
        <v>170000</v>
      </c>
      <c r="N257" s="59">
        <f t="shared" si="140"/>
        <v>170000</v>
      </c>
      <c r="O257" s="171"/>
      <c r="P257" s="207"/>
    </row>
    <row r="258" spans="1:16" ht="21" x14ac:dyDescent="0.25">
      <c r="A258" s="192"/>
      <c r="B258" s="93" t="s">
        <v>22</v>
      </c>
      <c r="C258" s="94"/>
      <c r="D258" s="94"/>
      <c r="E258" s="94"/>
      <c r="F258" s="94"/>
      <c r="G258" s="94"/>
      <c r="H258" s="59">
        <f t="shared" si="139"/>
        <v>10202</v>
      </c>
      <c r="I258" s="59">
        <f t="shared" si="140"/>
        <v>0</v>
      </c>
      <c r="J258" s="59">
        <f t="shared" si="140"/>
        <v>0</v>
      </c>
      <c r="K258" s="59">
        <f t="shared" si="140"/>
        <v>0</v>
      </c>
      <c r="L258" s="59">
        <f t="shared" si="140"/>
        <v>10202</v>
      </c>
      <c r="M258" s="59">
        <f t="shared" si="140"/>
        <v>8652</v>
      </c>
      <c r="N258" s="59">
        <f t="shared" si="140"/>
        <v>4450</v>
      </c>
      <c r="O258" s="171"/>
      <c r="P258" s="207"/>
    </row>
    <row r="259" spans="1:16" ht="21.75" thickBot="1" x14ac:dyDescent="0.3">
      <c r="A259" s="193"/>
      <c r="B259" s="85" t="s">
        <v>130</v>
      </c>
      <c r="C259" s="101"/>
      <c r="D259" s="101"/>
      <c r="E259" s="101"/>
      <c r="F259" s="101"/>
      <c r="G259" s="101"/>
      <c r="H259" s="86">
        <f t="shared" ref="H259" si="141">I259+J259+K259+L259</f>
        <v>0</v>
      </c>
      <c r="I259" s="86">
        <v>0</v>
      </c>
      <c r="J259" s="86">
        <v>0</v>
      </c>
      <c r="K259" s="86">
        <v>0</v>
      </c>
      <c r="L259" s="86">
        <v>0</v>
      </c>
      <c r="M259" s="86">
        <v>0</v>
      </c>
      <c r="N259" s="86">
        <v>0</v>
      </c>
      <c r="O259" s="172"/>
      <c r="P259" s="208"/>
    </row>
    <row r="260" spans="1:16" ht="13.9" customHeight="1" x14ac:dyDescent="0.25">
      <c r="A260" s="135" t="s">
        <v>65</v>
      </c>
      <c r="B260" s="136"/>
      <c r="C260" s="136"/>
      <c r="D260" s="136"/>
      <c r="E260" s="136"/>
      <c r="F260" s="136"/>
      <c r="G260" s="136"/>
      <c r="H260" s="136"/>
      <c r="I260" s="136"/>
      <c r="J260" s="136"/>
      <c r="K260" s="136"/>
      <c r="L260" s="136"/>
      <c r="M260" s="136"/>
      <c r="N260" s="136"/>
      <c r="O260" s="136"/>
      <c r="P260" s="137"/>
    </row>
    <row r="261" spans="1:16" ht="22.5" customHeight="1" x14ac:dyDescent="0.25">
      <c r="A261" s="118" t="s">
        <v>39</v>
      </c>
      <c r="B261" s="90" t="s">
        <v>40</v>
      </c>
      <c r="C261" s="95"/>
      <c r="D261" s="95"/>
      <c r="E261" s="95"/>
      <c r="F261" s="95"/>
      <c r="G261" s="95"/>
      <c r="H261" s="56">
        <v>530</v>
      </c>
      <c r="I261" s="56">
        <v>132</v>
      </c>
      <c r="J261" s="56">
        <v>132</v>
      </c>
      <c r="K261" s="56">
        <v>133</v>
      </c>
      <c r="L261" s="56">
        <v>133</v>
      </c>
      <c r="M261" s="56">
        <v>530</v>
      </c>
      <c r="N261" s="56">
        <v>530</v>
      </c>
      <c r="O261" s="118" t="s">
        <v>84</v>
      </c>
      <c r="P261" s="118" t="s">
        <v>126</v>
      </c>
    </row>
    <row r="262" spans="1:16" ht="21" customHeight="1" x14ac:dyDescent="0.25">
      <c r="A262" s="119"/>
      <c r="B262" s="90" t="s">
        <v>17</v>
      </c>
      <c r="C262" s="95"/>
      <c r="D262" s="95"/>
      <c r="E262" s="95"/>
      <c r="F262" s="95"/>
      <c r="G262" s="95"/>
      <c r="H262" s="53">
        <f t="shared" ref="H262:H271" si="142">I262+J262+K262+L262</f>
        <v>0</v>
      </c>
      <c r="I262" s="53">
        <f t="shared" ref="I262:I271" si="143">J262+K262+L262+M262</f>
        <v>0</v>
      </c>
      <c r="J262" s="53">
        <f t="shared" ref="J262:J271" si="144">K262+L262+M262+N262</f>
        <v>0</v>
      </c>
      <c r="K262" s="53">
        <f t="shared" ref="K262:K271" si="145">L262+M262+N262+O262</f>
        <v>0</v>
      </c>
      <c r="L262" s="53">
        <f t="shared" ref="L262:L271" si="146">M262+N262+O262+P262</f>
        <v>0</v>
      </c>
      <c r="M262" s="53">
        <f t="shared" ref="M262:M271" si="147">N262+O262+P262+Q262</f>
        <v>0</v>
      </c>
      <c r="N262" s="53">
        <f t="shared" ref="N262:N271" si="148">O262+P262+Q262+R262</f>
        <v>0</v>
      </c>
      <c r="O262" s="119"/>
      <c r="P262" s="119"/>
    </row>
    <row r="263" spans="1:16" ht="31.15" customHeight="1" x14ac:dyDescent="0.25">
      <c r="A263" s="119"/>
      <c r="B263" s="90" t="s">
        <v>54</v>
      </c>
      <c r="C263" s="95"/>
      <c r="D263" s="95"/>
      <c r="E263" s="95"/>
      <c r="F263" s="95"/>
      <c r="G263" s="95"/>
      <c r="H263" s="53">
        <f t="shared" si="142"/>
        <v>0</v>
      </c>
      <c r="I263" s="53">
        <f t="shared" si="143"/>
        <v>0</v>
      </c>
      <c r="J263" s="53">
        <f t="shared" si="144"/>
        <v>0</v>
      </c>
      <c r="K263" s="53">
        <f t="shared" si="145"/>
        <v>0</v>
      </c>
      <c r="L263" s="53">
        <f t="shared" si="146"/>
        <v>0</v>
      </c>
      <c r="M263" s="53">
        <f t="shared" si="147"/>
        <v>0</v>
      </c>
      <c r="N263" s="53">
        <f t="shared" si="148"/>
        <v>0</v>
      </c>
      <c r="O263" s="119"/>
      <c r="P263" s="119"/>
    </row>
    <row r="264" spans="1:16" ht="21" customHeight="1" x14ac:dyDescent="0.25">
      <c r="A264" s="119"/>
      <c r="B264" s="90" t="s">
        <v>20</v>
      </c>
      <c r="C264" s="95"/>
      <c r="D264" s="95"/>
      <c r="E264" s="95"/>
      <c r="F264" s="95"/>
      <c r="G264" s="95"/>
      <c r="H264" s="53">
        <f t="shared" si="142"/>
        <v>0</v>
      </c>
      <c r="I264" s="53">
        <f t="shared" si="143"/>
        <v>0</v>
      </c>
      <c r="J264" s="53">
        <f t="shared" si="144"/>
        <v>0</v>
      </c>
      <c r="K264" s="53">
        <f t="shared" si="145"/>
        <v>0</v>
      </c>
      <c r="L264" s="53">
        <f t="shared" si="146"/>
        <v>0</v>
      </c>
      <c r="M264" s="53">
        <f t="shared" si="147"/>
        <v>0</v>
      </c>
      <c r="N264" s="53">
        <f t="shared" si="148"/>
        <v>0</v>
      </c>
      <c r="O264" s="119"/>
      <c r="P264" s="119"/>
    </row>
    <row r="265" spans="1:16" ht="22.5" x14ac:dyDescent="0.25">
      <c r="A265" s="119"/>
      <c r="B265" s="90" t="s">
        <v>23</v>
      </c>
      <c r="C265" s="95"/>
      <c r="D265" s="95"/>
      <c r="E265" s="95"/>
      <c r="F265" s="95"/>
      <c r="G265" s="95"/>
      <c r="H265" s="53">
        <f t="shared" si="142"/>
        <v>0</v>
      </c>
      <c r="I265" s="53">
        <f t="shared" si="143"/>
        <v>0</v>
      </c>
      <c r="J265" s="53">
        <f t="shared" si="144"/>
        <v>0</v>
      </c>
      <c r="K265" s="53">
        <f t="shared" si="145"/>
        <v>0</v>
      </c>
      <c r="L265" s="53">
        <f t="shared" si="146"/>
        <v>0</v>
      </c>
      <c r="M265" s="53">
        <f t="shared" si="147"/>
        <v>0</v>
      </c>
      <c r="N265" s="53">
        <f t="shared" si="148"/>
        <v>0</v>
      </c>
      <c r="O265" s="119"/>
      <c r="P265" s="119"/>
    </row>
    <row r="266" spans="1:16" ht="21" customHeight="1" x14ac:dyDescent="0.25">
      <c r="A266" s="119"/>
      <c r="B266" s="90" t="s">
        <v>21</v>
      </c>
      <c r="C266" s="95"/>
      <c r="D266" s="95"/>
      <c r="E266" s="95"/>
      <c r="F266" s="95"/>
      <c r="G266" s="95"/>
      <c r="H266" s="53">
        <f t="shared" si="142"/>
        <v>0</v>
      </c>
      <c r="I266" s="53">
        <f t="shared" si="143"/>
        <v>0</v>
      </c>
      <c r="J266" s="53">
        <f t="shared" si="144"/>
        <v>0</v>
      </c>
      <c r="K266" s="53">
        <f t="shared" si="145"/>
        <v>0</v>
      </c>
      <c r="L266" s="53">
        <f t="shared" si="146"/>
        <v>0</v>
      </c>
      <c r="M266" s="53">
        <f t="shared" si="147"/>
        <v>0</v>
      </c>
      <c r="N266" s="53">
        <f t="shared" si="148"/>
        <v>0</v>
      </c>
      <c r="O266" s="119"/>
      <c r="P266" s="119"/>
    </row>
    <row r="267" spans="1:16" ht="31.15" customHeight="1" x14ac:dyDescent="0.25">
      <c r="A267" s="119"/>
      <c r="B267" s="90" t="s">
        <v>22</v>
      </c>
      <c r="C267" s="95"/>
      <c r="D267" s="95"/>
      <c r="E267" s="95"/>
      <c r="F267" s="95"/>
      <c r="G267" s="95"/>
      <c r="H267" s="53">
        <f t="shared" si="142"/>
        <v>0</v>
      </c>
      <c r="I267" s="53">
        <f t="shared" si="143"/>
        <v>0</v>
      </c>
      <c r="J267" s="53">
        <f t="shared" si="144"/>
        <v>0</v>
      </c>
      <c r="K267" s="53">
        <f t="shared" si="145"/>
        <v>0</v>
      </c>
      <c r="L267" s="53">
        <f t="shared" si="146"/>
        <v>0</v>
      </c>
      <c r="M267" s="53">
        <f t="shared" si="147"/>
        <v>0</v>
      </c>
      <c r="N267" s="53">
        <f t="shared" si="148"/>
        <v>0</v>
      </c>
      <c r="O267" s="119"/>
      <c r="P267" s="119"/>
    </row>
    <row r="268" spans="1:16" x14ac:dyDescent="0.25">
      <c r="A268" s="120"/>
      <c r="B268" s="92" t="s">
        <v>130</v>
      </c>
      <c r="C268" s="7"/>
      <c r="D268" s="7"/>
      <c r="E268" s="7"/>
      <c r="F268" s="7"/>
      <c r="G268" s="7"/>
      <c r="H268" s="53">
        <f t="shared" si="142"/>
        <v>0</v>
      </c>
      <c r="I268" s="55">
        <v>0</v>
      </c>
      <c r="J268" s="55">
        <v>0</v>
      </c>
      <c r="K268" s="55">
        <v>0</v>
      </c>
      <c r="L268" s="55">
        <v>0</v>
      </c>
      <c r="M268" s="55">
        <v>0</v>
      </c>
      <c r="N268" s="55">
        <v>0</v>
      </c>
      <c r="O268" s="120"/>
      <c r="P268" s="120"/>
    </row>
    <row r="269" spans="1:16" ht="21" customHeight="1" x14ac:dyDescent="0.25">
      <c r="A269" s="118" t="s">
        <v>68</v>
      </c>
      <c r="B269" s="90" t="s">
        <v>30</v>
      </c>
      <c r="C269" s="95"/>
      <c r="D269" s="95"/>
      <c r="E269" s="95"/>
      <c r="F269" s="95"/>
      <c r="G269" s="95"/>
      <c r="H269" s="53">
        <f t="shared" si="142"/>
        <v>0</v>
      </c>
      <c r="I269" s="53">
        <f t="shared" si="143"/>
        <v>0</v>
      </c>
      <c r="J269" s="53">
        <f t="shared" si="144"/>
        <v>0</v>
      </c>
      <c r="K269" s="53">
        <f t="shared" si="145"/>
        <v>0</v>
      </c>
      <c r="L269" s="53">
        <f t="shared" si="146"/>
        <v>0</v>
      </c>
      <c r="M269" s="53">
        <f t="shared" si="147"/>
        <v>0</v>
      </c>
      <c r="N269" s="53">
        <f t="shared" si="148"/>
        <v>0</v>
      </c>
      <c r="O269" s="196"/>
      <c r="P269" s="196"/>
    </row>
    <row r="270" spans="1:16" x14ac:dyDescent="0.25">
      <c r="A270" s="119"/>
      <c r="B270" s="90" t="s">
        <v>41</v>
      </c>
      <c r="C270" s="95"/>
      <c r="D270" s="95"/>
      <c r="E270" s="95"/>
      <c r="F270" s="95"/>
      <c r="G270" s="95"/>
      <c r="H270" s="53">
        <f t="shared" si="142"/>
        <v>0</v>
      </c>
      <c r="I270" s="53">
        <f t="shared" si="143"/>
        <v>0</v>
      </c>
      <c r="J270" s="53">
        <f t="shared" si="144"/>
        <v>0</v>
      </c>
      <c r="K270" s="53">
        <f t="shared" si="145"/>
        <v>0</v>
      </c>
      <c r="L270" s="53">
        <f t="shared" si="146"/>
        <v>0</v>
      </c>
      <c r="M270" s="53">
        <f t="shared" si="147"/>
        <v>0</v>
      </c>
      <c r="N270" s="53">
        <f t="shared" si="148"/>
        <v>0</v>
      </c>
      <c r="O270" s="197"/>
      <c r="P270" s="197"/>
    </row>
    <row r="271" spans="1:16" ht="22.5" x14ac:dyDescent="0.25">
      <c r="A271" s="119"/>
      <c r="B271" s="90" t="s">
        <v>23</v>
      </c>
      <c r="C271" s="95"/>
      <c r="D271" s="95"/>
      <c r="E271" s="95"/>
      <c r="F271" s="95"/>
      <c r="G271" s="95"/>
      <c r="H271" s="53">
        <f t="shared" si="142"/>
        <v>0</v>
      </c>
      <c r="I271" s="53">
        <f t="shared" si="143"/>
        <v>0</v>
      </c>
      <c r="J271" s="53">
        <f t="shared" si="144"/>
        <v>0</v>
      </c>
      <c r="K271" s="53">
        <f t="shared" si="145"/>
        <v>0</v>
      </c>
      <c r="L271" s="53">
        <f t="shared" si="146"/>
        <v>0</v>
      </c>
      <c r="M271" s="53">
        <f t="shared" si="147"/>
        <v>0</v>
      </c>
      <c r="N271" s="53">
        <f t="shared" si="148"/>
        <v>0</v>
      </c>
      <c r="O271" s="197"/>
      <c r="P271" s="197"/>
    </row>
    <row r="272" spans="1:16" x14ac:dyDescent="0.25">
      <c r="A272" s="119"/>
      <c r="B272" s="90" t="s">
        <v>21</v>
      </c>
      <c r="C272" s="95"/>
      <c r="D272" s="95"/>
      <c r="E272" s="95"/>
      <c r="F272" s="95"/>
      <c r="G272" s="95"/>
      <c r="H272" s="53">
        <f t="shared" ref="H272:H274" si="149">I272+J272+K272+L272</f>
        <v>0</v>
      </c>
      <c r="I272" s="53">
        <f t="shared" ref="I272:I273" si="150">J272+K272+L272+M272</f>
        <v>0</v>
      </c>
      <c r="J272" s="53">
        <f t="shared" ref="J272:J273" si="151">K272+L272+M272+N272</f>
        <v>0</v>
      </c>
      <c r="K272" s="53">
        <f t="shared" ref="K272:K273" si="152">L272+M272+N272+O272</f>
        <v>0</v>
      </c>
      <c r="L272" s="53">
        <f t="shared" ref="L272:L273" si="153">M272+N272+O272+P272</f>
        <v>0</v>
      </c>
      <c r="M272" s="53">
        <f t="shared" ref="M272:M273" si="154">N272+O272+P272+Q272</f>
        <v>0</v>
      </c>
      <c r="N272" s="53">
        <f t="shared" ref="N272:N273" si="155">O272+P272+Q272+R272</f>
        <v>0</v>
      </c>
      <c r="O272" s="197"/>
      <c r="P272" s="197"/>
    </row>
    <row r="273" spans="1:16" ht="22.5" x14ac:dyDescent="0.25">
      <c r="A273" s="119"/>
      <c r="B273" s="90" t="s">
        <v>22</v>
      </c>
      <c r="C273" s="95"/>
      <c r="D273" s="95"/>
      <c r="E273" s="95"/>
      <c r="F273" s="95"/>
      <c r="G273" s="95"/>
      <c r="H273" s="53">
        <f t="shared" si="149"/>
        <v>0</v>
      </c>
      <c r="I273" s="53">
        <f t="shared" si="150"/>
        <v>0</v>
      </c>
      <c r="J273" s="53">
        <f t="shared" si="151"/>
        <v>0</v>
      </c>
      <c r="K273" s="53">
        <f t="shared" si="152"/>
        <v>0</v>
      </c>
      <c r="L273" s="53">
        <f t="shared" si="153"/>
        <v>0</v>
      </c>
      <c r="M273" s="53">
        <f t="shared" si="154"/>
        <v>0</v>
      </c>
      <c r="N273" s="53">
        <f t="shared" si="155"/>
        <v>0</v>
      </c>
      <c r="O273" s="197"/>
      <c r="P273" s="197"/>
    </row>
    <row r="274" spans="1:16" x14ac:dyDescent="0.25">
      <c r="A274" s="120"/>
      <c r="B274" s="92" t="s">
        <v>130</v>
      </c>
      <c r="C274" s="7"/>
      <c r="D274" s="7"/>
      <c r="E274" s="7"/>
      <c r="F274" s="7"/>
      <c r="G274" s="7"/>
      <c r="H274" s="53">
        <f t="shared" si="149"/>
        <v>0</v>
      </c>
      <c r="I274" s="55">
        <v>0</v>
      </c>
      <c r="J274" s="55">
        <v>0</v>
      </c>
      <c r="K274" s="55">
        <v>0</v>
      </c>
      <c r="L274" s="55">
        <v>0</v>
      </c>
      <c r="M274" s="55">
        <v>0</v>
      </c>
      <c r="N274" s="55">
        <v>0</v>
      </c>
      <c r="O274" s="198"/>
      <c r="P274" s="198"/>
    </row>
    <row r="275" spans="1:16" ht="15" customHeight="1" x14ac:dyDescent="0.25">
      <c r="A275" s="118" t="s">
        <v>42</v>
      </c>
      <c r="B275" s="90" t="s">
        <v>30</v>
      </c>
      <c r="C275" s="95"/>
      <c r="D275" s="95"/>
      <c r="E275" s="95"/>
      <c r="F275" s="95"/>
      <c r="G275" s="95"/>
      <c r="H275" s="1">
        <f t="shared" ref="H275" si="156">I275+J275+K275+L275</f>
        <v>1250113.6000000001</v>
      </c>
      <c r="I275" s="1">
        <f>I276+I277+I278+I279</f>
        <v>30351.599999999999</v>
      </c>
      <c r="J275" s="1">
        <f t="shared" ref="J275:N275" si="157">J276+J277+J278+J279</f>
        <v>262545</v>
      </c>
      <c r="K275" s="1">
        <f t="shared" si="157"/>
        <v>271796.88</v>
      </c>
      <c r="L275" s="1">
        <f t="shared" si="157"/>
        <v>685420.12</v>
      </c>
      <c r="M275" s="1">
        <f t="shared" si="157"/>
        <v>878550.7</v>
      </c>
      <c r="N275" s="1">
        <f t="shared" si="157"/>
        <v>1482658.6</v>
      </c>
      <c r="O275" s="199"/>
      <c r="P275" s="196"/>
    </row>
    <row r="276" spans="1:16" x14ac:dyDescent="0.25">
      <c r="A276" s="119"/>
      <c r="B276" s="90" t="s">
        <v>20</v>
      </c>
      <c r="C276" s="95"/>
      <c r="D276" s="95"/>
      <c r="E276" s="95"/>
      <c r="F276" s="95"/>
      <c r="G276" s="95"/>
      <c r="H276" s="1">
        <f>I276+J276+K276+L276</f>
        <v>953191.6</v>
      </c>
      <c r="I276" s="1">
        <f t="shared" ref="I276:N279" si="158">I270+I255+I95</f>
        <v>16701.599999999999</v>
      </c>
      <c r="J276" s="1">
        <f t="shared" si="158"/>
        <v>165035</v>
      </c>
      <c r="K276" s="1">
        <f t="shared" si="158"/>
        <v>115886.87999999999</v>
      </c>
      <c r="L276" s="1">
        <f t="shared" si="158"/>
        <v>655568.12</v>
      </c>
      <c r="M276" s="1">
        <f t="shared" si="158"/>
        <v>699898.7</v>
      </c>
      <c r="N276" s="1">
        <f t="shared" si="158"/>
        <v>1308208.6000000001</v>
      </c>
      <c r="O276" s="200"/>
      <c r="P276" s="197"/>
    </row>
    <row r="277" spans="1:16" ht="22.5" x14ac:dyDescent="0.25">
      <c r="A277" s="119"/>
      <c r="B277" s="90" t="s">
        <v>23</v>
      </c>
      <c r="C277" s="95"/>
      <c r="D277" s="95"/>
      <c r="E277" s="95"/>
      <c r="F277" s="95"/>
      <c r="G277" s="95"/>
      <c r="H277" s="1">
        <f>I277+J277+K277+L277</f>
        <v>0</v>
      </c>
      <c r="I277" s="1">
        <f t="shared" si="158"/>
        <v>0</v>
      </c>
      <c r="J277" s="1">
        <f t="shared" si="158"/>
        <v>0</v>
      </c>
      <c r="K277" s="1">
        <f t="shared" si="158"/>
        <v>0</v>
      </c>
      <c r="L277" s="1">
        <f t="shared" si="158"/>
        <v>0</v>
      </c>
      <c r="M277" s="1">
        <f t="shared" si="158"/>
        <v>0</v>
      </c>
      <c r="N277" s="1">
        <f t="shared" si="158"/>
        <v>0</v>
      </c>
      <c r="O277" s="200"/>
      <c r="P277" s="197"/>
    </row>
    <row r="278" spans="1:16" x14ac:dyDescent="0.25">
      <c r="A278" s="119"/>
      <c r="B278" s="90" t="s">
        <v>21</v>
      </c>
      <c r="C278" s="95"/>
      <c r="D278" s="95"/>
      <c r="E278" s="95"/>
      <c r="F278" s="95"/>
      <c r="G278" s="95"/>
      <c r="H278" s="1">
        <f>I278+J278+K278+L278</f>
        <v>286720</v>
      </c>
      <c r="I278" s="1">
        <f t="shared" si="158"/>
        <v>13650</v>
      </c>
      <c r="J278" s="1">
        <f t="shared" si="158"/>
        <v>97510</v>
      </c>
      <c r="K278" s="1">
        <f t="shared" si="158"/>
        <v>155910</v>
      </c>
      <c r="L278" s="1">
        <f t="shared" si="158"/>
        <v>19650</v>
      </c>
      <c r="M278" s="1">
        <f t="shared" si="158"/>
        <v>170000</v>
      </c>
      <c r="N278" s="1">
        <f t="shared" si="158"/>
        <v>170000</v>
      </c>
      <c r="O278" s="200"/>
      <c r="P278" s="197"/>
    </row>
    <row r="279" spans="1:16" ht="22.5" x14ac:dyDescent="0.25">
      <c r="A279" s="119"/>
      <c r="B279" s="90" t="s">
        <v>22</v>
      </c>
      <c r="C279" s="95"/>
      <c r="D279" s="95"/>
      <c r="E279" s="95"/>
      <c r="F279" s="95"/>
      <c r="G279" s="95"/>
      <c r="H279" s="1">
        <f>I279+J279+K279+L279</f>
        <v>10202</v>
      </c>
      <c r="I279" s="1">
        <f t="shared" si="158"/>
        <v>0</v>
      </c>
      <c r="J279" s="1">
        <f t="shared" si="158"/>
        <v>0</v>
      </c>
      <c r="K279" s="1">
        <f t="shared" si="158"/>
        <v>0</v>
      </c>
      <c r="L279" s="1">
        <f t="shared" si="158"/>
        <v>10202</v>
      </c>
      <c r="M279" s="1">
        <f t="shared" si="158"/>
        <v>8652</v>
      </c>
      <c r="N279" s="1">
        <f t="shared" si="158"/>
        <v>4450</v>
      </c>
      <c r="O279" s="200"/>
      <c r="P279" s="197"/>
    </row>
    <row r="280" spans="1:16" x14ac:dyDescent="0.25">
      <c r="A280" s="120"/>
      <c r="B280" s="92" t="s">
        <v>130</v>
      </c>
      <c r="C280" s="7"/>
      <c r="D280" s="7"/>
      <c r="E280" s="7"/>
      <c r="F280" s="7"/>
      <c r="G280" s="7"/>
      <c r="H280" s="53">
        <f t="shared" ref="H280" si="159">I280+J280+K280+L280</f>
        <v>0</v>
      </c>
      <c r="I280" s="55">
        <v>0</v>
      </c>
      <c r="J280" s="55">
        <v>0</v>
      </c>
      <c r="K280" s="55">
        <v>0</v>
      </c>
      <c r="L280" s="55">
        <v>0</v>
      </c>
      <c r="M280" s="55">
        <v>0</v>
      </c>
      <c r="N280" s="55">
        <v>0</v>
      </c>
      <c r="O280" s="201"/>
      <c r="P280" s="198"/>
    </row>
    <row r="281" spans="1:16" ht="20.45" customHeight="1" x14ac:dyDescent="0.25">
      <c r="A281" s="128" t="s">
        <v>66</v>
      </c>
      <c r="B281" s="129"/>
      <c r="C281" s="129"/>
      <c r="D281" s="129"/>
      <c r="E281" s="129"/>
      <c r="F281" s="129"/>
      <c r="G281" s="129"/>
      <c r="H281" s="129"/>
      <c r="I281" s="129"/>
      <c r="J281" s="129"/>
      <c r="K281" s="129"/>
      <c r="L281" s="129"/>
      <c r="M281" s="129"/>
      <c r="N281" s="129"/>
      <c r="O281" s="129"/>
      <c r="P281" s="130"/>
    </row>
    <row r="282" spans="1:16" ht="13.9" customHeight="1" x14ac:dyDescent="0.25">
      <c r="A282" s="128" t="s">
        <v>67</v>
      </c>
      <c r="B282" s="129"/>
      <c r="C282" s="129"/>
      <c r="D282" s="129"/>
      <c r="E282" s="129"/>
      <c r="F282" s="129"/>
      <c r="G282" s="129"/>
      <c r="H282" s="129"/>
      <c r="I282" s="129"/>
      <c r="J282" s="129"/>
      <c r="K282" s="129"/>
      <c r="L282" s="129"/>
      <c r="M282" s="129"/>
      <c r="N282" s="129"/>
      <c r="O282" s="129"/>
      <c r="P282" s="130"/>
    </row>
    <row r="283" spans="1:16" ht="33.75" customHeight="1" x14ac:dyDescent="0.25">
      <c r="A283" s="118" t="s">
        <v>43</v>
      </c>
      <c r="B283" s="90" t="s">
        <v>24</v>
      </c>
      <c r="C283" s="95"/>
      <c r="D283" s="95"/>
      <c r="E283" s="95"/>
      <c r="F283" s="95"/>
      <c r="G283" s="95"/>
      <c r="H283" s="77"/>
      <c r="I283" s="9"/>
      <c r="J283" s="9"/>
      <c r="K283" s="113"/>
      <c r="L283" s="113"/>
      <c r="M283" s="9"/>
      <c r="N283" s="9"/>
      <c r="O283" s="118" t="s">
        <v>98</v>
      </c>
      <c r="P283" s="118" t="s">
        <v>146</v>
      </c>
    </row>
    <row r="284" spans="1:16" x14ac:dyDescent="0.25">
      <c r="A284" s="119"/>
      <c r="B284" s="90" t="s">
        <v>17</v>
      </c>
      <c r="C284" s="95"/>
      <c r="D284" s="95"/>
      <c r="E284" s="95"/>
      <c r="F284" s="95"/>
      <c r="G284" s="95"/>
      <c r="H284" s="56"/>
      <c r="I284" s="1" t="s">
        <v>18</v>
      </c>
      <c r="J284" s="1" t="s">
        <v>18</v>
      </c>
      <c r="K284" s="1" t="s">
        <v>18</v>
      </c>
      <c r="L284" s="1" t="s">
        <v>18</v>
      </c>
      <c r="M284" s="1"/>
      <c r="N284" s="1"/>
      <c r="O284" s="119"/>
      <c r="P284" s="119"/>
    </row>
    <row r="285" spans="1:16" ht="22.5" x14ac:dyDescent="0.25">
      <c r="A285" s="119"/>
      <c r="B285" s="90" t="s">
        <v>54</v>
      </c>
      <c r="C285" s="95"/>
      <c r="D285" s="95"/>
      <c r="E285" s="95"/>
      <c r="F285" s="95"/>
      <c r="G285" s="95"/>
      <c r="H285" s="1">
        <f>I285+J285+K285+L285</f>
        <v>154550</v>
      </c>
      <c r="I285" s="1">
        <f t="shared" ref="I285:L285" si="160">I286+I287+I288+I289</f>
        <v>0</v>
      </c>
      <c r="J285" s="1">
        <f t="shared" si="160"/>
        <v>0</v>
      </c>
      <c r="K285" s="1">
        <f>SUM(K286:K290)</f>
        <v>0</v>
      </c>
      <c r="L285" s="1">
        <f t="shared" si="160"/>
        <v>154550</v>
      </c>
      <c r="M285" s="1">
        <f>M286+M287+M288+M289</f>
        <v>143850</v>
      </c>
      <c r="N285" s="1">
        <f>N286+N287+N288+N289</f>
        <v>0</v>
      </c>
      <c r="O285" s="119"/>
      <c r="P285" s="119"/>
    </row>
    <row r="286" spans="1:16" x14ac:dyDescent="0.25">
      <c r="A286" s="119"/>
      <c r="B286" s="90" t="s">
        <v>20</v>
      </c>
      <c r="C286" s="95"/>
      <c r="D286" s="95"/>
      <c r="E286" s="95"/>
      <c r="F286" s="95"/>
      <c r="G286" s="95"/>
      <c r="H286" s="1">
        <f t="shared" ref="H286:H290" si="161">I286+J286+K286+L286</f>
        <v>23800</v>
      </c>
      <c r="I286" s="1">
        <f>I294+I302+I310</f>
        <v>0</v>
      </c>
      <c r="J286" s="1">
        <f t="shared" ref="J286:L286" si="162">J294+J302+J310</f>
        <v>0</v>
      </c>
      <c r="K286" s="1">
        <f t="shared" si="162"/>
        <v>0</v>
      </c>
      <c r="L286" s="1">
        <f t="shared" si="162"/>
        <v>23800</v>
      </c>
      <c r="M286" s="1">
        <v>22100</v>
      </c>
      <c r="N286" s="1">
        <f t="shared" ref="N286" si="163">N294</f>
        <v>0</v>
      </c>
      <c r="O286" s="119"/>
      <c r="P286" s="119"/>
    </row>
    <row r="287" spans="1:16" ht="22.5" x14ac:dyDescent="0.25">
      <c r="A287" s="119"/>
      <c r="B287" s="90" t="s">
        <v>23</v>
      </c>
      <c r="C287" s="95"/>
      <c r="D287" s="95"/>
      <c r="E287" s="95"/>
      <c r="F287" s="95"/>
      <c r="G287" s="95"/>
      <c r="H287" s="1">
        <f t="shared" si="161"/>
        <v>120550</v>
      </c>
      <c r="I287" s="1">
        <f>I303+I311+I295</f>
        <v>0</v>
      </c>
      <c r="J287" s="1">
        <f t="shared" ref="J287:L287" si="164">J303+J311+J295</f>
        <v>0</v>
      </c>
      <c r="K287" s="1">
        <f t="shared" si="164"/>
        <v>0</v>
      </c>
      <c r="L287" s="1">
        <f t="shared" si="164"/>
        <v>120550</v>
      </c>
      <c r="M287" s="1">
        <v>112250</v>
      </c>
      <c r="N287" s="1">
        <f t="shared" ref="N287" si="165">N295</f>
        <v>0</v>
      </c>
      <c r="O287" s="119"/>
      <c r="P287" s="119"/>
    </row>
    <row r="288" spans="1:16" x14ac:dyDescent="0.25">
      <c r="A288" s="119"/>
      <c r="B288" s="90" t="s">
        <v>21</v>
      </c>
      <c r="C288" s="95"/>
      <c r="D288" s="95"/>
      <c r="E288" s="95"/>
      <c r="F288" s="95"/>
      <c r="G288" s="95"/>
      <c r="H288" s="1">
        <f t="shared" si="161"/>
        <v>10200</v>
      </c>
      <c r="I288" s="1">
        <f>I296+I304+I312</f>
        <v>0</v>
      </c>
      <c r="J288" s="1">
        <f t="shared" ref="J288:L288" si="166">J296+J304+J312</f>
        <v>0</v>
      </c>
      <c r="K288" s="1">
        <f t="shared" si="166"/>
        <v>0</v>
      </c>
      <c r="L288" s="1">
        <f t="shared" si="166"/>
        <v>10200</v>
      </c>
      <c r="M288" s="1">
        <v>9500</v>
      </c>
      <c r="N288" s="1">
        <f t="shared" ref="N288" si="167">N296</f>
        <v>0</v>
      </c>
      <c r="O288" s="119"/>
      <c r="P288" s="119"/>
    </row>
    <row r="289" spans="1:16" ht="22.5" x14ac:dyDescent="0.25">
      <c r="A289" s="119"/>
      <c r="B289" s="90" t="s">
        <v>22</v>
      </c>
      <c r="C289" s="95"/>
      <c r="D289" s="95"/>
      <c r="E289" s="95"/>
      <c r="F289" s="95"/>
      <c r="G289" s="95"/>
      <c r="H289" s="1">
        <f t="shared" si="161"/>
        <v>0</v>
      </c>
      <c r="I289" s="1">
        <f>I297+I305+I313</f>
        <v>0</v>
      </c>
      <c r="J289" s="1">
        <f t="shared" ref="J289:L289" si="168">J297+J305+J313</f>
        <v>0</v>
      </c>
      <c r="K289" s="1">
        <f t="shared" si="168"/>
        <v>0</v>
      </c>
      <c r="L289" s="1">
        <f t="shared" si="168"/>
        <v>0</v>
      </c>
      <c r="M289" s="1">
        <f t="shared" ref="M289:N289" si="169">M297</f>
        <v>0</v>
      </c>
      <c r="N289" s="1">
        <f t="shared" si="169"/>
        <v>0</v>
      </c>
      <c r="O289" s="119"/>
      <c r="P289" s="119"/>
    </row>
    <row r="290" spans="1:16" x14ac:dyDescent="0.25">
      <c r="A290" s="120"/>
      <c r="B290" s="92" t="s">
        <v>130</v>
      </c>
      <c r="C290" s="7"/>
      <c r="D290" s="7"/>
      <c r="E290" s="7"/>
      <c r="F290" s="7"/>
      <c r="G290" s="7"/>
      <c r="H290" s="1">
        <f t="shared" si="161"/>
        <v>0</v>
      </c>
      <c r="I290" s="53">
        <v>0</v>
      </c>
      <c r="J290" s="53">
        <v>0</v>
      </c>
      <c r="K290" s="53">
        <v>0</v>
      </c>
      <c r="L290" s="53">
        <v>0</v>
      </c>
      <c r="M290" s="53">
        <v>0</v>
      </c>
      <c r="N290" s="53">
        <v>0</v>
      </c>
      <c r="O290" s="120"/>
      <c r="P290" s="120"/>
    </row>
    <row r="291" spans="1:16" ht="22.5" x14ac:dyDescent="0.25">
      <c r="A291" s="118" t="s">
        <v>171</v>
      </c>
      <c r="B291" s="90" t="s">
        <v>44</v>
      </c>
      <c r="C291" s="95"/>
      <c r="D291" s="95"/>
      <c r="E291" s="95"/>
      <c r="F291" s="95"/>
      <c r="G291" s="95"/>
      <c r="H291" s="1">
        <f>-SUM(I291:L291)</f>
        <v>0</v>
      </c>
      <c r="I291" s="72">
        <v>0</v>
      </c>
      <c r="J291" s="114">
        <v>0</v>
      </c>
      <c r="K291" s="55">
        <v>0</v>
      </c>
      <c r="L291" s="72">
        <v>0</v>
      </c>
      <c r="M291" s="1">
        <v>0</v>
      </c>
      <c r="N291" s="1">
        <v>1</v>
      </c>
      <c r="O291" s="118" t="s">
        <v>172</v>
      </c>
      <c r="P291" s="118" t="s">
        <v>173</v>
      </c>
    </row>
    <row r="292" spans="1:16" x14ac:dyDescent="0.25">
      <c r="A292" s="119"/>
      <c r="B292" s="90" t="s">
        <v>17</v>
      </c>
      <c r="C292" s="95"/>
      <c r="D292" s="95"/>
      <c r="E292" s="95"/>
      <c r="F292" s="95"/>
      <c r="G292" s="95"/>
      <c r="H292" s="75" t="s">
        <v>47</v>
      </c>
      <c r="I292" s="1" t="s">
        <v>18</v>
      </c>
      <c r="J292" s="1" t="s">
        <v>18</v>
      </c>
      <c r="K292" s="1" t="s">
        <v>18</v>
      </c>
      <c r="L292" s="1" t="s">
        <v>18</v>
      </c>
      <c r="M292" s="1">
        <v>0</v>
      </c>
      <c r="N292" s="1">
        <v>0</v>
      </c>
      <c r="O292" s="119"/>
      <c r="P292" s="119"/>
    </row>
    <row r="293" spans="1:16" ht="22.5" x14ac:dyDescent="0.25">
      <c r="A293" s="119"/>
      <c r="B293" s="90" t="s">
        <v>54</v>
      </c>
      <c r="C293" s="95"/>
      <c r="D293" s="95"/>
      <c r="E293" s="95"/>
      <c r="F293" s="95"/>
      <c r="G293" s="95"/>
      <c r="H293" s="1">
        <f t="shared" ref="H293:L293" si="170">H294+H295+H296+H297</f>
        <v>0</v>
      </c>
      <c r="I293" s="1">
        <f t="shared" si="170"/>
        <v>0</v>
      </c>
      <c r="J293" s="1">
        <f t="shared" si="170"/>
        <v>0</v>
      </c>
      <c r="K293" s="1">
        <f t="shared" si="170"/>
        <v>0</v>
      </c>
      <c r="L293" s="1">
        <f t="shared" si="170"/>
        <v>0</v>
      </c>
      <c r="M293" s="1">
        <f>M294+M295+M296+M297</f>
        <v>0</v>
      </c>
      <c r="N293" s="1">
        <f>N294+N295+N296+N297</f>
        <v>0</v>
      </c>
      <c r="O293" s="119"/>
      <c r="P293" s="119"/>
    </row>
    <row r="294" spans="1:16" x14ac:dyDescent="0.25">
      <c r="A294" s="119"/>
      <c r="B294" s="90" t="s">
        <v>20</v>
      </c>
      <c r="C294" s="56"/>
      <c r="D294" s="56"/>
      <c r="E294" s="56"/>
      <c r="F294" s="56"/>
      <c r="G294" s="56"/>
      <c r="H294" s="1">
        <f t="shared" ref="H294:H296" si="171">I294+J294+K294+L294</f>
        <v>0</v>
      </c>
      <c r="I294" s="1">
        <v>0</v>
      </c>
      <c r="J294" s="1">
        <v>0</v>
      </c>
      <c r="K294" s="1">
        <v>0</v>
      </c>
      <c r="L294" s="1">
        <v>0</v>
      </c>
      <c r="M294" s="1">
        <v>0</v>
      </c>
      <c r="N294" s="1">
        <v>0</v>
      </c>
      <c r="O294" s="119"/>
      <c r="P294" s="119"/>
    </row>
    <row r="295" spans="1:16" ht="22.5" x14ac:dyDescent="0.25">
      <c r="A295" s="119"/>
      <c r="B295" s="90" t="s">
        <v>23</v>
      </c>
      <c r="C295" s="95"/>
      <c r="D295" s="95"/>
      <c r="E295" s="95"/>
      <c r="F295" s="95"/>
      <c r="G295" s="95"/>
      <c r="H295" s="1">
        <f t="shared" si="171"/>
        <v>0</v>
      </c>
      <c r="I295" s="1">
        <v>0</v>
      </c>
      <c r="J295" s="1">
        <v>0</v>
      </c>
      <c r="K295" s="1">
        <v>0</v>
      </c>
      <c r="L295" s="1">
        <v>0</v>
      </c>
      <c r="M295" s="1">
        <v>0</v>
      </c>
      <c r="N295" s="1">
        <v>0</v>
      </c>
      <c r="O295" s="119"/>
      <c r="P295" s="119"/>
    </row>
    <row r="296" spans="1:16" x14ac:dyDescent="0.25">
      <c r="A296" s="119"/>
      <c r="B296" s="90" t="s">
        <v>21</v>
      </c>
      <c r="C296" s="95"/>
      <c r="D296" s="95"/>
      <c r="E296" s="95"/>
      <c r="F296" s="95"/>
      <c r="G296" s="95"/>
      <c r="H296" s="1">
        <f t="shared" si="171"/>
        <v>0</v>
      </c>
      <c r="I296" s="1">
        <v>0</v>
      </c>
      <c r="J296" s="1">
        <v>0</v>
      </c>
      <c r="K296" s="1">
        <v>0</v>
      </c>
      <c r="L296" s="1">
        <v>0</v>
      </c>
      <c r="M296" s="1">
        <v>0</v>
      </c>
      <c r="N296" s="1">
        <v>0</v>
      </c>
      <c r="O296" s="119"/>
      <c r="P296" s="119"/>
    </row>
    <row r="297" spans="1:16" ht="22.5" x14ac:dyDescent="0.25">
      <c r="A297" s="119"/>
      <c r="B297" s="90" t="s">
        <v>22</v>
      </c>
      <c r="C297" s="95"/>
      <c r="D297" s="95"/>
      <c r="E297" s="95"/>
      <c r="F297" s="95"/>
      <c r="G297" s="95"/>
      <c r="H297" s="1">
        <f>-SUM(I297:L297)</f>
        <v>0</v>
      </c>
      <c r="I297" s="1">
        <v>0</v>
      </c>
      <c r="J297" s="1">
        <v>0</v>
      </c>
      <c r="K297" s="1">
        <v>0</v>
      </c>
      <c r="L297" s="1">
        <v>0</v>
      </c>
      <c r="M297" s="1">
        <v>0</v>
      </c>
      <c r="N297" s="1">
        <v>0</v>
      </c>
      <c r="O297" s="119"/>
      <c r="P297" s="119"/>
    </row>
    <row r="298" spans="1:16" x14ac:dyDescent="0.25">
      <c r="A298" s="120"/>
      <c r="B298" s="92" t="s">
        <v>130</v>
      </c>
      <c r="C298" s="7"/>
      <c r="D298" s="7"/>
      <c r="E298" s="7"/>
      <c r="F298" s="7"/>
      <c r="G298" s="7"/>
      <c r="H298" s="53">
        <f t="shared" ref="H298" si="172">I298+J298+K298+L298</f>
        <v>0</v>
      </c>
      <c r="I298" s="55">
        <v>0</v>
      </c>
      <c r="J298" s="55">
        <v>0</v>
      </c>
      <c r="K298" s="55">
        <v>0</v>
      </c>
      <c r="L298" s="55">
        <v>0</v>
      </c>
      <c r="M298" s="55">
        <v>0</v>
      </c>
      <c r="N298" s="55">
        <v>0</v>
      </c>
      <c r="O298" s="120"/>
      <c r="P298" s="120"/>
    </row>
    <row r="299" spans="1:16" ht="19.5" customHeight="1" x14ac:dyDescent="0.25">
      <c r="A299" s="118" t="s">
        <v>45</v>
      </c>
      <c r="B299" s="90" t="s">
        <v>46</v>
      </c>
      <c r="C299" s="56"/>
      <c r="D299" s="56"/>
      <c r="E299" s="56"/>
      <c r="F299" s="56"/>
      <c r="G299" s="56"/>
      <c r="H299" s="111">
        <f>SUM(I299:L299)</f>
        <v>2</v>
      </c>
      <c r="I299" s="1">
        <v>0</v>
      </c>
      <c r="J299" s="1">
        <v>1</v>
      </c>
      <c r="K299" s="1">
        <v>0</v>
      </c>
      <c r="L299" s="1">
        <v>1</v>
      </c>
      <c r="M299" s="1">
        <v>2</v>
      </c>
      <c r="N299" s="1">
        <v>2</v>
      </c>
      <c r="O299" s="118" t="s">
        <v>127</v>
      </c>
      <c r="P299" s="118" t="s">
        <v>147</v>
      </c>
    </row>
    <row r="300" spans="1:16" ht="19.5" customHeight="1" x14ac:dyDescent="0.25">
      <c r="A300" s="119"/>
      <c r="B300" s="90" t="s">
        <v>17</v>
      </c>
      <c r="C300" s="56"/>
      <c r="D300" s="56"/>
      <c r="E300" s="56"/>
      <c r="F300" s="56"/>
      <c r="G300" s="56"/>
      <c r="H300" s="1">
        <v>0</v>
      </c>
      <c r="I300" s="1" t="s">
        <v>47</v>
      </c>
      <c r="J300" s="1" t="s">
        <v>47</v>
      </c>
      <c r="K300" s="1" t="s">
        <v>47</v>
      </c>
      <c r="L300" s="1" t="s">
        <v>47</v>
      </c>
      <c r="M300" s="1">
        <v>0</v>
      </c>
      <c r="N300" s="1">
        <v>0</v>
      </c>
      <c r="O300" s="119"/>
      <c r="P300" s="119"/>
    </row>
    <row r="301" spans="1:16" ht="19.5" customHeight="1" x14ac:dyDescent="0.25">
      <c r="A301" s="119"/>
      <c r="B301" s="90" t="s">
        <v>54</v>
      </c>
      <c r="C301" s="56"/>
      <c r="D301" s="56"/>
      <c r="E301" s="56"/>
      <c r="F301" s="56"/>
      <c r="G301" s="56"/>
      <c r="H301" s="1">
        <f>I301+J301+K301+L301</f>
        <v>0</v>
      </c>
      <c r="I301" s="1">
        <v>0</v>
      </c>
      <c r="J301" s="1">
        <v>0</v>
      </c>
      <c r="K301" s="1">
        <v>0</v>
      </c>
      <c r="L301" s="1">
        <v>0</v>
      </c>
      <c r="M301" s="1">
        <v>0</v>
      </c>
      <c r="N301" s="1">
        <v>0</v>
      </c>
      <c r="O301" s="119"/>
      <c r="P301" s="119"/>
    </row>
    <row r="302" spans="1:16" ht="19.5" customHeight="1" x14ac:dyDescent="0.25">
      <c r="A302" s="119"/>
      <c r="B302" s="90" t="s">
        <v>20</v>
      </c>
      <c r="C302" s="56"/>
      <c r="D302" s="56"/>
      <c r="E302" s="56"/>
      <c r="F302" s="56"/>
      <c r="G302" s="56"/>
      <c r="H302" s="1">
        <f t="shared" ref="H302:H303" si="173">I302+J302+K302+L302</f>
        <v>0</v>
      </c>
      <c r="I302" s="1">
        <v>0</v>
      </c>
      <c r="J302" s="1">
        <v>0</v>
      </c>
      <c r="K302" s="1">
        <v>0</v>
      </c>
      <c r="L302" s="1">
        <v>0</v>
      </c>
      <c r="M302" s="1">
        <v>0</v>
      </c>
      <c r="N302" s="1">
        <v>0</v>
      </c>
      <c r="O302" s="119"/>
      <c r="P302" s="119"/>
    </row>
    <row r="303" spans="1:16" ht="19.5" customHeight="1" x14ac:dyDescent="0.25">
      <c r="A303" s="119"/>
      <c r="B303" s="90" t="s">
        <v>23</v>
      </c>
      <c r="C303" s="56"/>
      <c r="D303" s="56"/>
      <c r="E303" s="56"/>
      <c r="F303" s="56"/>
      <c r="G303" s="56"/>
      <c r="H303" s="1">
        <f t="shared" si="173"/>
        <v>0</v>
      </c>
      <c r="I303" s="1">
        <v>0</v>
      </c>
      <c r="J303" s="1">
        <v>0</v>
      </c>
      <c r="K303" s="1">
        <v>0</v>
      </c>
      <c r="L303" s="1">
        <v>0</v>
      </c>
      <c r="M303" s="1">
        <v>0</v>
      </c>
      <c r="N303" s="1">
        <v>0</v>
      </c>
      <c r="O303" s="119"/>
      <c r="P303" s="119"/>
    </row>
    <row r="304" spans="1:16" ht="19.5" customHeight="1" x14ac:dyDescent="0.25">
      <c r="A304" s="119"/>
      <c r="B304" s="90" t="s">
        <v>21</v>
      </c>
      <c r="C304" s="56"/>
      <c r="D304" s="56"/>
      <c r="E304" s="56"/>
      <c r="F304" s="56"/>
      <c r="G304" s="56"/>
      <c r="H304" s="1">
        <f t="shared" ref="H304:H306" si="174">I304+J304+K304+L304</f>
        <v>0</v>
      </c>
      <c r="I304" s="1">
        <v>0</v>
      </c>
      <c r="J304" s="1">
        <v>0</v>
      </c>
      <c r="K304" s="1">
        <v>0</v>
      </c>
      <c r="L304" s="1">
        <v>0</v>
      </c>
      <c r="M304" s="1">
        <v>0</v>
      </c>
      <c r="N304" s="1">
        <v>0</v>
      </c>
      <c r="O304" s="119"/>
      <c r="P304" s="119"/>
    </row>
    <row r="305" spans="1:16" ht="19.5" customHeight="1" x14ac:dyDescent="0.25">
      <c r="A305" s="119"/>
      <c r="B305" s="90" t="s">
        <v>22</v>
      </c>
      <c r="C305" s="56"/>
      <c r="D305" s="56"/>
      <c r="E305" s="56"/>
      <c r="F305" s="56"/>
      <c r="G305" s="56"/>
      <c r="H305" s="1">
        <f t="shared" si="174"/>
        <v>0</v>
      </c>
      <c r="I305" s="1">
        <v>0</v>
      </c>
      <c r="J305" s="1">
        <v>0</v>
      </c>
      <c r="K305" s="1">
        <v>0</v>
      </c>
      <c r="L305" s="1">
        <v>0</v>
      </c>
      <c r="M305" s="1">
        <v>0</v>
      </c>
      <c r="N305" s="1">
        <v>0</v>
      </c>
      <c r="O305" s="119"/>
      <c r="P305" s="119"/>
    </row>
    <row r="306" spans="1:16" x14ac:dyDescent="0.25">
      <c r="A306" s="120"/>
      <c r="B306" s="92" t="s">
        <v>130</v>
      </c>
      <c r="C306" s="7"/>
      <c r="D306" s="7"/>
      <c r="E306" s="7"/>
      <c r="F306" s="7"/>
      <c r="G306" s="7"/>
      <c r="H306" s="53">
        <f t="shared" si="174"/>
        <v>0</v>
      </c>
      <c r="I306" s="55">
        <v>0</v>
      </c>
      <c r="J306" s="55">
        <v>0</v>
      </c>
      <c r="K306" s="55">
        <v>0</v>
      </c>
      <c r="L306" s="55">
        <v>0</v>
      </c>
      <c r="M306" s="55">
        <v>0</v>
      </c>
      <c r="N306" s="55">
        <v>0</v>
      </c>
      <c r="O306" s="120"/>
      <c r="P306" s="120"/>
    </row>
    <row r="307" spans="1:16" ht="46.5" customHeight="1" x14ac:dyDescent="0.25">
      <c r="A307" s="118" t="s">
        <v>170</v>
      </c>
      <c r="B307" s="112" t="s">
        <v>44</v>
      </c>
      <c r="C307" s="95"/>
      <c r="D307" s="95"/>
      <c r="E307" s="95"/>
      <c r="F307" s="95"/>
      <c r="G307" s="95"/>
      <c r="H307" s="1">
        <f>SUM(I307:L307)</f>
        <v>0</v>
      </c>
      <c r="I307" s="55">
        <v>0</v>
      </c>
      <c r="J307" s="55">
        <v>0</v>
      </c>
      <c r="K307" s="55">
        <v>0</v>
      </c>
      <c r="L307" s="55">
        <v>0</v>
      </c>
      <c r="M307" s="1">
        <v>14</v>
      </c>
      <c r="N307" s="1">
        <v>0</v>
      </c>
      <c r="O307" s="118" t="s">
        <v>83</v>
      </c>
      <c r="P307" s="118" t="s">
        <v>179</v>
      </c>
    </row>
    <row r="308" spans="1:16" ht="46.5" customHeight="1" x14ac:dyDescent="0.25">
      <c r="A308" s="119"/>
      <c r="B308" s="112" t="s">
        <v>17</v>
      </c>
      <c r="C308" s="95"/>
      <c r="D308" s="95"/>
      <c r="E308" s="95"/>
      <c r="F308" s="95"/>
      <c r="G308" s="95"/>
      <c r="H308" s="117" t="s">
        <v>180</v>
      </c>
      <c r="I308" s="1" t="s">
        <v>18</v>
      </c>
      <c r="J308" s="1" t="s">
        <v>18</v>
      </c>
      <c r="K308" s="1" t="s">
        <v>18</v>
      </c>
      <c r="L308" s="1" t="s">
        <v>18</v>
      </c>
      <c r="M308" s="75">
        <f>M309/M307</f>
        <v>10275</v>
      </c>
      <c r="N308" s="1">
        <v>0</v>
      </c>
      <c r="O308" s="119"/>
      <c r="P308" s="119"/>
    </row>
    <row r="309" spans="1:16" ht="46.5" customHeight="1" x14ac:dyDescent="0.25">
      <c r="A309" s="119"/>
      <c r="B309" s="112" t="s">
        <v>54</v>
      </c>
      <c r="C309" s="95"/>
      <c r="D309" s="95"/>
      <c r="E309" s="95"/>
      <c r="F309" s="95"/>
      <c r="G309" s="95"/>
      <c r="H309" s="1">
        <f>I309+J309+K309+L309</f>
        <v>154550</v>
      </c>
      <c r="I309" s="1">
        <f>SUM(I310:I313)</f>
        <v>0</v>
      </c>
      <c r="J309" s="1">
        <f t="shared" ref="J309:N309" si="175">SUM(J310:J313)</f>
        <v>0</v>
      </c>
      <c r="K309" s="1">
        <f t="shared" si="175"/>
        <v>0</v>
      </c>
      <c r="L309" s="1">
        <f t="shared" si="175"/>
        <v>154550</v>
      </c>
      <c r="M309" s="1">
        <f t="shared" si="175"/>
        <v>143850</v>
      </c>
      <c r="N309" s="1">
        <f t="shared" si="175"/>
        <v>0</v>
      </c>
      <c r="O309" s="119"/>
      <c r="P309" s="119"/>
    </row>
    <row r="310" spans="1:16" ht="46.5" customHeight="1" x14ac:dyDescent="0.25">
      <c r="A310" s="119"/>
      <c r="B310" s="112" t="s">
        <v>20</v>
      </c>
      <c r="C310" s="56">
        <v>176</v>
      </c>
      <c r="D310" s="56" t="s">
        <v>59</v>
      </c>
      <c r="E310" s="56" t="s">
        <v>106</v>
      </c>
      <c r="F310" s="56" t="s">
        <v>97</v>
      </c>
      <c r="G310" s="56">
        <v>521</v>
      </c>
      <c r="H310" s="1">
        <f>I310+J310+K310+L310</f>
        <v>23800</v>
      </c>
      <c r="I310" s="1">
        <v>0</v>
      </c>
      <c r="J310" s="1">
        <v>0</v>
      </c>
      <c r="K310" s="1">
        <v>0</v>
      </c>
      <c r="L310" s="1">
        <v>23800</v>
      </c>
      <c r="M310" s="1">
        <v>22100</v>
      </c>
      <c r="N310" s="1">
        <f t="shared" ref="N310:N312" si="176">O310+P310+Q310+R310</f>
        <v>0</v>
      </c>
      <c r="O310" s="119"/>
      <c r="P310" s="119"/>
    </row>
    <row r="311" spans="1:16" ht="46.5" customHeight="1" x14ac:dyDescent="0.25">
      <c r="A311" s="119"/>
      <c r="B311" s="112" t="s">
        <v>23</v>
      </c>
      <c r="C311" s="95"/>
      <c r="D311" s="95"/>
      <c r="E311" s="95"/>
      <c r="F311" s="95"/>
      <c r="G311" s="95"/>
      <c r="H311" s="1">
        <f t="shared" ref="H311:H314" si="177">I311+J311+K311+L311</f>
        <v>120550</v>
      </c>
      <c r="I311" s="1">
        <v>0</v>
      </c>
      <c r="J311" s="1">
        <v>0</v>
      </c>
      <c r="K311" s="1">
        <v>0</v>
      </c>
      <c r="L311" s="1">
        <v>120550</v>
      </c>
      <c r="M311" s="1">
        <v>112250</v>
      </c>
      <c r="N311" s="1">
        <f t="shared" si="176"/>
        <v>0</v>
      </c>
      <c r="O311" s="119"/>
      <c r="P311" s="119"/>
    </row>
    <row r="312" spans="1:16" ht="46.5" customHeight="1" x14ac:dyDescent="0.25">
      <c r="A312" s="119"/>
      <c r="B312" s="112" t="s">
        <v>21</v>
      </c>
      <c r="C312" s="95"/>
      <c r="D312" s="95"/>
      <c r="E312" s="95"/>
      <c r="F312" s="95"/>
      <c r="G312" s="95"/>
      <c r="H312" s="1">
        <f t="shared" si="177"/>
        <v>10200</v>
      </c>
      <c r="I312" s="1">
        <v>0</v>
      </c>
      <c r="J312" s="1">
        <v>0</v>
      </c>
      <c r="K312" s="1">
        <v>0</v>
      </c>
      <c r="L312" s="1">
        <v>10200</v>
      </c>
      <c r="M312" s="1">
        <v>9500</v>
      </c>
      <c r="N312" s="1">
        <f t="shared" si="176"/>
        <v>0</v>
      </c>
      <c r="O312" s="119"/>
      <c r="P312" s="119"/>
    </row>
    <row r="313" spans="1:16" ht="46.5" customHeight="1" x14ac:dyDescent="0.25">
      <c r="A313" s="119"/>
      <c r="B313" s="112" t="s">
        <v>22</v>
      </c>
      <c r="C313" s="95"/>
      <c r="D313" s="95"/>
      <c r="E313" s="95"/>
      <c r="F313" s="95"/>
      <c r="G313" s="95"/>
      <c r="H313" s="1">
        <f t="shared" si="177"/>
        <v>0</v>
      </c>
      <c r="I313" s="1">
        <v>0</v>
      </c>
      <c r="J313" s="1">
        <v>0</v>
      </c>
      <c r="K313" s="1">
        <v>0</v>
      </c>
      <c r="L313" s="1">
        <v>0</v>
      </c>
      <c r="M313" s="1">
        <v>0</v>
      </c>
      <c r="N313" s="1">
        <v>0</v>
      </c>
      <c r="O313" s="119"/>
      <c r="P313" s="119"/>
    </row>
    <row r="314" spans="1:16" ht="46.5" customHeight="1" x14ac:dyDescent="0.25">
      <c r="A314" s="120"/>
      <c r="B314" s="92" t="s">
        <v>130</v>
      </c>
      <c r="C314" s="7"/>
      <c r="D314" s="7"/>
      <c r="E314" s="7"/>
      <c r="F314" s="7"/>
      <c r="G314" s="7"/>
      <c r="H314" s="53">
        <f t="shared" si="177"/>
        <v>0</v>
      </c>
      <c r="I314" s="55">
        <v>0</v>
      </c>
      <c r="J314" s="55">
        <v>0</v>
      </c>
      <c r="K314" s="55">
        <v>0</v>
      </c>
      <c r="L314" s="55">
        <v>0</v>
      </c>
      <c r="M314" s="55">
        <v>0</v>
      </c>
      <c r="N314" s="55">
        <v>0</v>
      </c>
      <c r="O314" s="120"/>
      <c r="P314" s="120"/>
    </row>
    <row r="315" spans="1:16" ht="15" customHeight="1" x14ac:dyDescent="0.25">
      <c r="A315" s="118" t="s">
        <v>71</v>
      </c>
      <c r="B315" s="90" t="s">
        <v>30</v>
      </c>
      <c r="C315" s="95"/>
      <c r="D315" s="95"/>
      <c r="E315" s="95"/>
      <c r="F315" s="95"/>
      <c r="G315" s="95"/>
      <c r="H315" s="1">
        <f>I315+J315+K315+L315</f>
        <v>154550</v>
      </c>
      <c r="I315" s="1">
        <f>I316+I317+I318+I319</f>
        <v>0</v>
      </c>
      <c r="J315" s="1">
        <f>J316+J317+J318+J319</f>
        <v>0</v>
      </c>
      <c r="K315" s="1">
        <f t="shared" ref="K315:L315" si="178">K316+K317+K318+K319</f>
        <v>0</v>
      </c>
      <c r="L315" s="1">
        <f t="shared" si="178"/>
        <v>154550</v>
      </c>
      <c r="M315" s="1">
        <f>M316+M317+M318+M319</f>
        <v>143850</v>
      </c>
      <c r="N315" s="1">
        <f>N316+N317+N318+N319</f>
        <v>0</v>
      </c>
      <c r="O315" s="202"/>
      <c r="P315" s="205"/>
    </row>
    <row r="316" spans="1:16" x14ac:dyDescent="0.25">
      <c r="A316" s="119"/>
      <c r="B316" s="90" t="s">
        <v>41</v>
      </c>
      <c r="C316" s="95"/>
      <c r="D316" s="95"/>
      <c r="E316" s="95"/>
      <c r="F316" s="95"/>
      <c r="G316" s="95"/>
      <c r="H316" s="1">
        <f t="shared" ref="H316:H318" si="179">I316+J316+K316+L316</f>
        <v>23800</v>
      </c>
      <c r="I316" s="1">
        <f>I294+I302+I310</f>
        <v>0</v>
      </c>
      <c r="J316" s="1">
        <f t="shared" ref="J316:L316" si="180">J294+J302+J310</f>
        <v>0</v>
      </c>
      <c r="K316" s="1">
        <f t="shared" si="180"/>
        <v>0</v>
      </c>
      <c r="L316" s="1">
        <f t="shared" si="180"/>
        <v>23800</v>
      </c>
      <c r="M316" s="1">
        <f>M294+M302+M310</f>
        <v>22100</v>
      </c>
      <c r="N316" s="1">
        <f>N294+N302+N310</f>
        <v>0</v>
      </c>
      <c r="O316" s="203"/>
      <c r="P316" s="205"/>
    </row>
    <row r="317" spans="1:16" ht="22.5" x14ac:dyDescent="0.25">
      <c r="A317" s="119"/>
      <c r="B317" s="90" t="s">
        <v>23</v>
      </c>
      <c r="C317" s="95"/>
      <c r="D317" s="95"/>
      <c r="E317" s="95"/>
      <c r="F317" s="95"/>
      <c r="G317" s="95"/>
      <c r="H317" s="1">
        <f t="shared" si="179"/>
        <v>120550</v>
      </c>
      <c r="I317" s="1">
        <f t="shared" ref="I317:M317" si="181">I295+I303+I311</f>
        <v>0</v>
      </c>
      <c r="J317" s="1">
        <f t="shared" si="181"/>
        <v>0</v>
      </c>
      <c r="K317" s="1">
        <f t="shared" si="181"/>
        <v>0</v>
      </c>
      <c r="L317" s="1">
        <f t="shared" si="181"/>
        <v>120550</v>
      </c>
      <c r="M317" s="1">
        <f t="shared" si="181"/>
        <v>112250</v>
      </c>
      <c r="N317" s="1">
        <f>N295</f>
        <v>0</v>
      </c>
      <c r="O317" s="203"/>
      <c r="P317" s="205"/>
    </row>
    <row r="318" spans="1:16" x14ac:dyDescent="0.25">
      <c r="A318" s="119"/>
      <c r="B318" s="90" t="s">
        <v>21</v>
      </c>
      <c r="C318" s="95"/>
      <c r="D318" s="95"/>
      <c r="E318" s="95"/>
      <c r="F318" s="95"/>
      <c r="G318" s="95"/>
      <c r="H318" s="1">
        <f t="shared" si="179"/>
        <v>10200</v>
      </c>
      <c r="I318" s="1">
        <f t="shared" ref="I318:M318" si="182">I296+I304+I312</f>
        <v>0</v>
      </c>
      <c r="J318" s="1">
        <f t="shared" si="182"/>
        <v>0</v>
      </c>
      <c r="K318" s="1">
        <f t="shared" si="182"/>
        <v>0</v>
      </c>
      <c r="L318" s="1">
        <f t="shared" si="182"/>
        <v>10200</v>
      </c>
      <c r="M318" s="1">
        <f t="shared" si="182"/>
        <v>9500</v>
      </c>
      <c r="N318" s="1">
        <f>N296</f>
        <v>0</v>
      </c>
      <c r="O318" s="203"/>
      <c r="P318" s="205"/>
    </row>
    <row r="319" spans="1:16" ht="22.5" x14ac:dyDescent="0.25">
      <c r="A319" s="119"/>
      <c r="B319" s="90" t="s">
        <v>22</v>
      </c>
      <c r="C319" s="95"/>
      <c r="D319" s="95"/>
      <c r="E319" s="95"/>
      <c r="F319" s="95"/>
      <c r="G319" s="95"/>
      <c r="H319" s="1">
        <f>I319+J319+K319+L319</f>
        <v>0</v>
      </c>
      <c r="I319" s="1">
        <f t="shared" ref="I319:M319" si="183">I297+I305+I313</f>
        <v>0</v>
      </c>
      <c r="J319" s="1">
        <f t="shared" si="183"/>
        <v>0</v>
      </c>
      <c r="K319" s="1">
        <f t="shared" si="183"/>
        <v>0</v>
      </c>
      <c r="L319" s="1">
        <f t="shared" si="183"/>
        <v>0</v>
      </c>
      <c r="M319" s="1">
        <f t="shared" si="183"/>
        <v>0</v>
      </c>
      <c r="N319" s="1">
        <f>N297</f>
        <v>0</v>
      </c>
      <c r="O319" s="203"/>
      <c r="P319" s="205"/>
    </row>
    <row r="320" spans="1:16" x14ac:dyDescent="0.25">
      <c r="A320" s="120"/>
      <c r="B320" s="92" t="s">
        <v>130</v>
      </c>
      <c r="C320" s="7"/>
      <c r="D320" s="7"/>
      <c r="E320" s="7"/>
      <c r="F320" s="7"/>
      <c r="G320" s="7"/>
      <c r="H320" s="53">
        <f t="shared" ref="H320" si="184">I320+J320+K320+L320</f>
        <v>0</v>
      </c>
      <c r="I320" s="1">
        <f t="shared" ref="I320:M320" si="185">I298+I306+I314</f>
        <v>0</v>
      </c>
      <c r="J320" s="1">
        <f t="shared" si="185"/>
        <v>0</v>
      </c>
      <c r="K320" s="1">
        <f t="shared" si="185"/>
        <v>0</v>
      </c>
      <c r="L320" s="1">
        <f t="shared" si="185"/>
        <v>0</v>
      </c>
      <c r="M320" s="1">
        <f t="shared" si="185"/>
        <v>0</v>
      </c>
      <c r="N320" s="55">
        <v>0</v>
      </c>
      <c r="O320" s="204"/>
      <c r="P320" s="205"/>
    </row>
    <row r="321" spans="1:16" ht="13.9" customHeight="1" x14ac:dyDescent="0.25">
      <c r="A321" s="128" t="s">
        <v>72</v>
      </c>
      <c r="B321" s="129"/>
      <c r="C321" s="129"/>
      <c r="D321" s="129"/>
      <c r="E321" s="129"/>
      <c r="F321" s="129"/>
      <c r="G321" s="129"/>
      <c r="H321" s="129"/>
      <c r="I321" s="129"/>
      <c r="J321" s="129"/>
      <c r="K321" s="129"/>
      <c r="L321" s="129"/>
      <c r="M321" s="129"/>
      <c r="N321" s="129"/>
      <c r="O321" s="129"/>
      <c r="P321" s="130"/>
    </row>
    <row r="322" spans="1:16" ht="33.75" customHeight="1" x14ac:dyDescent="0.25">
      <c r="A322" s="118" t="s">
        <v>128</v>
      </c>
      <c r="B322" s="90" t="s">
        <v>48</v>
      </c>
      <c r="C322" s="95"/>
      <c r="D322" s="95"/>
      <c r="E322" s="95"/>
      <c r="F322" s="95"/>
      <c r="G322" s="95"/>
      <c r="H322" s="56">
        <v>4</v>
      </c>
      <c r="I322" s="56">
        <v>1</v>
      </c>
      <c r="J322" s="56">
        <v>1</v>
      </c>
      <c r="K322" s="56">
        <v>1</v>
      </c>
      <c r="L322" s="56">
        <v>1</v>
      </c>
      <c r="M322" s="56">
        <v>4</v>
      </c>
      <c r="N322" s="56">
        <v>4</v>
      </c>
      <c r="O322" s="118" t="s">
        <v>86</v>
      </c>
      <c r="P322" s="118" t="s">
        <v>148</v>
      </c>
    </row>
    <row r="323" spans="1:16" x14ac:dyDescent="0.25">
      <c r="A323" s="119"/>
      <c r="B323" s="90" t="s">
        <v>17</v>
      </c>
      <c r="C323" s="95"/>
      <c r="D323" s="95"/>
      <c r="E323" s="95"/>
      <c r="F323" s="95"/>
      <c r="G323" s="95"/>
      <c r="H323" s="95"/>
      <c r="I323" s="76" t="s">
        <v>73</v>
      </c>
      <c r="J323" s="76" t="s">
        <v>73</v>
      </c>
      <c r="K323" s="76" t="s">
        <v>73</v>
      </c>
      <c r="L323" s="76" t="s">
        <v>73</v>
      </c>
      <c r="M323" s="95"/>
      <c r="N323" s="95"/>
      <c r="O323" s="119"/>
      <c r="P323" s="119"/>
    </row>
    <row r="324" spans="1:16" ht="22.5" x14ac:dyDescent="0.25">
      <c r="A324" s="119"/>
      <c r="B324" s="90" t="s">
        <v>54</v>
      </c>
      <c r="C324" s="95"/>
      <c r="D324" s="95"/>
      <c r="E324" s="95"/>
      <c r="F324" s="95"/>
      <c r="G324" s="95"/>
      <c r="H324" s="1">
        <f t="shared" ref="H324:H326" si="186">I324+J324+K324+L324</f>
        <v>0</v>
      </c>
      <c r="I324" s="1">
        <f t="shared" ref="I324:I326" si="187">J324+K324+L324+M324</f>
        <v>0</v>
      </c>
      <c r="J324" s="1">
        <f t="shared" ref="J324:J326" si="188">K324+L324+M324+N324</f>
        <v>0</v>
      </c>
      <c r="K324" s="1">
        <f t="shared" ref="K324:K326" si="189">L324+M324+N324+O324</f>
        <v>0</v>
      </c>
      <c r="L324" s="1">
        <f t="shared" ref="L324:L326" si="190">M324+N324+O324+P324</f>
        <v>0</v>
      </c>
      <c r="M324" s="1">
        <f t="shared" ref="M324:M326" si="191">N324+O324+P324+Q324</f>
        <v>0</v>
      </c>
      <c r="N324" s="1">
        <f t="shared" ref="N324:N326" si="192">O324+P324+Q324+R324</f>
        <v>0</v>
      </c>
      <c r="O324" s="119"/>
      <c r="P324" s="119"/>
    </row>
    <row r="325" spans="1:16" x14ac:dyDescent="0.25">
      <c r="A325" s="119"/>
      <c r="B325" s="90" t="s">
        <v>20</v>
      </c>
      <c r="C325" s="95"/>
      <c r="D325" s="95"/>
      <c r="E325" s="95"/>
      <c r="F325" s="95"/>
      <c r="G325" s="95"/>
      <c r="H325" s="1">
        <f t="shared" si="186"/>
        <v>0</v>
      </c>
      <c r="I325" s="1">
        <f t="shared" si="187"/>
        <v>0</v>
      </c>
      <c r="J325" s="1">
        <f t="shared" si="188"/>
        <v>0</v>
      </c>
      <c r="K325" s="1">
        <f t="shared" si="189"/>
        <v>0</v>
      </c>
      <c r="L325" s="1">
        <f t="shared" si="190"/>
        <v>0</v>
      </c>
      <c r="M325" s="1">
        <f t="shared" si="191"/>
        <v>0</v>
      </c>
      <c r="N325" s="1">
        <f t="shared" si="192"/>
        <v>0</v>
      </c>
      <c r="O325" s="119"/>
      <c r="P325" s="119"/>
    </row>
    <row r="326" spans="1:16" ht="22.5" x14ac:dyDescent="0.25">
      <c r="A326" s="119"/>
      <c r="B326" s="90" t="s">
        <v>23</v>
      </c>
      <c r="C326" s="95"/>
      <c r="D326" s="95"/>
      <c r="E326" s="95"/>
      <c r="F326" s="95"/>
      <c r="G326" s="95"/>
      <c r="H326" s="1">
        <f t="shared" si="186"/>
        <v>0</v>
      </c>
      <c r="I326" s="1">
        <f t="shared" si="187"/>
        <v>0</v>
      </c>
      <c r="J326" s="1">
        <f t="shared" si="188"/>
        <v>0</v>
      </c>
      <c r="K326" s="1">
        <f t="shared" si="189"/>
        <v>0</v>
      </c>
      <c r="L326" s="1">
        <f t="shared" si="190"/>
        <v>0</v>
      </c>
      <c r="M326" s="1">
        <f t="shared" si="191"/>
        <v>0</v>
      </c>
      <c r="N326" s="1">
        <f t="shared" si="192"/>
        <v>0</v>
      </c>
      <c r="O326" s="119"/>
      <c r="P326" s="119"/>
    </row>
    <row r="327" spans="1:16" x14ac:dyDescent="0.25">
      <c r="A327" s="119"/>
      <c r="B327" s="90" t="s">
        <v>21</v>
      </c>
      <c r="C327" s="95"/>
      <c r="D327" s="95"/>
      <c r="E327" s="95"/>
      <c r="F327" s="95"/>
      <c r="G327" s="95"/>
      <c r="H327" s="1">
        <f t="shared" ref="H327:H329" si="193">I327+J327+K327+L327</f>
        <v>0</v>
      </c>
      <c r="I327" s="1">
        <f t="shared" ref="I327:I328" si="194">J327+K327+L327+M327</f>
        <v>0</v>
      </c>
      <c r="J327" s="1">
        <f t="shared" ref="J327:J328" si="195">K327+L327+M327+N327</f>
        <v>0</v>
      </c>
      <c r="K327" s="1">
        <f t="shared" ref="K327:K328" si="196">L327+M327+N327+O327</f>
        <v>0</v>
      </c>
      <c r="L327" s="1">
        <f t="shared" ref="L327:L328" si="197">M327+N327+O327+P327</f>
        <v>0</v>
      </c>
      <c r="M327" s="1">
        <f t="shared" ref="M327:M328" si="198">N327+O327+P327+Q327</f>
        <v>0</v>
      </c>
      <c r="N327" s="1">
        <f t="shared" ref="N327:N328" si="199">O327+P327+Q327+R327</f>
        <v>0</v>
      </c>
      <c r="O327" s="119"/>
      <c r="P327" s="119"/>
    </row>
    <row r="328" spans="1:16" ht="22.5" x14ac:dyDescent="0.25">
      <c r="A328" s="119"/>
      <c r="B328" s="90" t="s">
        <v>22</v>
      </c>
      <c r="C328" s="95"/>
      <c r="D328" s="95"/>
      <c r="E328" s="95"/>
      <c r="F328" s="95"/>
      <c r="G328" s="95"/>
      <c r="H328" s="1">
        <f t="shared" si="193"/>
        <v>0</v>
      </c>
      <c r="I328" s="1">
        <f t="shared" si="194"/>
        <v>0</v>
      </c>
      <c r="J328" s="1">
        <f t="shared" si="195"/>
        <v>0</v>
      </c>
      <c r="K328" s="1">
        <f t="shared" si="196"/>
        <v>0</v>
      </c>
      <c r="L328" s="1">
        <f t="shared" si="197"/>
        <v>0</v>
      </c>
      <c r="M328" s="1">
        <f t="shared" si="198"/>
        <v>0</v>
      </c>
      <c r="N328" s="1">
        <f t="shared" si="199"/>
        <v>0</v>
      </c>
      <c r="O328" s="119"/>
      <c r="P328" s="119"/>
    </row>
    <row r="329" spans="1:16" x14ac:dyDescent="0.25">
      <c r="A329" s="120"/>
      <c r="B329" s="92" t="s">
        <v>130</v>
      </c>
      <c r="C329" s="7"/>
      <c r="D329" s="7"/>
      <c r="E329" s="7"/>
      <c r="F329" s="7"/>
      <c r="G329" s="7"/>
      <c r="H329" s="53">
        <f t="shared" si="193"/>
        <v>0</v>
      </c>
      <c r="I329" s="55">
        <v>0</v>
      </c>
      <c r="J329" s="55">
        <v>0</v>
      </c>
      <c r="K329" s="55">
        <v>0</v>
      </c>
      <c r="L329" s="55">
        <v>0</v>
      </c>
      <c r="M329" s="55">
        <v>0</v>
      </c>
      <c r="N329" s="55">
        <v>0</v>
      </c>
      <c r="O329" s="120"/>
      <c r="P329" s="120"/>
    </row>
    <row r="330" spans="1:16" ht="33.75" customHeight="1" x14ac:dyDescent="0.25">
      <c r="A330" s="118" t="s">
        <v>76</v>
      </c>
      <c r="B330" s="90" t="s">
        <v>48</v>
      </c>
      <c r="C330" s="95"/>
      <c r="D330" s="95"/>
      <c r="E330" s="95"/>
      <c r="F330" s="95"/>
      <c r="G330" s="95"/>
      <c r="H330" s="56">
        <v>4</v>
      </c>
      <c r="I330" s="56">
        <v>1</v>
      </c>
      <c r="J330" s="56">
        <v>1</v>
      </c>
      <c r="K330" s="56">
        <v>1</v>
      </c>
      <c r="L330" s="56">
        <v>1</v>
      </c>
      <c r="M330" s="56">
        <v>4</v>
      </c>
      <c r="N330" s="56">
        <v>4</v>
      </c>
      <c r="O330" s="118" t="s">
        <v>86</v>
      </c>
      <c r="P330" s="118" t="s">
        <v>93</v>
      </c>
    </row>
    <row r="331" spans="1:16" x14ac:dyDescent="0.25">
      <c r="A331" s="119"/>
      <c r="B331" s="90" t="s">
        <v>17</v>
      </c>
      <c r="C331" s="95"/>
      <c r="D331" s="95"/>
      <c r="E331" s="95"/>
      <c r="F331" s="95"/>
      <c r="G331" s="95"/>
      <c r="H331" s="56"/>
      <c r="I331" s="56" t="s">
        <v>73</v>
      </c>
      <c r="J331" s="56" t="s">
        <v>73</v>
      </c>
      <c r="K331" s="56" t="s">
        <v>73</v>
      </c>
      <c r="L331" s="56" t="s">
        <v>73</v>
      </c>
      <c r="M331" s="3"/>
      <c r="N331" s="3"/>
      <c r="O331" s="119"/>
      <c r="P331" s="119"/>
    </row>
    <row r="332" spans="1:16" ht="22.5" x14ac:dyDescent="0.25">
      <c r="A332" s="119"/>
      <c r="B332" s="90" t="s">
        <v>54</v>
      </c>
      <c r="C332" s="95"/>
      <c r="D332" s="95"/>
      <c r="E332" s="95"/>
      <c r="F332" s="95"/>
      <c r="G332" s="95"/>
      <c r="H332" s="1">
        <f t="shared" ref="H332:H334" si="200">I332+J332+K332+L332</f>
        <v>0</v>
      </c>
      <c r="I332" s="1">
        <f t="shared" ref="I332:I334" si="201">J332+K332+L332+M332</f>
        <v>0</v>
      </c>
      <c r="J332" s="1">
        <f t="shared" ref="J332:J334" si="202">K332+L332+M332+N332</f>
        <v>0</v>
      </c>
      <c r="K332" s="1">
        <f t="shared" ref="K332:K334" si="203">L332+M332+N332+O332</f>
        <v>0</v>
      </c>
      <c r="L332" s="1">
        <f t="shared" ref="L332:L334" si="204">M332+N332+O332+P332</f>
        <v>0</v>
      </c>
      <c r="M332" s="1">
        <f t="shared" ref="M332:M334" si="205">N332+O332+P332+Q332</f>
        <v>0</v>
      </c>
      <c r="N332" s="1">
        <f t="shared" ref="N332:N334" si="206">O332+P332+Q332+R332</f>
        <v>0</v>
      </c>
      <c r="O332" s="119"/>
      <c r="P332" s="119"/>
    </row>
    <row r="333" spans="1:16" x14ac:dyDescent="0.25">
      <c r="A333" s="119"/>
      <c r="B333" s="90" t="s">
        <v>20</v>
      </c>
      <c r="C333" s="95"/>
      <c r="D333" s="95"/>
      <c r="E333" s="95"/>
      <c r="F333" s="95"/>
      <c r="G333" s="95"/>
      <c r="H333" s="1">
        <f t="shared" si="200"/>
        <v>0</v>
      </c>
      <c r="I333" s="1">
        <f t="shared" si="201"/>
        <v>0</v>
      </c>
      <c r="J333" s="1">
        <f t="shared" si="202"/>
        <v>0</v>
      </c>
      <c r="K333" s="1">
        <f t="shared" si="203"/>
        <v>0</v>
      </c>
      <c r="L333" s="1">
        <f t="shared" si="204"/>
        <v>0</v>
      </c>
      <c r="M333" s="1">
        <f t="shared" si="205"/>
        <v>0</v>
      </c>
      <c r="N333" s="1">
        <f t="shared" si="206"/>
        <v>0</v>
      </c>
      <c r="O333" s="119"/>
      <c r="P333" s="119"/>
    </row>
    <row r="334" spans="1:16" ht="22.5" x14ac:dyDescent="0.25">
      <c r="A334" s="119"/>
      <c r="B334" s="90" t="s">
        <v>23</v>
      </c>
      <c r="C334" s="95"/>
      <c r="D334" s="95"/>
      <c r="E334" s="95"/>
      <c r="F334" s="95"/>
      <c r="G334" s="95"/>
      <c r="H334" s="1">
        <f t="shared" si="200"/>
        <v>0</v>
      </c>
      <c r="I334" s="1">
        <f t="shared" si="201"/>
        <v>0</v>
      </c>
      <c r="J334" s="1">
        <f t="shared" si="202"/>
        <v>0</v>
      </c>
      <c r="K334" s="1">
        <f t="shared" si="203"/>
        <v>0</v>
      </c>
      <c r="L334" s="1">
        <f t="shared" si="204"/>
        <v>0</v>
      </c>
      <c r="M334" s="1">
        <f t="shared" si="205"/>
        <v>0</v>
      </c>
      <c r="N334" s="1">
        <f t="shared" si="206"/>
        <v>0</v>
      </c>
      <c r="O334" s="119"/>
      <c r="P334" s="119"/>
    </row>
    <row r="335" spans="1:16" x14ac:dyDescent="0.25">
      <c r="A335" s="119"/>
      <c r="B335" s="90" t="s">
        <v>21</v>
      </c>
      <c r="C335" s="95"/>
      <c r="D335" s="95"/>
      <c r="E335" s="95"/>
      <c r="F335" s="95"/>
      <c r="G335" s="95"/>
      <c r="H335" s="1">
        <f t="shared" ref="H335:H340" si="207">I335+J335+K335+L335</f>
        <v>0</v>
      </c>
      <c r="I335" s="1">
        <f t="shared" ref="I335:I340" si="208">J335+K335+L335+M335</f>
        <v>0</v>
      </c>
      <c r="J335" s="1">
        <f t="shared" ref="J335:J340" si="209">K335+L335+M335+N335</f>
        <v>0</v>
      </c>
      <c r="K335" s="1">
        <f t="shared" ref="K335:K340" si="210">L335+M335+N335+O335</f>
        <v>0</v>
      </c>
      <c r="L335" s="1">
        <f t="shared" ref="L335:L340" si="211">M335+N335+O335+P335</f>
        <v>0</v>
      </c>
      <c r="M335" s="1">
        <f t="shared" ref="M335:M340" si="212">N335+O335+P335+Q335</f>
        <v>0</v>
      </c>
      <c r="N335" s="1">
        <f t="shared" ref="N335:N340" si="213">O335+P335+Q335+R335</f>
        <v>0</v>
      </c>
      <c r="O335" s="119"/>
      <c r="P335" s="119"/>
    </row>
    <row r="336" spans="1:16" ht="22.5" x14ac:dyDescent="0.25">
      <c r="A336" s="119"/>
      <c r="B336" s="90" t="s">
        <v>22</v>
      </c>
      <c r="C336" s="95"/>
      <c r="D336" s="95"/>
      <c r="E336" s="95"/>
      <c r="F336" s="95"/>
      <c r="G336" s="95"/>
      <c r="H336" s="1">
        <f t="shared" si="207"/>
        <v>0</v>
      </c>
      <c r="I336" s="1">
        <f t="shared" si="208"/>
        <v>0</v>
      </c>
      <c r="J336" s="1">
        <f t="shared" si="209"/>
        <v>0</v>
      </c>
      <c r="K336" s="1">
        <f t="shared" si="210"/>
        <v>0</v>
      </c>
      <c r="L336" s="1">
        <f t="shared" si="211"/>
        <v>0</v>
      </c>
      <c r="M336" s="1">
        <f t="shared" si="212"/>
        <v>0</v>
      </c>
      <c r="N336" s="1">
        <f t="shared" si="213"/>
        <v>0</v>
      </c>
      <c r="O336" s="119"/>
      <c r="P336" s="119"/>
    </row>
    <row r="337" spans="1:16" x14ac:dyDescent="0.25">
      <c r="A337" s="120"/>
      <c r="B337" s="92" t="s">
        <v>130</v>
      </c>
      <c r="C337" s="7"/>
      <c r="D337" s="7"/>
      <c r="E337" s="7"/>
      <c r="F337" s="7"/>
      <c r="G337" s="7"/>
      <c r="H337" s="53">
        <f t="shared" si="207"/>
        <v>0</v>
      </c>
      <c r="I337" s="55">
        <v>0</v>
      </c>
      <c r="J337" s="55">
        <v>0</v>
      </c>
      <c r="K337" s="55">
        <v>0</v>
      </c>
      <c r="L337" s="55">
        <v>0</v>
      </c>
      <c r="M337" s="55">
        <v>0</v>
      </c>
      <c r="N337" s="55">
        <v>0</v>
      </c>
      <c r="O337" s="120"/>
      <c r="P337" s="120"/>
    </row>
    <row r="338" spans="1:16" ht="15" customHeight="1" x14ac:dyDescent="0.25">
      <c r="A338" s="118" t="s">
        <v>74</v>
      </c>
      <c r="B338" s="90" t="s">
        <v>30</v>
      </c>
      <c r="C338" s="95"/>
      <c r="D338" s="95"/>
      <c r="E338" s="95"/>
      <c r="F338" s="95"/>
      <c r="G338" s="95"/>
      <c r="H338" s="1">
        <f t="shared" si="207"/>
        <v>0</v>
      </c>
      <c r="I338" s="1">
        <f t="shared" si="208"/>
        <v>0</v>
      </c>
      <c r="J338" s="1">
        <f t="shared" si="209"/>
        <v>0</v>
      </c>
      <c r="K338" s="1">
        <f t="shared" si="210"/>
        <v>0</v>
      </c>
      <c r="L338" s="1">
        <f t="shared" si="211"/>
        <v>0</v>
      </c>
      <c r="M338" s="1">
        <f t="shared" si="212"/>
        <v>0</v>
      </c>
      <c r="N338" s="1">
        <f t="shared" si="213"/>
        <v>0</v>
      </c>
      <c r="O338" s="131"/>
      <c r="P338" s="131"/>
    </row>
    <row r="339" spans="1:16" x14ac:dyDescent="0.25">
      <c r="A339" s="119"/>
      <c r="B339" s="90" t="s">
        <v>20</v>
      </c>
      <c r="C339" s="95"/>
      <c r="D339" s="95"/>
      <c r="E339" s="95"/>
      <c r="F339" s="95"/>
      <c r="G339" s="95"/>
      <c r="H339" s="1">
        <f t="shared" si="207"/>
        <v>0</v>
      </c>
      <c r="I339" s="1">
        <f t="shared" si="208"/>
        <v>0</v>
      </c>
      <c r="J339" s="1">
        <f t="shared" si="209"/>
        <v>0</v>
      </c>
      <c r="K339" s="1">
        <f t="shared" si="210"/>
        <v>0</v>
      </c>
      <c r="L339" s="1">
        <f t="shared" si="211"/>
        <v>0</v>
      </c>
      <c r="M339" s="1">
        <f t="shared" si="212"/>
        <v>0</v>
      </c>
      <c r="N339" s="1">
        <f t="shared" si="213"/>
        <v>0</v>
      </c>
      <c r="O339" s="132"/>
      <c r="P339" s="132"/>
    </row>
    <row r="340" spans="1:16" ht="22.5" x14ac:dyDescent="0.25">
      <c r="A340" s="119"/>
      <c r="B340" s="90" t="s">
        <v>23</v>
      </c>
      <c r="C340" s="95"/>
      <c r="D340" s="95"/>
      <c r="E340" s="95"/>
      <c r="F340" s="95"/>
      <c r="G340" s="95"/>
      <c r="H340" s="1">
        <f t="shared" si="207"/>
        <v>0</v>
      </c>
      <c r="I340" s="1">
        <f t="shared" si="208"/>
        <v>0</v>
      </c>
      <c r="J340" s="1">
        <f t="shared" si="209"/>
        <v>0</v>
      </c>
      <c r="K340" s="1">
        <f t="shared" si="210"/>
        <v>0</v>
      </c>
      <c r="L340" s="1">
        <f t="shared" si="211"/>
        <v>0</v>
      </c>
      <c r="M340" s="1">
        <f t="shared" si="212"/>
        <v>0</v>
      </c>
      <c r="N340" s="1">
        <f t="shared" si="213"/>
        <v>0</v>
      </c>
      <c r="O340" s="132"/>
      <c r="P340" s="132"/>
    </row>
    <row r="341" spans="1:16" x14ac:dyDescent="0.25">
      <c r="A341" s="119"/>
      <c r="B341" s="90" t="s">
        <v>21</v>
      </c>
      <c r="C341" s="95"/>
      <c r="D341" s="95"/>
      <c r="E341" s="95"/>
      <c r="F341" s="95"/>
      <c r="G341" s="95"/>
      <c r="H341" s="1">
        <f t="shared" ref="H341:H343" si="214">I341+J341+K341+L341</f>
        <v>0</v>
      </c>
      <c r="I341" s="1">
        <f t="shared" ref="I341:I342" si="215">J341+K341+L341+M341</f>
        <v>0</v>
      </c>
      <c r="J341" s="1">
        <f t="shared" ref="J341:J342" si="216">K341+L341+M341+N341</f>
        <v>0</v>
      </c>
      <c r="K341" s="1">
        <f t="shared" ref="K341:K342" si="217">L341+M341+N341+O341</f>
        <v>0</v>
      </c>
      <c r="L341" s="1">
        <f t="shared" ref="L341:L342" si="218">M341+N341+O341+P341</f>
        <v>0</v>
      </c>
      <c r="M341" s="1">
        <f t="shared" ref="M341:M342" si="219">N341+O341+P341+Q341</f>
        <v>0</v>
      </c>
      <c r="N341" s="1">
        <f t="shared" ref="N341:N342" si="220">O341+P341+Q341+R341</f>
        <v>0</v>
      </c>
      <c r="O341" s="132"/>
      <c r="P341" s="132"/>
    </row>
    <row r="342" spans="1:16" ht="22.5" x14ac:dyDescent="0.25">
      <c r="A342" s="119"/>
      <c r="B342" s="90" t="s">
        <v>22</v>
      </c>
      <c r="C342" s="95"/>
      <c r="D342" s="95"/>
      <c r="E342" s="95"/>
      <c r="F342" s="95"/>
      <c r="G342" s="95"/>
      <c r="H342" s="1">
        <f t="shared" si="214"/>
        <v>0</v>
      </c>
      <c r="I342" s="1">
        <f t="shared" si="215"/>
        <v>0</v>
      </c>
      <c r="J342" s="1">
        <f t="shared" si="216"/>
        <v>0</v>
      </c>
      <c r="K342" s="1">
        <f t="shared" si="217"/>
        <v>0</v>
      </c>
      <c r="L342" s="1">
        <f t="shared" si="218"/>
        <v>0</v>
      </c>
      <c r="M342" s="1">
        <f t="shared" si="219"/>
        <v>0</v>
      </c>
      <c r="N342" s="1">
        <f t="shared" si="220"/>
        <v>0</v>
      </c>
      <c r="O342" s="132"/>
      <c r="P342" s="132"/>
    </row>
    <row r="343" spans="1:16" x14ac:dyDescent="0.25">
      <c r="A343" s="120"/>
      <c r="B343" s="92" t="s">
        <v>130</v>
      </c>
      <c r="C343" s="7"/>
      <c r="D343" s="7"/>
      <c r="E343" s="7"/>
      <c r="F343" s="7"/>
      <c r="G343" s="7"/>
      <c r="H343" s="53">
        <f t="shared" si="214"/>
        <v>0</v>
      </c>
      <c r="I343" s="55">
        <v>0</v>
      </c>
      <c r="J343" s="55">
        <v>0</v>
      </c>
      <c r="K343" s="55">
        <v>0</v>
      </c>
      <c r="L343" s="55">
        <v>0</v>
      </c>
      <c r="M343" s="55">
        <v>0</v>
      </c>
      <c r="N343" s="55">
        <v>0</v>
      </c>
      <c r="O343" s="133"/>
      <c r="P343" s="133"/>
    </row>
    <row r="344" spans="1:16" ht="15" customHeight="1" x14ac:dyDescent="0.25">
      <c r="A344" s="118" t="s">
        <v>49</v>
      </c>
      <c r="B344" s="96" t="s">
        <v>30</v>
      </c>
      <c r="C344" s="95"/>
      <c r="D344" s="95"/>
      <c r="E344" s="95"/>
      <c r="F344" s="95"/>
      <c r="G344" s="95"/>
      <c r="H344" s="1">
        <f>H345+H346+H347+H348</f>
        <v>154550</v>
      </c>
      <c r="I344" s="1">
        <f>I345+I346+I347+I348</f>
        <v>0</v>
      </c>
      <c r="J344" s="1">
        <f t="shared" ref="J344:N344" si="221">J345+J346+J347+J348</f>
        <v>0</v>
      </c>
      <c r="K344" s="1">
        <f t="shared" si="221"/>
        <v>0</v>
      </c>
      <c r="L344" s="1">
        <f t="shared" si="221"/>
        <v>154550</v>
      </c>
      <c r="M344" s="1">
        <f t="shared" si="221"/>
        <v>143850</v>
      </c>
      <c r="N344" s="1">
        <f t="shared" si="221"/>
        <v>0</v>
      </c>
      <c r="O344" s="131"/>
      <c r="P344" s="131"/>
    </row>
    <row r="345" spans="1:16" x14ac:dyDescent="0.25">
      <c r="A345" s="119"/>
      <c r="B345" s="96" t="s">
        <v>20</v>
      </c>
      <c r="C345" s="95"/>
      <c r="D345" s="95"/>
      <c r="E345" s="95"/>
      <c r="F345" s="95"/>
      <c r="G345" s="95"/>
      <c r="H345" s="1">
        <f t="shared" ref="H345:H347" si="222">I345+J345+K345+L345</f>
        <v>23800</v>
      </c>
      <c r="I345" s="1">
        <f>I325+I316</f>
        <v>0</v>
      </c>
      <c r="J345" s="1">
        <f t="shared" ref="J345:N345" si="223">J325+J316</f>
        <v>0</v>
      </c>
      <c r="K345" s="1">
        <f t="shared" si="223"/>
        <v>0</v>
      </c>
      <c r="L345" s="1">
        <f t="shared" si="223"/>
        <v>23800</v>
      </c>
      <c r="M345" s="1">
        <f t="shared" si="223"/>
        <v>22100</v>
      </c>
      <c r="N345" s="1">
        <f t="shared" si="223"/>
        <v>0</v>
      </c>
      <c r="O345" s="132"/>
      <c r="P345" s="132"/>
    </row>
    <row r="346" spans="1:16" ht="22.5" x14ac:dyDescent="0.25">
      <c r="A346" s="119"/>
      <c r="B346" s="96" t="s">
        <v>23</v>
      </c>
      <c r="C346" s="95"/>
      <c r="D346" s="95"/>
      <c r="E346" s="95"/>
      <c r="F346" s="95"/>
      <c r="G346" s="95"/>
      <c r="H346" s="1">
        <f t="shared" si="222"/>
        <v>120550</v>
      </c>
      <c r="I346" s="1">
        <f>I326+I317</f>
        <v>0</v>
      </c>
      <c r="J346" s="1">
        <f t="shared" ref="J346:N348" si="224">J326+J317</f>
        <v>0</v>
      </c>
      <c r="K346" s="1">
        <f t="shared" si="224"/>
        <v>0</v>
      </c>
      <c r="L346" s="1">
        <f t="shared" si="224"/>
        <v>120550</v>
      </c>
      <c r="M346" s="1">
        <f t="shared" si="224"/>
        <v>112250</v>
      </c>
      <c r="N346" s="1">
        <f t="shared" si="224"/>
        <v>0</v>
      </c>
      <c r="O346" s="132"/>
      <c r="P346" s="132"/>
    </row>
    <row r="347" spans="1:16" x14ac:dyDescent="0.25">
      <c r="A347" s="119"/>
      <c r="B347" s="96" t="s">
        <v>21</v>
      </c>
      <c r="C347" s="95"/>
      <c r="D347" s="95"/>
      <c r="E347" s="95"/>
      <c r="F347" s="95"/>
      <c r="G347" s="95"/>
      <c r="H347" s="1">
        <f t="shared" si="222"/>
        <v>10200</v>
      </c>
      <c r="I347" s="1">
        <f>I327+I318</f>
        <v>0</v>
      </c>
      <c r="J347" s="1">
        <f t="shared" si="224"/>
        <v>0</v>
      </c>
      <c r="K347" s="1">
        <f t="shared" si="224"/>
        <v>0</v>
      </c>
      <c r="L347" s="1">
        <f t="shared" si="224"/>
        <v>10200</v>
      </c>
      <c r="M347" s="1">
        <f t="shared" si="224"/>
        <v>9500</v>
      </c>
      <c r="N347" s="1">
        <f t="shared" si="224"/>
        <v>0</v>
      </c>
      <c r="O347" s="132"/>
      <c r="P347" s="132"/>
    </row>
    <row r="348" spans="1:16" ht="22.5" x14ac:dyDescent="0.25">
      <c r="A348" s="119"/>
      <c r="B348" s="96" t="s">
        <v>22</v>
      </c>
      <c r="C348" s="95"/>
      <c r="D348" s="95"/>
      <c r="E348" s="95"/>
      <c r="F348" s="95"/>
      <c r="G348" s="95"/>
      <c r="H348" s="1">
        <f>I348+J348+K348+L348</f>
        <v>0</v>
      </c>
      <c r="I348" s="1">
        <f>I328+I319</f>
        <v>0</v>
      </c>
      <c r="J348" s="1">
        <f t="shared" si="224"/>
        <v>0</v>
      </c>
      <c r="K348" s="1">
        <f t="shared" si="224"/>
        <v>0</v>
      </c>
      <c r="L348" s="1">
        <f t="shared" si="224"/>
        <v>0</v>
      </c>
      <c r="M348" s="1">
        <f t="shared" si="224"/>
        <v>0</v>
      </c>
      <c r="N348" s="1">
        <f t="shared" si="224"/>
        <v>0</v>
      </c>
      <c r="O348" s="132"/>
      <c r="P348" s="132"/>
    </row>
    <row r="349" spans="1:16" x14ac:dyDescent="0.25">
      <c r="A349" s="120"/>
      <c r="B349" s="92" t="s">
        <v>130</v>
      </c>
      <c r="C349" s="7"/>
      <c r="D349" s="7"/>
      <c r="E349" s="7"/>
      <c r="F349" s="7"/>
      <c r="G349" s="7"/>
      <c r="H349" s="53">
        <f t="shared" ref="H349" si="225">I349+J349+K349+L349</f>
        <v>0</v>
      </c>
      <c r="I349" s="55">
        <v>0</v>
      </c>
      <c r="J349" s="55">
        <v>0</v>
      </c>
      <c r="K349" s="55">
        <v>0</v>
      </c>
      <c r="L349" s="55">
        <v>0</v>
      </c>
      <c r="M349" s="55">
        <v>0</v>
      </c>
      <c r="N349" s="55">
        <v>0</v>
      </c>
      <c r="O349" s="133"/>
      <c r="P349" s="133"/>
    </row>
    <row r="350" spans="1:16" ht="21" x14ac:dyDescent="0.25">
      <c r="A350" s="194" t="s">
        <v>50</v>
      </c>
      <c r="B350" s="93" t="s">
        <v>30</v>
      </c>
      <c r="C350" s="94"/>
      <c r="D350" s="94"/>
      <c r="E350" s="94"/>
      <c r="F350" s="94"/>
      <c r="G350" s="94"/>
      <c r="H350" s="59">
        <f>H351+H352+H353+H354</f>
        <v>1404663.6</v>
      </c>
      <c r="I350" s="59">
        <f t="shared" ref="I350:N350" si="226">I351+I352+I353+I354</f>
        <v>30351.599999999999</v>
      </c>
      <c r="J350" s="59">
        <f t="shared" si="226"/>
        <v>262545</v>
      </c>
      <c r="K350" s="59">
        <f t="shared" si="226"/>
        <v>271796.88</v>
      </c>
      <c r="L350" s="59">
        <f t="shared" si="226"/>
        <v>839970.12</v>
      </c>
      <c r="M350" s="59">
        <f t="shared" si="226"/>
        <v>1022400.7</v>
      </c>
      <c r="N350" s="59">
        <f t="shared" si="226"/>
        <v>1482658.6</v>
      </c>
      <c r="O350" s="195"/>
      <c r="P350" s="195"/>
    </row>
    <row r="351" spans="1:16" x14ac:dyDescent="0.25">
      <c r="A351" s="194"/>
      <c r="B351" s="93" t="s">
        <v>20</v>
      </c>
      <c r="C351" s="94"/>
      <c r="D351" s="94"/>
      <c r="E351" s="94"/>
      <c r="F351" s="94"/>
      <c r="G351" s="94"/>
      <c r="H351" s="59">
        <f>I351+J351+K351+L351</f>
        <v>976991.6</v>
      </c>
      <c r="I351" s="59">
        <f t="shared" ref="I351:J354" si="227">I276+I345</f>
        <v>16701.599999999999</v>
      </c>
      <c r="J351" s="59">
        <f t="shared" si="227"/>
        <v>165035</v>
      </c>
      <c r="K351" s="59">
        <f t="shared" ref="K351:M351" si="228">K276+K345</f>
        <v>115886.87999999999</v>
      </c>
      <c r="L351" s="59">
        <f t="shared" si="228"/>
        <v>679368.12</v>
      </c>
      <c r="M351" s="59">
        <f t="shared" si="228"/>
        <v>721998.7</v>
      </c>
      <c r="N351" s="59">
        <f>N276+N345</f>
        <v>1308208.6000000001</v>
      </c>
      <c r="O351" s="195"/>
      <c r="P351" s="195"/>
    </row>
    <row r="352" spans="1:16" ht="21" customHeight="1" x14ac:dyDescent="0.25">
      <c r="A352" s="194"/>
      <c r="B352" s="93" t="s">
        <v>23</v>
      </c>
      <c r="C352" s="60"/>
      <c r="D352" s="60"/>
      <c r="E352" s="60"/>
      <c r="F352" s="60"/>
      <c r="G352" s="60"/>
      <c r="H352" s="59">
        <f t="shared" ref="H352" si="229">I352+J352+K352+L352</f>
        <v>120550</v>
      </c>
      <c r="I352" s="59">
        <f t="shared" si="227"/>
        <v>0</v>
      </c>
      <c r="J352" s="59">
        <f t="shared" si="227"/>
        <v>0</v>
      </c>
      <c r="K352" s="59">
        <f t="shared" ref="K352:M354" si="230">K277+K346</f>
        <v>0</v>
      </c>
      <c r="L352" s="59">
        <f t="shared" si="230"/>
        <v>120550</v>
      </c>
      <c r="M352" s="59">
        <f t="shared" si="230"/>
        <v>112250</v>
      </c>
      <c r="N352" s="59">
        <f>N277+N346</f>
        <v>0</v>
      </c>
      <c r="O352" s="195"/>
      <c r="P352" s="195"/>
    </row>
    <row r="353" spans="1:16" x14ac:dyDescent="0.25">
      <c r="A353" s="194"/>
      <c r="B353" s="93" t="s">
        <v>21</v>
      </c>
      <c r="C353" s="94"/>
      <c r="D353" s="94"/>
      <c r="E353" s="94"/>
      <c r="F353" s="94"/>
      <c r="G353" s="94"/>
      <c r="H353" s="59">
        <f>I353+J353+K353+L353</f>
        <v>296920</v>
      </c>
      <c r="I353" s="59">
        <f t="shared" si="227"/>
        <v>13650</v>
      </c>
      <c r="J353" s="59">
        <f t="shared" si="227"/>
        <v>97510</v>
      </c>
      <c r="K353" s="59">
        <f t="shared" si="230"/>
        <v>155910</v>
      </c>
      <c r="L353" s="59">
        <f t="shared" si="230"/>
        <v>29850</v>
      </c>
      <c r="M353" s="59">
        <f t="shared" si="230"/>
        <v>179500</v>
      </c>
      <c r="N353" s="59">
        <f>N278+N347</f>
        <v>170000</v>
      </c>
      <c r="O353" s="195"/>
      <c r="P353" s="195"/>
    </row>
    <row r="354" spans="1:16" ht="21" x14ac:dyDescent="0.25">
      <c r="A354" s="194"/>
      <c r="B354" s="93" t="s">
        <v>22</v>
      </c>
      <c r="C354" s="94"/>
      <c r="D354" s="94"/>
      <c r="E354" s="94"/>
      <c r="F354" s="94"/>
      <c r="G354" s="94"/>
      <c r="H354" s="59">
        <f>I354+J354+K354+L354</f>
        <v>10202</v>
      </c>
      <c r="I354" s="59">
        <f t="shared" si="227"/>
        <v>0</v>
      </c>
      <c r="J354" s="59">
        <f t="shared" si="227"/>
        <v>0</v>
      </c>
      <c r="K354" s="59">
        <f t="shared" si="230"/>
        <v>0</v>
      </c>
      <c r="L354" s="59">
        <f t="shared" si="230"/>
        <v>10202</v>
      </c>
      <c r="M354" s="59">
        <f t="shared" si="230"/>
        <v>8652</v>
      </c>
      <c r="N354" s="59">
        <f>N279+N348</f>
        <v>4450</v>
      </c>
      <c r="O354" s="195"/>
      <c r="P354" s="195"/>
    </row>
    <row r="355" spans="1:16" ht="21" x14ac:dyDescent="0.25">
      <c r="A355" s="194"/>
      <c r="B355" s="93" t="s">
        <v>130</v>
      </c>
      <c r="C355" s="94"/>
      <c r="D355" s="94"/>
      <c r="E355" s="94"/>
      <c r="F355" s="94"/>
      <c r="G355" s="94"/>
      <c r="H355" s="59">
        <f>I355+J355+K355+L355</f>
        <v>0</v>
      </c>
      <c r="I355" s="59">
        <v>0</v>
      </c>
      <c r="J355" s="59">
        <v>0</v>
      </c>
      <c r="K355" s="59">
        <v>0</v>
      </c>
      <c r="L355" s="59">
        <v>0</v>
      </c>
      <c r="M355" s="59">
        <v>0</v>
      </c>
      <c r="N355" s="59">
        <v>0</v>
      </c>
      <c r="O355" s="195"/>
      <c r="P355" s="195"/>
    </row>
    <row r="356" spans="1:16" ht="52.9" customHeight="1" x14ac:dyDescent="0.25">
      <c r="A356" s="127" t="s">
        <v>85</v>
      </c>
      <c r="B356" s="127"/>
      <c r="C356" s="127"/>
      <c r="D356" s="127"/>
      <c r="E356" s="127"/>
      <c r="F356" s="127"/>
      <c r="G356" s="127"/>
      <c r="H356" s="127"/>
      <c r="I356" s="127"/>
      <c r="J356" s="127"/>
      <c r="K356" s="127"/>
      <c r="L356" s="127"/>
      <c r="M356" s="127"/>
      <c r="N356" s="127"/>
      <c r="O356" s="127"/>
      <c r="P356" s="127"/>
    </row>
    <row r="357" spans="1:16" ht="18" customHeight="1" x14ac:dyDescent="0.25">
      <c r="A357" s="127"/>
      <c r="B357" s="127"/>
      <c r="C357" s="127"/>
      <c r="D357" s="127"/>
      <c r="E357" s="127"/>
      <c r="F357" s="127"/>
      <c r="G357" s="127"/>
      <c r="H357" s="127"/>
      <c r="I357" s="127"/>
      <c r="J357" s="127"/>
      <c r="K357" s="127"/>
      <c r="L357" s="127"/>
      <c r="M357" s="127"/>
      <c r="N357" s="127"/>
      <c r="O357" s="127"/>
      <c r="P357" s="127"/>
    </row>
    <row r="358" spans="1:16" ht="18" customHeight="1" x14ac:dyDescent="0.25">
      <c r="A358" s="127"/>
      <c r="B358" s="127"/>
      <c r="C358" s="127"/>
      <c r="D358" s="127"/>
      <c r="E358" s="127"/>
      <c r="F358" s="127"/>
      <c r="G358" s="127"/>
      <c r="H358" s="127"/>
      <c r="I358" s="127"/>
      <c r="J358" s="127"/>
      <c r="K358" s="127"/>
      <c r="L358" s="127"/>
      <c r="M358" s="127"/>
      <c r="N358" s="127"/>
      <c r="O358" s="127"/>
      <c r="P358" s="127"/>
    </row>
    <row r="359" spans="1:16" ht="18" customHeight="1" x14ac:dyDescent="0.25">
      <c r="A359" s="127"/>
      <c r="B359" s="127"/>
      <c r="C359" s="127"/>
      <c r="D359" s="127"/>
      <c r="E359" s="127"/>
      <c r="F359" s="127"/>
      <c r="G359" s="127"/>
      <c r="H359" s="127"/>
      <c r="I359" s="127"/>
      <c r="J359" s="127"/>
      <c r="K359" s="127"/>
      <c r="L359" s="127"/>
      <c r="M359" s="127"/>
      <c r="N359" s="127"/>
      <c r="O359" s="127"/>
      <c r="P359" s="127"/>
    </row>
    <row r="360" spans="1:16" ht="18" customHeight="1" x14ac:dyDescent="0.25">
      <c r="A360" s="127"/>
      <c r="B360" s="127"/>
      <c r="C360" s="127"/>
      <c r="D360" s="127"/>
      <c r="E360" s="127"/>
      <c r="F360" s="127"/>
      <c r="G360" s="127"/>
      <c r="H360" s="127"/>
      <c r="I360" s="127"/>
      <c r="J360" s="127"/>
      <c r="K360" s="127"/>
      <c r="L360" s="127"/>
      <c r="M360" s="127"/>
      <c r="N360" s="127"/>
      <c r="O360" s="127"/>
      <c r="P360" s="127"/>
    </row>
    <row r="361" spans="1:16" ht="18" customHeight="1" x14ac:dyDescent="0.25">
      <c r="A361" s="127"/>
      <c r="B361" s="127"/>
      <c r="C361" s="127"/>
      <c r="D361" s="127"/>
      <c r="E361" s="127"/>
      <c r="F361" s="127"/>
      <c r="G361" s="127"/>
      <c r="H361" s="127"/>
      <c r="I361" s="127"/>
      <c r="J361" s="127"/>
      <c r="K361" s="127"/>
      <c r="L361" s="127"/>
      <c r="M361" s="127"/>
      <c r="N361" s="127"/>
      <c r="O361" s="127"/>
      <c r="P361" s="127"/>
    </row>
    <row r="362" spans="1:16" ht="18" customHeight="1" x14ac:dyDescent="0.25">
      <c r="A362" s="127"/>
      <c r="B362" s="127"/>
      <c r="C362" s="127"/>
      <c r="D362" s="127"/>
      <c r="E362" s="127"/>
      <c r="F362" s="127"/>
      <c r="G362" s="127"/>
      <c r="H362" s="127"/>
      <c r="I362" s="127"/>
      <c r="J362" s="127"/>
      <c r="K362" s="127"/>
      <c r="L362" s="127"/>
      <c r="M362" s="127"/>
      <c r="N362" s="127"/>
      <c r="O362" s="127"/>
      <c r="P362" s="127"/>
    </row>
    <row r="363" spans="1:16" ht="18" customHeight="1" x14ac:dyDescent="0.25">
      <c r="A363" s="127"/>
      <c r="B363" s="127"/>
      <c r="C363" s="127"/>
      <c r="D363" s="127"/>
      <c r="E363" s="127"/>
      <c r="F363" s="127"/>
      <c r="G363" s="127"/>
      <c r="H363" s="127"/>
      <c r="I363" s="127"/>
      <c r="J363" s="127"/>
      <c r="K363" s="127"/>
      <c r="L363" s="127"/>
      <c r="M363" s="127"/>
      <c r="N363" s="127"/>
      <c r="O363" s="127"/>
      <c r="P363" s="127"/>
    </row>
    <row r="364" spans="1:16" ht="18" customHeight="1" x14ac:dyDescent="0.25">
      <c r="A364" s="127"/>
      <c r="B364" s="127"/>
      <c r="C364" s="127"/>
      <c r="D364" s="127"/>
      <c r="E364" s="127"/>
      <c r="F364" s="127"/>
      <c r="G364" s="127"/>
      <c r="H364" s="127"/>
      <c r="I364" s="127"/>
      <c r="J364" s="127"/>
      <c r="K364" s="127"/>
      <c r="L364" s="127"/>
      <c r="M364" s="127"/>
      <c r="N364" s="127"/>
      <c r="O364" s="127"/>
      <c r="P364" s="127"/>
    </row>
    <row r="365" spans="1:16" ht="18" customHeight="1" x14ac:dyDescent="0.25">
      <c r="A365" s="127"/>
      <c r="B365" s="127"/>
      <c r="C365" s="127"/>
      <c r="D365" s="127"/>
      <c r="E365" s="127"/>
      <c r="F365" s="127"/>
      <c r="G365" s="127"/>
      <c r="H365" s="127"/>
      <c r="I365" s="127"/>
      <c r="J365" s="127"/>
      <c r="K365" s="127"/>
      <c r="L365" s="127"/>
      <c r="M365" s="127"/>
      <c r="N365" s="127"/>
      <c r="O365" s="127"/>
      <c r="P365" s="127"/>
    </row>
    <row r="366" spans="1:16" ht="18" customHeight="1" x14ac:dyDescent="0.25">
      <c r="A366" s="127"/>
      <c r="B366" s="127"/>
      <c r="C366" s="127"/>
      <c r="D366" s="127"/>
      <c r="E366" s="127"/>
      <c r="F366" s="127"/>
      <c r="G366" s="127"/>
      <c r="H366" s="127"/>
      <c r="I366" s="127"/>
      <c r="J366" s="127"/>
      <c r="K366" s="127"/>
      <c r="L366" s="127"/>
      <c r="M366" s="127"/>
      <c r="N366" s="127"/>
      <c r="O366" s="127"/>
      <c r="P366" s="127"/>
    </row>
    <row r="367" spans="1:16" ht="18" customHeight="1" x14ac:dyDescent="0.25">
      <c r="A367" s="127"/>
      <c r="B367" s="127"/>
      <c r="C367" s="127"/>
      <c r="D367" s="127"/>
      <c r="E367" s="127"/>
      <c r="F367" s="127"/>
      <c r="G367" s="127"/>
      <c r="H367" s="127"/>
      <c r="I367" s="127"/>
      <c r="J367" s="127"/>
      <c r="K367" s="127"/>
      <c r="L367" s="127"/>
      <c r="M367" s="127"/>
      <c r="N367" s="127"/>
      <c r="O367" s="127"/>
      <c r="P367" s="127"/>
    </row>
    <row r="368" spans="1:16" ht="18" customHeight="1" x14ac:dyDescent="0.25">
      <c r="A368" s="127"/>
      <c r="B368" s="127"/>
      <c r="C368" s="127"/>
      <c r="D368" s="127"/>
      <c r="E368" s="127"/>
      <c r="F368" s="127"/>
      <c r="G368" s="127"/>
      <c r="H368" s="127"/>
      <c r="I368" s="127"/>
      <c r="J368" s="127"/>
      <c r="K368" s="127"/>
      <c r="L368" s="127"/>
      <c r="M368" s="127"/>
      <c r="N368" s="127"/>
      <c r="O368" s="127"/>
      <c r="P368" s="127"/>
    </row>
    <row r="369" spans="1:16" ht="18" customHeight="1" x14ac:dyDescent="0.25">
      <c r="A369" s="127"/>
      <c r="B369" s="127"/>
      <c r="C369" s="127"/>
      <c r="D369" s="127"/>
      <c r="E369" s="127"/>
      <c r="F369" s="127"/>
      <c r="G369" s="127"/>
      <c r="H369" s="127"/>
      <c r="I369" s="127"/>
      <c r="J369" s="127"/>
      <c r="K369" s="127"/>
      <c r="L369" s="127"/>
      <c r="M369" s="127"/>
      <c r="N369" s="127"/>
      <c r="O369" s="127"/>
      <c r="P369" s="127"/>
    </row>
    <row r="370" spans="1:16" ht="10.15" customHeight="1" thickBot="1" x14ac:dyDescent="0.3">
      <c r="A370" s="127"/>
      <c r="B370" s="127"/>
      <c r="C370" s="127"/>
      <c r="D370" s="127"/>
      <c r="E370" s="127"/>
      <c r="F370" s="127"/>
      <c r="G370" s="127"/>
      <c r="H370" s="127"/>
      <c r="I370" s="127"/>
      <c r="J370" s="127"/>
      <c r="K370" s="127"/>
      <c r="L370" s="127"/>
      <c r="M370" s="127"/>
      <c r="N370" s="127"/>
      <c r="O370" s="127"/>
      <c r="P370" s="127"/>
    </row>
    <row r="371" spans="1:16" ht="4.9000000000000004" hidden="1" customHeight="1" thickBot="1" x14ac:dyDescent="0.3">
      <c r="A371" s="127"/>
      <c r="B371" s="127"/>
      <c r="C371" s="127"/>
      <c r="D371" s="127"/>
      <c r="E371" s="127"/>
      <c r="F371" s="127"/>
      <c r="G371" s="127"/>
      <c r="H371" s="127"/>
      <c r="I371" s="127"/>
      <c r="J371" s="127"/>
      <c r="K371" s="127"/>
      <c r="L371" s="127"/>
      <c r="M371" s="127"/>
      <c r="N371" s="127"/>
      <c r="O371" s="127"/>
      <c r="P371" s="127"/>
    </row>
    <row r="372" spans="1:16" s="5" customFormat="1" ht="18.75" x14ac:dyDescent="0.3">
      <c r="A372" s="6"/>
      <c r="C372" s="10"/>
      <c r="D372" s="10"/>
      <c r="E372" s="10"/>
      <c r="F372" s="35" t="s">
        <v>92</v>
      </c>
      <c r="G372" s="36">
        <v>243</v>
      </c>
      <c r="H372" s="14" t="e">
        <f>I372+J372+K372+L372</f>
        <v>#REF!</v>
      </c>
      <c r="I372" s="42" t="e">
        <f>#REF!</f>
        <v>#REF!</v>
      </c>
      <c r="J372" s="44" t="e">
        <f>#REF!</f>
        <v>#REF!</v>
      </c>
      <c r="K372" s="44" t="e">
        <f>#REF!</f>
        <v>#REF!</v>
      </c>
      <c r="L372" s="23" t="e">
        <f>#REF!</f>
        <v>#REF!</v>
      </c>
      <c r="M372" s="22" t="e">
        <f>#REF!</f>
        <v>#REF!</v>
      </c>
      <c r="N372" s="20" t="e">
        <f>#REF!</f>
        <v>#REF!</v>
      </c>
      <c r="O372" s="10"/>
    </row>
    <row r="373" spans="1:16" ht="15.6" customHeight="1" x14ac:dyDescent="0.3">
      <c r="A373" s="4"/>
      <c r="C373" s="11"/>
      <c r="D373" s="11"/>
      <c r="E373" s="11"/>
      <c r="F373" s="37" t="s">
        <v>90</v>
      </c>
      <c r="G373" s="38">
        <v>244</v>
      </c>
      <c r="H373" s="15">
        <f>I373+J373+K373+L373</f>
        <v>2500</v>
      </c>
      <c r="I373" s="24">
        <f t="shared" ref="I373:N373" si="231">I25</f>
        <v>0</v>
      </c>
      <c r="J373" s="13">
        <f t="shared" si="231"/>
        <v>1200</v>
      </c>
      <c r="K373" s="13">
        <f t="shared" si="231"/>
        <v>800</v>
      </c>
      <c r="L373" s="25">
        <f t="shared" si="231"/>
        <v>500</v>
      </c>
      <c r="M373" s="21">
        <f t="shared" si="231"/>
        <v>2500</v>
      </c>
      <c r="N373" s="21">
        <f t="shared" si="231"/>
        <v>2500</v>
      </c>
      <c r="O373" s="11"/>
    </row>
    <row r="374" spans="1:16" ht="15.6" customHeight="1" x14ac:dyDescent="0.3">
      <c r="A374" s="4"/>
      <c r="C374" s="11"/>
      <c r="D374" s="11"/>
      <c r="E374" s="11"/>
      <c r="F374" s="37" t="s">
        <v>91</v>
      </c>
      <c r="G374" s="38">
        <v>244</v>
      </c>
      <c r="H374" s="15">
        <f t="shared" ref="H374:H377" si="232">I374+J374+K374+L374</f>
        <v>11500</v>
      </c>
      <c r="I374" s="24">
        <f t="shared" ref="I374:N374" si="233">I33</f>
        <v>0</v>
      </c>
      <c r="J374" s="13">
        <f t="shared" si="233"/>
        <v>0</v>
      </c>
      <c r="K374" s="13">
        <f t="shared" si="233"/>
        <v>0</v>
      </c>
      <c r="L374" s="25">
        <f t="shared" si="233"/>
        <v>11500</v>
      </c>
      <c r="M374" s="21">
        <f t="shared" si="233"/>
        <v>1500</v>
      </c>
      <c r="N374" s="21">
        <f t="shared" si="233"/>
        <v>1500</v>
      </c>
      <c r="O374" s="11"/>
    </row>
    <row r="375" spans="1:16" x14ac:dyDescent="0.25">
      <c r="C375" s="11"/>
      <c r="D375" s="11"/>
      <c r="E375" s="11"/>
      <c r="F375" s="124" t="s">
        <v>51</v>
      </c>
      <c r="G375" s="38">
        <v>243</v>
      </c>
      <c r="H375" s="15">
        <f t="shared" si="232"/>
        <v>269932.2</v>
      </c>
      <c r="I375" s="24">
        <f t="shared" ref="I375:N375" si="234">I123+I155+I164+I205+I233</f>
        <v>2946.6</v>
      </c>
      <c r="J375" s="13">
        <f t="shared" si="234"/>
        <v>0</v>
      </c>
      <c r="K375" s="13">
        <f t="shared" si="234"/>
        <v>84298.569999999992</v>
      </c>
      <c r="L375" s="25">
        <f t="shared" si="234"/>
        <v>182687.03</v>
      </c>
      <c r="M375" s="21">
        <f t="shared" si="234"/>
        <v>86593.12000000001</v>
      </c>
      <c r="N375" s="21">
        <f t="shared" si="234"/>
        <v>344053.7</v>
      </c>
      <c r="O375" s="11"/>
    </row>
    <row r="376" spans="1:16" x14ac:dyDescent="0.25">
      <c r="C376" s="11"/>
      <c r="D376" s="11"/>
      <c r="E376" s="11"/>
      <c r="F376" s="124"/>
      <c r="G376" s="38">
        <v>244</v>
      </c>
      <c r="H376" s="15">
        <f t="shared" si="232"/>
        <v>453429</v>
      </c>
      <c r="I376" s="24">
        <f t="shared" ref="I376:N376" si="235">I41+I173+I182+I197+I214</f>
        <v>13755</v>
      </c>
      <c r="J376" s="13">
        <f t="shared" si="235"/>
        <v>163835</v>
      </c>
      <c r="K376" s="13">
        <f t="shared" si="235"/>
        <v>27420</v>
      </c>
      <c r="L376" s="25">
        <f t="shared" si="235"/>
        <v>248419.00000000003</v>
      </c>
      <c r="M376" s="21">
        <f t="shared" si="235"/>
        <v>400554.78</v>
      </c>
      <c r="N376" s="21">
        <f t="shared" si="235"/>
        <v>550043.30000000005</v>
      </c>
      <c r="O376" s="11"/>
    </row>
    <row r="377" spans="1:16" ht="15.75" thickBot="1" x14ac:dyDescent="0.3">
      <c r="C377" s="11"/>
      <c r="D377" s="11"/>
      <c r="E377" s="11"/>
      <c r="F377" s="125"/>
      <c r="G377" s="39">
        <v>414</v>
      </c>
      <c r="H377" s="16">
        <f t="shared" si="232"/>
        <v>115830.39999999999</v>
      </c>
      <c r="I377" s="26">
        <f t="shared" ref="I377:N377" si="236">I112+I124+I156+I165+I174+I206</f>
        <v>0</v>
      </c>
      <c r="J377" s="27">
        <f t="shared" si="236"/>
        <v>0</v>
      </c>
      <c r="K377" s="27">
        <f t="shared" si="236"/>
        <v>3368.31</v>
      </c>
      <c r="L377" s="28">
        <f t="shared" si="236"/>
        <v>112462.09</v>
      </c>
      <c r="M377" s="19">
        <f t="shared" si="236"/>
        <v>83750.799999999988</v>
      </c>
      <c r="N377" s="19">
        <f t="shared" si="236"/>
        <v>330111.59999999998</v>
      </c>
      <c r="O377" s="11"/>
    </row>
    <row r="378" spans="1:16" ht="15.75" thickBot="1" x14ac:dyDescent="0.3">
      <c r="C378" s="11"/>
      <c r="D378" s="11"/>
      <c r="E378" s="11"/>
      <c r="F378" s="12"/>
      <c r="G378" s="12"/>
      <c r="H378" s="17" t="e">
        <f>SUM(H372:H377)</f>
        <v>#REF!</v>
      </c>
      <c r="I378" s="18" t="e">
        <f t="shared" ref="I378:N378" si="237">SUM(I372:I377)</f>
        <v>#REF!</v>
      </c>
      <c r="J378" s="18" t="e">
        <f>SUM(J372:J377)</f>
        <v>#REF!</v>
      </c>
      <c r="K378" s="18" t="e">
        <f>SUM(K372:K377)</f>
        <v>#REF!</v>
      </c>
      <c r="L378" s="18" t="e">
        <f t="shared" si="237"/>
        <v>#REF!</v>
      </c>
      <c r="M378" s="17" t="e">
        <f>SUM(M372:M377)</f>
        <v>#REF!</v>
      </c>
      <c r="N378" s="17" t="e">
        <f t="shared" si="237"/>
        <v>#REF!</v>
      </c>
      <c r="O378" s="11"/>
    </row>
    <row r="379" spans="1:16" x14ac:dyDescent="0.25">
      <c r="C379" s="11"/>
      <c r="D379" s="11"/>
      <c r="E379" s="11"/>
      <c r="F379" s="11"/>
      <c r="G379" s="32" t="s">
        <v>96</v>
      </c>
      <c r="H379" s="29" t="e">
        <f>I379+J379+K379+L379</f>
        <v>#REF!</v>
      </c>
      <c r="I379" s="40" t="e">
        <f>I17+#REF!+I104</f>
        <v>#REF!</v>
      </c>
      <c r="J379" s="30" t="e">
        <f>J17+#REF!+J104</f>
        <v>#REF!</v>
      </c>
      <c r="K379" s="30" t="e">
        <f>K17+#REF!+K104</f>
        <v>#REF!</v>
      </c>
      <c r="L379" s="43" t="e">
        <f>L17+#REF!+L104</f>
        <v>#REF!</v>
      </c>
      <c r="M379" s="40" t="e">
        <f>M17+#REF!+M104</f>
        <v>#REF!</v>
      </c>
      <c r="N379" s="29" t="e">
        <f>N17+#REF!+N104</f>
        <v>#REF!</v>
      </c>
      <c r="O379" s="11"/>
    </row>
    <row r="380" spans="1:16" ht="15.75" thickBot="1" x14ac:dyDescent="0.3">
      <c r="C380" s="11"/>
      <c r="D380" s="11"/>
      <c r="E380" s="11"/>
      <c r="F380" s="11"/>
      <c r="G380" s="33" t="s">
        <v>95</v>
      </c>
      <c r="H380" s="19">
        <f>I380+J380+K380+L380</f>
        <v>83035.100000000006</v>
      </c>
      <c r="I380" s="41">
        <f t="shared" ref="I380:N380" si="238">I41</f>
        <v>13755</v>
      </c>
      <c r="J380" s="31">
        <f t="shared" si="238"/>
        <v>13835</v>
      </c>
      <c r="K380" s="31">
        <f t="shared" si="238"/>
        <v>27420</v>
      </c>
      <c r="L380" s="28">
        <f t="shared" si="238"/>
        <v>28025.1</v>
      </c>
      <c r="M380" s="19">
        <f t="shared" si="238"/>
        <v>83035.100000000006</v>
      </c>
      <c r="N380" s="19">
        <f t="shared" si="238"/>
        <v>83035.100000000006</v>
      </c>
      <c r="O380" s="11"/>
    </row>
    <row r="381" spans="1:16" x14ac:dyDescent="0.25">
      <c r="H381" s="34" t="e">
        <f>H379+H380</f>
        <v>#REF!</v>
      </c>
      <c r="I381" s="34" t="e">
        <f t="shared" ref="I381:N381" si="239">I379+I380</f>
        <v>#REF!</v>
      </c>
      <c r="J381" s="34" t="e">
        <f t="shared" si="239"/>
        <v>#REF!</v>
      </c>
      <c r="K381" s="34" t="e">
        <f t="shared" si="239"/>
        <v>#REF!</v>
      </c>
      <c r="L381" s="34" t="e">
        <f t="shared" si="239"/>
        <v>#REF!</v>
      </c>
      <c r="M381" s="34" t="e">
        <f t="shared" si="239"/>
        <v>#REF!</v>
      </c>
      <c r="N381" s="34" t="e">
        <f t="shared" si="239"/>
        <v>#REF!</v>
      </c>
    </row>
    <row r="382" spans="1:16" x14ac:dyDescent="0.25">
      <c r="H382" s="34" t="e">
        <f>H378-H381</f>
        <v>#REF!</v>
      </c>
      <c r="I382" s="34" t="e">
        <f t="shared" ref="I382:N382" si="240">I378-I381</f>
        <v>#REF!</v>
      </c>
      <c r="J382" s="34" t="e">
        <f t="shared" si="240"/>
        <v>#REF!</v>
      </c>
      <c r="K382" s="34" t="e">
        <f t="shared" si="240"/>
        <v>#REF!</v>
      </c>
      <c r="L382" s="34" t="e">
        <f t="shared" si="240"/>
        <v>#REF!</v>
      </c>
      <c r="M382" s="34" t="e">
        <f t="shared" si="240"/>
        <v>#REF!</v>
      </c>
      <c r="N382" s="34" t="e">
        <f t="shared" si="240"/>
        <v>#REF!</v>
      </c>
    </row>
  </sheetData>
  <autoFilter ref="A11:P354"/>
  <mergeCells count="157">
    <mergeCell ref="O161:O169"/>
    <mergeCell ref="P161:P169"/>
    <mergeCell ref="A161:A169"/>
    <mergeCell ref="A139:A150"/>
    <mergeCell ref="O139:O150"/>
    <mergeCell ref="P139:P150"/>
    <mergeCell ref="B147:B148"/>
    <mergeCell ref="B155:B156"/>
    <mergeCell ref="A254:A259"/>
    <mergeCell ref="O254:O259"/>
    <mergeCell ref="P254:P259"/>
    <mergeCell ref="A238:A245"/>
    <mergeCell ref="O238:O245"/>
    <mergeCell ref="P238:P245"/>
    <mergeCell ref="A246:A253"/>
    <mergeCell ref="O246:O253"/>
    <mergeCell ref="P246:P253"/>
    <mergeCell ref="A179:A185"/>
    <mergeCell ref="O179:O185"/>
    <mergeCell ref="P179:P185"/>
    <mergeCell ref="A186:A193"/>
    <mergeCell ref="O186:O193"/>
    <mergeCell ref="P186:P193"/>
    <mergeCell ref="A194:A201"/>
    <mergeCell ref="A322:A329"/>
    <mergeCell ref="O322:O329"/>
    <mergeCell ref="P322:P329"/>
    <mergeCell ref="A350:A355"/>
    <mergeCell ref="O350:O355"/>
    <mergeCell ref="P350:P355"/>
    <mergeCell ref="A269:A274"/>
    <mergeCell ref="O269:O274"/>
    <mergeCell ref="P269:P274"/>
    <mergeCell ref="A275:A280"/>
    <mergeCell ref="O275:O280"/>
    <mergeCell ref="P275:P280"/>
    <mergeCell ref="A291:A298"/>
    <mergeCell ref="P291:P298"/>
    <mergeCell ref="O291:O298"/>
    <mergeCell ref="A315:A320"/>
    <mergeCell ref="O315:O320"/>
    <mergeCell ref="P315:P320"/>
    <mergeCell ref="A299:A306"/>
    <mergeCell ref="P330:P337"/>
    <mergeCell ref="A307:A314"/>
    <mergeCell ref="O307:O314"/>
    <mergeCell ref="P307:P314"/>
    <mergeCell ref="A94:A99"/>
    <mergeCell ref="A54:A61"/>
    <mergeCell ref="O54:O61"/>
    <mergeCell ref="P54:P61"/>
    <mergeCell ref="O261:O268"/>
    <mergeCell ref="P261:P268"/>
    <mergeCell ref="A283:A290"/>
    <mergeCell ref="O283:O290"/>
    <mergeCell ref="P283:P290"/>
    <mergeCell ref="O109:O118"/>
    <mergeCell ref="P109:P118"/>
    <mergeCell ref="A109:A118"/>
    <mergeCell ref="A119:A130"/>
    <mergeCell ref="P119:P130"/>
    <mergeCell ref="O119:O130"/>
    <mergeCell ref="A101:A108"/>
    <mergeCell ref="O101:O108"/>
    <mergeCell ref="P101:P108"/>
    <mergeCell ref="A131:A138"/>
    <mergeCell ref="O131:O138"/>
    <mergeCell ref="P131:P138"/>
    <mergeCell ref="A151:A160"/>
    <mergeCell ref="O151:O160"/>
    <mergeCell ref="P151:P160"/>
    <mergeCell ref="A6:P6"/>
    <mergeCell ref="A100:P100"/>
    <mergeCell ref="H8:H10"/>
    <mergeCell ref="M8:M10"/>
    <mergeCell ref="N8:N10"/>
    <mergeCell ref="I8:L9"/>
    <mergeCell ref="P30:P37"/>
    <mergeCell ref="A46:A53"/>
    <mergeCell ref="O46:O53"/>
    <mergeCell ref="P46:P53"/>
    <mergeCell ref="A62:A69"/>
    <mergeCell ref="O62:O69"/>
    <mergeCell ref="P62:P69"/>
    <mergeCell ref="A70:A77"/>
    <mergeCell ref="P8:P10"/>
    <mergeCell ref="C9:C10"/>
    <mergeCell ref="P22:P29"/>
    <mergeCell ref="A30:A37"/>
    <mergeCell ref="O30:O37"/>
    <mergeCell ref="A86:A93"/>
    <mergeCell ref="O86:O93"/>
    <mergeCell ref="P86:P93"/>
    <mergeCell ref="D9:D10"/>
    <mergeCell ref="F9:F10"/>
    <mergeCell ref="G9:G10"/>
    <mergeCell ref="E9:E10"/>
    <mergeCell ref="A8:A10"/>
    <mergeCell ref="B8:B10"/>
    <mergeCell ref="C8:G8"/>
    <mergeCell ref="O8:O10"/>
    <mergeCell ref="B127:B128"/>
    <mergeCell ref="O70:O77"/>
    <mergeCell ref="A12:P12"/>
    <mergeCell ref="A13:P13"/>
    <mergeCell ref="P70:P77"/>
    <mergeCell ref="A78:A85"/>
    <mergeCell ref="O78:O85"/>
    <mergeCell ref="P78:P85"/>
    <mergeCell ref="A14:A21"/>
    <mergeCell ref="O14:O21"/>
    <mergeCell ref="P14:P21"/>
    <mergeCell ref="A38:A45"/>
    <mergeCell ref="O38:O45"/>
    <mergeCell ref="P38:P45"/>
    <mergeCell ref="A22:A29"/>
    <mergeCell ref="O22:O29"/>
    <mergeCell ref="O94:O99"/>
    <mergeCell ref="P94:P99"/>
    <mergeCell ref="F375:F377"/>
    <mergeCell ref="B164:B165"/>
    <mergeCell ref="A356:P371"/>
    <mergeCell ref="A282:P282"/>
    <mergeCell ref="A338:A343"/>
    <mergeCell ref="O338:O343"/>
    <mergeCell ref="P338:P343"/>
    <mergeCell ref="A344:A349"/>
    <mergeCell ref="O344:O349"/>
    <mergeCell ref="P344:P349"/>
    <mergeCell ref="B217:B219"/>
    <mergeCell ref="B173:B174"/>
    <mergeCell ref="B205:B206"/>
    <mergeCell ref="A170:A178"/>
    <mergeCell ref="O170:O178"/>
    <mergeCell ref="P170:P178"/>
    <mergeCell ref="A260:P260"/>
    <mergeCell ref="A281:P281"/>
    <mergeCell ref="A321:P321"/>
    <mergeCell ref="A261:A268"/>
    <mergeCell ref="O299:O306"/>
    <mergeCell ref="P299:P306"/>
    <mergeCell ref="A330:A337"/>
    <mergeCell ref="O330:O337"/>
    <mergeCell ref="O194:O201"/>
    <mergeCell ref="P194:P201"/>
    <mergeCell ref="A230:A237"/>
    <mergeCell ref="O230:O237"/>
    <mergeCell ref="P230:P237"/>
    <mergeCell ref="A202:A210"/>
    <mergeCell ref="O202:O210"/>
    <mergeCell ref="P202:P210"/>
    <mergeCell ref="A211:A221"/>
    <mergeCell ref="O211:O221"/>
    <mergeCell ref="P211:P221"/>
    <mergeCell ref="A222:A229"/>
    <mergeCell ref="O222:O229"/>
    <mergeCell ref="P222:P229"/>
  </mergeCells>
  <pageMargins left="0.25" right="0.25" top="0.75" bottom="0.75" header="0.3" footer="0.3"/>
  <pageSetup paperSize="9" scale="69" fitToHeight="0" orientation="landscape" r:id="rId1"/>
  <rowBreaks count="12" manualBreakCount="12">
    <brk id="29" max="15" man="1"/>
    <brk id="61" max="15" man="1"/>
    <brk id="85" max="15" man="1"/>
    <brk id="108" max="15" man="1"/>
    <brk id="138" max="15" man="1"/>
    <brk id="169" max="15" man="1"/>
    <brk id="201" max="15" man="1"/>
    <brk id="237" max="15" man="1"/>
    <brk id="268" max="15" man="1"/>
    <brk id="306" max="15" man="1"/>
    <brk id="329" max="15" man="1"/>
    <brk id="355" max="1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Таблица3</vt:lpstr>
      <vt:lpstr>Таблица3!Область_печати</vt:lpstr>
    </vt:vector>
  </TitlesOfParts>
  <Company>PNO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Неустроева Екатерина Александровна</dc:creator>
  <cp:lastModifiedBy>Кузнецов Роман Вячеславович</cp:lastModifiedBy>
  <cp:lastPrinted>2020-03-25T03:53:40Z</cp:lastPrinted>
  <dcterms:created xsi:type="dcterms:W3CDTF">2019-01-23T06:56:37Z</dcterms:created>
  <dcterms:modified xsi:type="dcterms:W3CDTF">2020-04-14T09:50:44Z</dcterms:modified>
</cp:coreProperties>
</file>