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5148" windowWidth="15120" windowHeight="2832" tabRatio="423"/>
  </bookViews>
  <sheets>
    <sheet name="ГП Образование (!)" sheetId="2" r:id="rId1"/>
  </sheets>
  <externalReferences>
    <externalReference r:id="rId2"/>
  </externalReferences>
  <definedNames>
    <definedName name="_xlnm._FilterDatabase" localSheetId="0" hidden="1">'ГП Образование (!)'!$A$10:$X$1380</definedName>
    <definedName name="Z_09681EB6_A459_4C51_86E0_B9E83C9AD39A_.wvu.FilterData" localSheetId="0" hidden="1">'ГП Образование (!)'!$A$11:$X$1342</definedName>
    <definedName name="Z_20C661D0_AFB7_41CE_96C0_5838BFF78D85_.wvu.FilterData" localSheetId="0" hidden="1">'ГП Образование (!)'!$A$11:$X$1342</definedName>
    <definedName name="Z_3286A53C_0615_444B_B55A_DAE8F927C48A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3286A53C_0615_444B_B55A_DAE8F927C48A_.wvu.FilterData" localSheetId="0" hidden="1">'ГП Образование (!)'!$A$11:$X$1342</definedName>
    <definedName name="Z_3286A53C_0615_444B_B55A_DAE8F927C48A_.wvu.PrintArea" localSheetId="0" hidden="1">'ГП Образование (!)'!$A$6:$P$1444</definedName>
    <definedName name="Z_3286A53C_0615_444B_B55A_DAE8F927C48A_.wvu.PrintTitles" localSheetId="0" hidden="1">'ГП Образование (!)'!$9:$11</definedName>
    <definedName name="Z_3286A53C_0615_444B_B55A_DAE8F927C48A_.wvu.Rows" localSheetId="0" hidden="1">'ГП Образование (!)'!$309:$309</definedName>
    <definedName name="Z_340990CD_297F_4230_9DDA_1DCE9359A7BB_.wvu.FilterData" localSheetId="0" hidden="1">'ГП Образование (!)'!$A$11:$X$1342</definedName>
    <definedName name="Z_4DE25077_0411_459B_B618_DDE915551F9B_.wvu.FilterData" localSheetId="0" hidden="1">'ГП Образование (!)'!$A$11:$X$1342</definedName>
    <definedName name="Z_4E79CADB_2B13_4820_A18F_56DFE44FEC0E_.wvu.FilterData" localSheetId="0" hidden="1">'ГП Образование (!)'!$A$11:$X$1342</definedName>
    <definedName name="Z_51D2E0AC_677A_4974_AE3C_09EB746A42F5_.wvu.FilterData" localSheetId="0" hidden="1">'ГП Образование (!)'!$A$11:$X$1342</definedName>
    <definedName name="Z_56514FED_B7B1_40A4_9B4E_3A51EE678DF0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56514FED_B7B1_40A4_9B4E_3A51EE678DF0_.wvu.FilterData" localSheetId="0" hidden="1">'ГП Образование (!)'!$A$11:$X$1342</definedName>
    <definedName name="Z_56514FED_B7B1_40A4_9B4E_3A51EE678DF0_.wvu.PrintArea" localSheetId="0" hidden="1">'ГП Образование (!)'!$A$6:$P$1444</definedName>
    <definedName name="Z_56514FED_B7B1_40A4_9B4E_3A51EE678DF0_.wvu.PrintTitles" localSheetId="0" hidden="1">'ГП Образование (!)'!$9:$11</definedName>
    <definedName name="Z_56514FED_B7B1_40A4_9B4E_3A51EE678DF0_.wvu.Rows" localSheetId="0" hidden="1">'ГП Образование (!)'!#REF!,'ГП Образование (!)'!$121:$125,'ГП Образование (!)'!$203:$214,'ГП Образование (!)'!$229:$235,'ГП Образование (!)'!$244:$256,'ГП Образование (!)'!$286:$287,'ГП Образование (!)'!#REF!,'ГП Образование (!)'!$288:$289,'ГП Образование (!)'!$309:$309,'ГП Образование (!)'!$355:$364,'ГП Образование (!)'!$408:$415,'ГП Образование (!)'!$430:$477,'ГП Образование (!)'!$503:$507,'ГП Образование (!)'!$524:$588,'ГП Образование (!)'!$602:$608,'ГП Образование (!)'!$618:$631,'ГП Образование (!)'!$639:$645,'ГП Образование (!)'!$653:$659,'ГП Образование (!)'!$739:$740,'ГП Образование (!)'!$919:$922,'ГП Образование (!)'!$1251:$1257</definedName>
    <definedName name="Z_584BF448_F19F_4391_8FAE_FE140F762A2F_.wvu.FilterData" localSheetId="0" hidden="1">'ГП Образование (!)'!$A$11:$X$1342</definedName>
    <definedName name="Z_5D51BC40_26BC_4F40_8FA8_202FEAD9BC33_.wvu.FilterData" localSheetId="0" hidden="1">'ГП Образование (!)'!$A$11:$X$1342</definedName>
    <definedName name="Z_62A45EA8_4C8C_468A_9DC1_2F2EFB94BA69_.wvu.FilterData" localSheetId="0" hidden="1">'ГП Образование (!)'!$A$11:$X$1342</definedName>
    <definedName name="Z_633BD54E_636D_42E9_BED7_BB9C68FF2138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633BD54E_636D_42E9_BED7_BB9C68FF2138_.wvu.FilterData" localSheetId="0" hidden="1">'ГП Образование (!)'!$A$11:$X$1342</definedName>
    <definedName name="Z_633BD54E_636D_42E9_BED7_BB9C68FF2138_.wvu.PrintArea" localSheetId="0" hidden="1">'ГП Образование (!)'!$A$6:$P$1444</definedName>
    <definedName name="Z_633BD54E_636D_42E9_BED7_BB9C68FF2138_.wvu.PrintTitles" localSheetId="0" hidden="1">'ГП Образование (!)'!$9:$11</definedName>
    <definedName name="Z_633BD54E_636D_42E9_BED7_BB9C68FF2138_.wvu.Rows" localSheetId="0" hidden="1">'ГП Образование (!)'!#REF!,'ГП Образование (!)'!$121:$125,'ГП Образование (!)'!$203:$214,'ГП Образование (!)'!$229:$235,'ГП Образование (!)'!$244:$256,'ГП Образование (!)'!$286:$287,'ГП Образование (!)'!#REF!,'ГП Образование (!)'!$288:$289,'ГП Образование (!)'!$309:$309,'ГП Образование (!)'!$355:$364,'ГП Образование (!)'!$408:$415,'ГП Образование (!)'!$430:$477,'ГП Образование (!)'!$481:$502,'ГП Образование (!)'!$503:$507,'ГП Образование (!)'!$524:$588,'ГП Образование (!)'!$602:$608,'ГП Образование (!)'!$618:$631,'ГП Образование (!)'!$639:$645,'ГП Образование (!)'!$653:$659,'ГП Образование (!)'!$739:$740,'ГП Образование (!)'!$919:$922,'ГП Образование (!)'!$1251:$1257</definedName>
    <definedName name="Z_648D4D48_04C5_422A_BFDF_5C44615438E4_.wvu.FilterData" localSheetId="0" hidden="1">'ГП Образование (!)'!$A$11:$X$1342</definedName>
    <definedName name="Z_657A5ED6_7806_4406_BBEA_76D906A9E3B5_.wvu.FilterData" localSheetId="0" hidden="1">'ГП Образование (!)'!$A$11:$X$1342</definedName>
    <definedName name="Z_6FD8D372_BEE9_4355_90A6_0116F56E54D3_.wvu.FilterData" localSheetId="0" hidden="1">'ГП Образование (!)'!$A$11:$X$1342</definedName>
    <definedName name="Z_775A62AC_AFCC_49E9_8344_B4555EA5A1F7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775A62AC_AFCC_49E9_8344_B4555EA5A1F7_.wvu.FilterData" localSheetId="0" hidden="1">'ГП Образование (!)'!$A$11:$X$1342</definedName>
    <definedName name="Z_775A62AC_AFCC_49E9_8344_B4555EA5A1F7_.wvu.PrintArea" localSheetId="0" hidden="1">'ГП Образование (!)'!$A$6:$P$1444</definedName>
    <definedName name="Z_775A62AC_AFCC_49E9_8344_B4555EA5A1F7_.wvu.PrintTitles" localSheetId="0" hidden="1">'ГП Образование (!)'!$9:$11</definedName>
    <definedName name="Z_97B5F8F9_C554_43E2_A98C_268486D8A4A1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97B5F8F9_C554_43E2_A98C_268486D8A4A1_.wvu.FilterData" localSheetId="0" hidden="1">'ГП Образование (!)'!$A$11:$X$1342</definedName>
    <definedName name="Z_97B5F8F9_C554_43E2_A98C_268486D8A4A1_.wvu.PrintArea" localSheetId="0" hidden="1">'ГП Образование (!)'!$A$6:$P$1444</definedName>
    <definedName name="Z_97B5F8F9_C554_43E2_A98C_268486D8A4A1_.wvu.PrintTitles" localSheetId="0" hidden="1">'ГП Образование (!)'!$9:$11</definedName>
    <definedName name="Z_97B5F8F9_C554_43E2_A98C_268486D8A4A1_.wvu.Rows" localSheetId="0" hidden="1">'ГП Образование (!)'!$309:$309,'ГП Образование (!)'!$355:$364</definedName>
    <definedName name="Z_9B7F8430_50C5_4810_A17F_BFB092B5E4A4_.wvu.FilterData" localSheetId="0" hidden="1">'ГП Образование (!)'!$A$11:$X$1342</definedName>
    <definedName name="Z_A44072AE_9766_4B3A_BC71_00C511450946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A44072AE_9766_4B3A_BC71_00C511450946_.wvu.FilterData" localSheetId="0" hidden="1">'ГП Образование (!)'!$A$11:$X$1342</definedName>
    <definedName name="Z_A44072AE_9766_4B3A_BC71_00C511450946_.wvu.PrintArea" localSheetId="0" hidden="1">'ГП Образование (!)'!$A$6:$P$1444</definedName>
    <definedName name="Z_A44072AE_9766_4B3A_BC71_00C511450946_.wvu.PrintTitles" localSheetId="0" hidden="1">'ГП Образование (!)'!$9:$11</definedName>
    <definedName name="Z_AE257BF0_0039_4D69_82F6_25406EBE3800_.wvu.FilterData" localSheetId="0" hidden="1">'ГП Образование (!)'!$A$11:$X$1342</definedName>
    <definedName name="Z_AF738093_52BF_401D_AF6B_5DF7632C3206_.wvu.FilterData" localSheetId="0" hidden="1">'ГП Образование (!)'!$A$11:$X$1342</definedName>
    <definedName name="Z_BEB9E14A_E859_4B4A_9CE1_B3AD3F1D73D1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BEB9E14A_E859_4B4A_9CE1_B3AD3F1D73D1_.wvu.FilterData" localSheetId="0" hidden="1">'ГП Образование (!)'!$A$11:$X$1342</definedName>
    <definedName name="Z_BEB9E14A_E859_4B4A_9CE1_B3AD3F1D73D1_.wvu.PrintArea" localSheetId="0" hidden="1">'ГП Образование (!)'!$A$6:$P$1444</definedName>
    <definedName name="Z_BEB9E14A_E859_4B4A_9CE1_B3AD3F1D73D1_.wvu.PrintTitles" localSheetId="0" hidden="1">'ГП Образование (!)'!$9:$11</definedName>
    <definedName name="Z_BEB9E14A_E859_4B4A_9CE1_B3AD3F1D73D1_.wvu.Rows" localSheetId="0" hidden="1">'ГП Образование (!)'!$503:$507,'ГП Образование (!)'!$524:$588,'ГП Образование (!)'!$653:$659,'ГП Образование (!)'!$748:$752,'ГП Образование (!)'!$756:$762</definedName>
    <definedName name="Z_CC0BA27C_0B6F_40DD_BFD2_BE6463DE4AD7_.wvu.FilterData" localSheetId="0" hidden="1">'ГП Образование (!)'!$A$11:$X$1342</definedName>
    <definedName name="Z_D10214CF_0097_437B_A597_179F5A7039D5_.wvu.Cols" localSheetId="0" hidden="1">'ГП Образование (!)'!#REF!,'ГП Образование (!)'!#REF!,'ГП Образование (!)'!#REF!,'ГП Образование (!)'!#REF!,'ГП Образование (!)'!#REF!,'ГП Образование (!)'!$Q:$R</definedName>
    <definedName name="Z_D10214CF_0097_437B_A597_179F5A7039D5_.wvu.FilterData" localSheetId="0" hidden="1">'ГП Образование (!)'!$A$11:$X$1342</definedName>
    <definedName name="Z_D10214CF_0097_437B_A597_179F5A7039D5_.wvu.PrintArea" localSheetId="0" hidden="1">'ГП Образование (!)'!$A$6:$P$1444</definedName>
    <definedName name="Z_D10214CF_0097_437B_A597_179F5A7039D5_.wvu.PrintTitles" localSheetId="0" hidden="1">'ГП Образование (!)'!$9:$11</definedName>
    <definedName name="Z_D10214CF_0097_437B_A597_179F5A7039D5_.wvu.Rows" localSheetId="0" hidden="1">'ГП Образование (!)'!#REF!,'ГП Образование (!)'!$121:$125,'ГП Образование (!)'!$203:$214,'ГП Образование (!)'!$229:$235,'ГП Образование (!)'!$244:$256,'ГП Образование (!)'!$286:$287,'ГП Образование (!)'!#REF!,'ГП Образование (!)'!$288:$289,'ГП Образование (!)'!$309:$309,'ГП Образование (!)'!$355:$364,'ГП Образование (!)'!$408:$415,'ГП Образование (!)'!$430:$477,'ГП Образование (!)'!$503:$507,'ГП Образование (!)'!$524:$588,'ГП Образование (!)'!$602:$608,'ГП Образование (!)'!$618:$631,'ГП Образование (!)'!$639:$645,'ГП Образование (!)'!$653:$659,'ГП Образование (!)'!$739:$740,'ГП Образование (!)'!$919:$922,'ГП Образование (!)'!$1251:$1257</definedName>
    <definedName name="Z_D27CADCD_B486_4519_B3B9_E36D80B527A4_.wvu.FilterData" localSheetId="0" hidden="1">'ГП Образование (!)'!$A$11:$X$1342</definedName>
    <definedName name="Z_E4EFEC4C_797F_4095_A0E4_760DEA87D7BF_.wvu.FilterData" localSheetId="0" hidden="1">'ГП Образование (!)'!$A$11:$X$1342</definedName>
    <definedName name="Z_EC1FD31A_47E1_420D_A9E2_F49C5E4F2809_.wvu.FilterData" localSheetId="0" hidden="1">'ГП Образование (!)'!$A$11:$X$1342</definedName>
    <definedName name="_xlnm.Print_Titles" localSheetId="0">'ГП Образование (!)'!$9:$11</definedName>
    <definedName name="_xlnm.Print_Area" localSheetId="0">'ГП Образование (!)'!$A$1:$P$1444</definedName>
  </definedNames>
  <calcPr calcId="145621"/>
  <customWorkbookViews>
    <customWorkbookView name="Гавриленко Ольга Михайловна - Личное представление" guid="{BEB9E14A-E859-4B4A-9CE1-B3AD3F1D73D1}" mergeInterval="0" personalView="1" maximized="1" windowWidth="1676" windowHeight="665" activeSheetId="1"/>
    <customWorkbookView name="Полынцева Татьяна Павловна - Личное представление" guid="{56514FED-B7B1-40A4-9B4E-3A51EE678DF0}" mergeInterval="0" personalView="1" maximized="1" windowWidth="1676" windowHeight="805" activeSheetId="1"/>
    <customWorkbookView name="Мачерет Людмила Александровна - Личное представление" guid="{D10214CF-0097-437B-A597-179F5A7039D5}" mergeInterval="0" personalView="1" maximized="1" windowWidth="1916" windowHeight="755" activeSheetId="1"/>
    <customWorkbookView name="Аничкин Дмитрий Олегович - Личное представление" guid="{97B5F8F9-C554-43E2-A98C-268486D8A4A1}" mergeInterval="0" personalView="1" maximized="1" windowWidth="1916" windowHeight="807" activeSheetId="1"/>
    <customWorkbookView name="Куян Марина Алексей - Личное представление" guid="{3286A53C-0615-444B-B55A-DAE8F927C48A}" mergeInterval="0" personalView="1" maximized="1" windowWidth="1676" windowHeight="825" activeSheetId="1"/>
    <customWorkbookView name="Ширман Елена Виктороввна - Личное представление" guid="{775A62AC-AFCC-49E9-8344-B4555EA5A1F7}" mergeInterval="0" personalView="1" maximized="1" windowWidth="1676" windowHeight="825" activeSheetId="1"/>
    <customWorkbookView name="Соколова Елена Михайлова - Личное представление" guid="{A44072AE-9766-4B3A-BC71-00C511450946}" mergeInterval="0" personalView="1" maximized="1" windowWidth="1676" windowHeight="785" activeSheetId="1"/>
    <customWorkbookView name="Куян Марина Александровна - Личное представление" guid="{633BD54E-636D-42E9-BED7-BB9C68FF2138}" mergeInterval="0" personalView="1" maximized="1" windowWidth="1676" windowHeight="825" activeSheetId="1"/>
  </customWorkbookViews>
</workbook>
</file>

<file path=xl/calcChain.xml><?xml version="1.0" encoding="utf-8"?>
<calcChain xmlns="http://schemas.openxmlformats.org/spreadsheetml/2006/main">
  <c r="F86" i="2" l="1"/>
  <c r="K166" i="2" l="1"/>
  <c r="L174" i="2"/>
  <c r="I206" i="2"/>
  <c r="J206" i="2"/>
  <c r="K206" i="2"/>
  <c r="L206" i="2"/>
  <c r="I207" i="2"/>
  <c r="J207" i="2"/>
  <c r="K207" i="2"/>
  <c r="L207" i="2"/>
  <c r="I208" i="2"/>
  <c r="J208" i="2"/>
  <c r="K208" i="2"/>
  <c r="L208" i="2"/>
  <c r="F55" i="2" l="1"/>
  <c r="H51" i="2" l="1"/>
  <c r="I920" i="2" l="1"/>
  <c r="J920" i="2"/>
  <c r="K920" i="2"/>
  <c r="L920" i="2"/>
  <c r="M920" i="2"/>
  <c r="N920" i="2"/>
  <c r="M865" i="2" l="1"/>
  <c r="N865" i="2"/>
  <c r="N855" i="2" s="1"/>
  <c r="I865" i="2"/>
  <c r="J865" i="2"/>
  <c r="J855" i="2" s="1"/>
  <c r="K865" i="2"/>
  <c r="K855" i="2" s="1"/>
  <c r="L865" i="2"/>
  <c r="L855" i="2" s="1"/>
  <c r="I855" i="2"/>
  <c r="M855" i="2"/>
  <c r="H880" i="2"/>
  <c r="H891" i="2"/>
  <c r="I893" i="2"/>
  <c r="J893" i="2"/>
  <c r="K893" i="2"/>
  <c r="L893" i="2"/>
  <c r="M893" i="2"/>
  <c r="N893" i="2"/>
  <c r="H894" i="2"/>
  <c r="H893" i="2" s="1"/>
  <c r="L880" i="2"/>
  <c r="H865" i="2" l="1"/>
  <c r="H892" i="2"/>
  <c r="I840" i="2"/>
  <c r="J840" i="2"/>
  <c r="K840" i="2"/>
  <c r="L840" i="2"/>
  <c r="M840" i="2"/>
  <c r="N840" i="2"/>
  <c r="I726" i="2"/>
  <c r="J726" i="2"/>
  <c r="K726" i="2"/>
  <c r="N154" i="2" l="1"/>
  <c r="N152" i="2"/>
  <c r="L462" i="2" l="1"/>
  <c r="L498" i="2"/>
  <c r="K542" i="2"/>
  <c r="L518" i="2"/>
  <c r="L544" i="2"/>
  <c r="L541" i="2"/>
  <c r="L531" i="2"/>
  <c r="L522" i="2"/>
  <c r="L521" i="2"/>
  <c r="L519" i="2"/>
  <c r="L510" i="2"/>
  <c r="L507" i="2"/>
  <c r="L550" i="2"/>
  <c r="L553" i="2"/>
  <c r="L665" i="2"/>
  <c r="L659" i="2"/>
  <c r="L647" i="2"/>
  <c r="L642" i="2"/>
  <c r="L634" i="2"/>
  <c r="L628" i="2"/>
  <c r="L617" i="2"/>
  <c r="L615" i="2"/>
  <c r="L611" i="2"/>
  <c r="L610" i="2"/>
  <c r="L601" i="2"/>
  <c r="L595" i="2"/>
  <c r="L586" i="2"/>
  <c r="L585" i="2"/>
  <c r="L583" i="2"/>
  <c r="L580" i="2"/>
  <c r="L579" i="2"/>
  <c r="D698" i="2"/>
  <c r="D688" i="2" s="1"/>
  <c r="E698" i="2"/>
  <c r="E688" i="2" s="1"/>
  <c r="F698" i="2"/>
  <c r="F688" i="2" s="1"/>
  <c r="G698" i="2"/>
  <c r="G688" i="2" s="1"/>
  <c r="I698" i="2"/>
  <c r="I688" i="2" s="1"/>
  <c r="J698" i="2"/>
  <c r="J688" i="2" s="1"/>
  <c r="K698" i="2"/>
  <c r="K688" i="2" s="1"/>
  <c r="L698" i="2"/>
  <c r="L688" i="2" s="1"/>
  <c r="M698" i="2"/>
  <c r="M688" i="2" s="1"/>
  <c r="N698" i="2"/>
  <c r="N688" i="2" s="1"/>
  <c r="C698" i="2"/>
  <c r="C688" i="2" s="1"/>
  <c r="L697" i="2"/>
  <c r="L696" i="2"/>
  <c r="L686" i="2" s="1"/>
  <c r="K193" i="2"/>
  <c r="N194" i="2"/>
  <c r="M194" i="2"/>
  <c r="M167" i="2" s="1"/>
  <c r="L194" i="2"/>
  <c r="L167" i="2" s="1"/>
  <c r="K194" i="2"/>
  <c r="J194" i="2"/>
  <c r="K159" i="2"/>
  <c r="J159" i="2"/>
  <c r="I158" i="2"/>
  <c r="J158" i="2"/>
  <c r="K158" i="2"/>
  <c r="L158" i="2"/>
  <c r="M158" i="2"/>
  <c r="N158" i="2"/>
  <c r="L726" i="2" l="1"/>
  <c r="H122" i="2"/>
  <c r="H101" i="2" s="1"/>
  <c r="I101" i="2"/>
  <c r="J101" i="2"/>
  <c r="K101" i="2"/>
  <c r="L101" i="2"/>
  <c r="M101" i="2"/>
  <c r="N101" i="2"/>
  <c r="D101" i="2"/>
  <c r="E101" i="2"/>
  <c r="F101" i="2"/>
  <c r="G101" i="2"/>
  <c r="C101" i="2"/>
  <c r="H115" i="2"/>
  <c r="H94" i="2" s="1"/>
  <c r="H116" i="2"/>
  <c r="H95" i="2" s="1"/>
  <c r="I94" i="2"/>
  <c r="J94" i="2"/>
  <c r="K94" i="2"/>
  <c r="L94" i="2"/>
  <c r="M94" i="2"/>
  <c r="N94" i="2"/>
  <c r="L82" i="2" l="1"/>
  <c r="M815" i="2"/>
  <c r="N815" i="2"/>
  <c r="H815" i="2"/>
  <c r="I1111" i="2"/>
  <c r="J1111" i="2"/>
  <c r="K1111" i="2"/>
  <c r="L1111" i="2"/>
  <c r="M1111" i="2"/>
  <c r="N1111" i="2"/>
  <c r="D1111" i="2"/>
  <c r="F1111" i="2"/>
  <c r="G1111" i="2"/>
  <c r="C1111" i="2"/>
  <c r="I1138" i="2"/>
  <c r="J1138" i="2"/>
  <c r="I973" i="2"/>
  <c r="K973" i="2"/>
  <c r="J1040" i="2"/>
  <c r="I1040" i="2"/>
  <c r="L1018" i="2"/>
  <c r="K1000" i="2"/>
  <c r="L1198" i="2"/>
  <c r="J1198" i="2"/>
  <c r="I1198" i="2"/>
  <c r="K963" i="2"/>
  <c r="K948" i="2"/>
  <c r="J948" i="2"/>
  <c r="K947" i="2"/>
  <c r="M87" i="2" l="1"/>
  <c r="N87" i="2"/>
  <c r="K87" i="2"/>
  <c r="H371" i="2" l="1"/>
  <c r="K396" i="2"/>
  <c r="I819" i="2" l="1"/>
  <c r="J819" i="2"/>
  <c r="K819" i="2"/>
  <c r="L819" i="2"/>
  <c r="M819" i="2"/>
  <c r="N819" i="2"/>
  <c r="D819" i="2"/>
  <c r="E819" i="2"/>
  <c r="F819" i="2"/>
  <c r="G819" i="2"/>
  <c r="C819" i="2"/>
  <c r="H836" i="2" l="1"/>
  <c r="H835" i="2"/>
  <c r="H834" i="2"/>
  <c r="H833" i="2"/>
  <c r="N832" i="2"/>
  <c r="M832" i="2"/>
  <c r="L832" i="2"/>
  <c r="K832" i="2"/>
  <c r="J832" i="2"/>
  <c r="I832" i="2"/>
  <c r="H832" i="2" l="1"/>
  <c r="H831" i="2" s="1"/>
  <c r="H819" i="2"/>
  <c r="H721" i="2"/>
  <c r="I712" i="2"/>
  <c r="J712" i="2"/>
  <c r="K712" i="2"/>
  <c r="L712" i="2"/>
  <c r="M712" i="2"/>
  <c r="N712" i="2"/>
  <c r="H714" i="2"/>
  <c r="H698" i="2" s="1"/>
  <c r="H688" i="2" s="1"/>
  <c r="H713" i="2"/>
  <c r="H712" i="2" s="1"/>
  <c r="I1117" i="2"/>
  <c r="J1117" i="2"/>
  <c r="K1117" i="2"/>
  <c r="M1117" i="2"/>
  <c r="N1117" i="2"/>
  <c r="H1119" i="2"/>
  <c r="H1111" i="2" s="1"/>
  <c r="L1117" i="2"/>
  <c r="H1118" i="2" l="1"/>
  <c r="H1117" i="2" l="1"/>
  <c r="H1110" i="2"/>
  <c r="J1321" i="2"/>
  <c r="K1321" i="2"/>
  <c r="L1321" i="2"/>
  <c r="M1321" i="2"/>
  <c r="N1321" i="2"/>
  <c r="J1322" i="2"/>
  <c r="K1322" i="2"/>
  <c r="L1322" i="2"/>
  <c r="M1322" i="2"/>
  <c r="N1322" i="2"/>
  <c r="J1323" i="2"/>
  <c r="K1323" i="2"/>
  <c r="L1323" i="2"/>
  <c r="M1323" i="2"/>
  <c r="N1323" i="2"/>
  <c r="I1323" i="2"/>
  <c r="I1322" i="2"/>
  <c r="I1321" i="2"/>
  <c r="H1306" i="2"/>
  <c r="H1307" i="2"/>
  <c r="H1309" i="2"/>
  <c r="H1302" i="2" s="1"/>
  <c r="H1310" i="2"/>
  <c r="H1308" i="2"/>
  <c r="H1301" i="2" s="1"/>
  <c r="I1301" i="2"/>
  <c r="J1301" i="2"/>
  <c r="K1301" i="2"/>
  <c r="L1301" i="2"/>
  <c r="M1301" i="2"/>
  <c r="N1301" i="2"/>
  <c r="I1302" i="2"/>
  <c r="J1302" i="2"/>
  <c r="K1302" i="2"/>
  <c r="L1302" i="2"/>
  <c r="M1302" i="2"/>
  <c r="N1302" i="2"/>
  <c r="I1303" i="2"/>
  <c r="J1303" i="2"/>
  <c r="K1303" i="2"/>
  <c r="L1303" i="2"/>
  <c r="M1303" i="2"/>
  <c r="N1303" i="2"/>
  <c r="H1303" i="2"/>
  <c r="H1026" i="2"/>
  <c r="H1027" i="2"/>
  <c r="H1028" i="2"/>
  <c r="H874" i="2"/>
  <c r="H875" i="2"/>
  <c r="H876" i="2"/>
  <c r="I867" i="2"/>
  <c r="J867" i="2"/>
  <c r="K867" i="2"/>
  <c r="L867" i="2"/>
  <c r="M867" i="2"/>
  <c r="N867" i="2"/>
  <c r="I868" i="2"/>
  <c r="J868" i="2"/>
  <c r="K868" i="2"/>
  <c r="L868" i="2"/>
  <c r="M868" i="2"/>
  <c r="N868" i="2"/>
  <c r="I869" i="2"/>
  <c r="J869" i="2"/>
  <c r="K869" i="2"/>
  <c r="L869" i="2"/>
  <c r="M869" i="2"/>
  <c r="N869" i="2"/>
  <c r="I858" i="2"/>
  <c r="J858" i="2"/>
  <c r="K858" i="2"/>
  <c r="L858" i="2"/>
  <c r="M858" i="2"/>
  <c r="N858" i="2"/>
  <c r="I859" i="2"/>
  <c r="J859" i="2"/>
  <c r="K859" i="2"/>
  <c r="L859" i="2"/>
  <c r="M859" i="2"/>
  <c r="N859" i="2"/>
  <c r="I860" i="2"/>
  <c r="J860" i="2"/>
  <c r="K860" i="2"/>
  <c r="L860" i="2"/>
  <c r="M860" i="2"/>
  <c r="N860" i="2"/>
  <c r="I799" i="2"/>
  <c r="J799" i="2"/>
  <c r="K799" i="2"/>
  <c r="L799" i="2"/>
  <c r="M799" i="2"/>
  <c r="N799" i="2"/>
  <c r="I800" i="2"/>
  <c r="J800" i="2"/>
  <c r="K800" i="2"/>
  <c r="L800" i="2"/>
  <c r="M800" i="2"/>
  <c r="N800" i="2"/>
  <c r="I801" i="2"/>
  <c r="J801" i="2"/>
  <c r="K801" i="2"/>
  <c r="L801" i="2"/>
  <c r="M801" i="2"/>
  <c r="N801" i="2"/>
  <c r="I700" i="2"/>
  <c r="I690" i="2" s="1"/>
  <c r="J700" i="2"/>
  <c r="K700" i="2"/>
  <c r="L700" i="2"/>
  <c r="M700" i="2"/>
  <c r="M690" i="2" s="1"/>
  <c r="N700" i="2"/>
  <c r="N690" i="2" s="1"/>
  <c r="I701" i="2"/>
  <c r="I691" i="2" s="1"/>
  <c r="J701" i="2"/>
  <c r="J691" i="2" s="1"/>
  <c r="K701" i="2"/>
  <c r="K691" i="2" s="1"/>
  <c r="L701" i="2"/>
  <c r="L691" i="2" s="1"/>
  <c r="M701" i="2"/>
  <c r="M691" i="2" s="1"/>
  <c r="N701" i="2"/>
  <c r="N691" i="2" s="1"/>
  <c r="I702" i="2"/>
  <c r="I692" i="2" s="1"/>
  <c r="J702" i="2"/>
  <c r="J692" i="2" s="1"/>
  <c r="K702" i="2"/>
  <c r="K692" i="2" s="1"/>
  <c r="L702" i="2"/>
  <c r="L692" i="2" s="1"/>
  <c r="M702" i="2"/>
  <c r="M692" i="2" s="1"/>
  <c r="N702" i="2"/>
  <c r="N692" i="2" s="1"/>
  <c r="H701" i="2"/>
  <c r="H691" i="2" s="1"/>
  <c r="H702" i="2"/>
  <c r="H692" i="2" s="1"/>
  <c r="H700" i="2"/>
  <c r="H690" i="2" s="1"/>
  <c r="J690" i="2"/>
  <c r="K690" i="2"/>
  <c r="L690" i="2"/>
  <c r="H689" i="2"/>
  <c r="I269" i="2"/>
  <c r="J269" i="2"/>
  <c r="K269" i="2"/>
  <c r="L269" i="2"/>
  <c r="M269" i="2"/>
  <c r="N269" i="2"/>
  <c r="H269" i="2"/>
  <c r="I241" i="2"/>
  <c r="J241" i="2"/>
  <c r="K241" i="2"/>
  <c r="L241" i="2"/>
  <c r="M241" i="2"/>
  <c r="N241" i="2"/>
  <c r="I242" i="2"/>
  <c r="J242" i="2"/>
  <c r="K242" i="2"/>
  <c r="L242" i="2"/>
  <c r="M242" i="2"/>
  <c r="N242" i="2"/>
  <c r="I210" i="2"/>
  <c r="J210" i="2"/>
  <c r="K210" i="2"/>
  <c r="L210" i="2"/>
  <c r="M210" i="2"/>
  <c r="N210" i="2"/>
  <c r="H210" i="2"/>
  <c r="L132" i="2"/>
  <c r="K132" i="2"/>
  <c r="J132" i="2"/>
  <c r="I132" i="2"/>
  <c r="N132" i="2"/>
  <c r="M132" i="2"/>
  <c r="I59" i="2"/>
  <c r="J59" i="2"/>
  <c r="K59" i="2"/>
  <c r="L59" i="2"/>
  <c r="M59" i="2"/>
  <c r="N59" i="2"/>
  <c r="H132" i="2" l="1"/>
  <c r="H780" i="2"/>
  <c r="I1061" i="2" l="1"/>
  <c r="I907" i="2"/>
  <c r="H908" i="2"/>
  <c r="H909" i="2"/>
  <c r="H902" i="2" s="1"/>
  <c r="H858" i="2" s="1"/>
  <c r="H910" i="2"/>
  <c r="H903" i="2" s="1"/>
  <c r="H859" i="2" s="1"/>
  <c r="H911" i="2"/>
  <c r="H904" i="2" s="1"/>
  <c r="H860" i="2" s="1"/>
  <c r="H907" i="2" l="1"/>
  <c r="H463" i="2"/>
  <c r="H467" i="2"/>
  <c r="H468" i="2"/>
  <c r="H469" i="2"/>
  <c r="H470" i="2"/>
  <c r="H474" i="2"/>
  <c r="H475" i="2"/>
  <c r="H476" i="2"/>
  <c r="H477" i="2"/>
  <c r="H478" i="2"/>
  <c r="H473" i="2" l="1"/>
  <c r="H466" i="2"/>
  <c r="H465" i="2" s="1"/>
  <c r="I1333" i="2" l="1"/>
  <c r="J1333" i="2"/>
  <c r="K1333" i="2"/>
  <c r="L1333" i="2"/>
  <c r="M1333" i="2"/>
  <c r="N1333" i="2"/>
  <c r="N1305" i="2" l="1"/>
  <c r="M1305" i="2"/>
  <c r="H1305" i="2"/>
  <c r="N1300" i="2"/>
  <c r="N1299" i="2" s="1"/>
  <c r="N1298" i="2" s="1"/>
  <c r="M1300" i="2"/>
  <c r="M1299" i="2" s="1"/>
  <c r="M1298" i="2" s="1"/>
  <c r="L1300" i="2"/>
  <c r="L1299" i="2" s="1"/>
  <c r="K1300" i="2"/>
  <c r="K1299" i="2" s="1"/>
  <c r="J1300" i="2"/>
  <c r="J1299" i="2" s="1"/>
  <c r="I1300" i="2"/>
  <c r="I1299" i="2" s="1"/>
  <c r="H1300" i="2"/>
  <c r="H1299" i="2" s="1"/>
  <c r="H1298" i="2" s="1"/>
  <c r="H794" i="2" l="1"/>
  <c r="H793" i="2"/>
  <c r="H792" i="2"/>
  <c r="N790" i="2"/>
  <c r="M790" i="2"/>
  <c r="L790" i="2"/>
  <c r="K790" i="2"/>
  <c r="J790" i="2"/>
  <c r="I790" i="2"/>
  <c r="H790" i="2" l="1"/>
  <c r="H1328" i="2"/>
  <c r="H1329" i="2"/>
  <c r="H1322" i="2" s="1"/>
  <c r="H1330" i="2"/>
  <c r="I1326" i="2"/>
  <c r="J1326" i="2"/>
  <c r="K1326" i="2"/>
  <c r="L1326" i="2"/>
  <c r="M1326" i="2"/>
  <c r="N1326" i="2"/>
  <c r="H1321" i="2" l="1"/>
  <c r="H1333" i="2" s="1"/>
  <c r="H1323" i="2"/>
  <c r="H1319" i="2" l="1"/>
  <c r="H1335" i="2"/>
  <c r="H915" i="2"/>
  <c r="L898" i="2" l="1"/>
  <c r="M898" i="2"/>
  <c r="N898" i="2"/>
  <c r="H898" i="2"/>
  <c r="I923" i="2" l="1"/>
  <c r="J923" i="2"/>
  <c r="K923" i="2"/>
  <c r="L923" i="2"/>
  <c r="M923" i="2"/>
  <c r="N923" i="2"/>
  <c r="I922" i="2"/>
  <c r="J922" i="2"/>
  <c r="K922" i="2"/>
  <c r="L922" i="2"/>
  <c r="M922" i="2"/>
  <c r="N922" i="2"/>
  <c r="I490" i="2"/>
  <c r="J490" i="2"/>
  <c r="K490" i="2"/>
  <c r="L490" i="2"/>
  <c r="M490" i="2"/>
  <c r="N490" i="2"/>
  <c r="I282" i="2"/>
  <c r="L282" i="2"/>
  <c r="I264" i="2" l="1"/>
  <c r="I687" i="2"/>
  <c r="J687" i="2"/>
  <c r="K687" i="2"/>
  <c r="L687" i="2"/>
  <c r="M687" i="2"/>
  <c r="N687" i="2"/>
  <c r="I689" i="2"/>
  <c r="J689" i="2"/>
  <c r="K689" i="2"/>
  <c r="L689" i="2"/>
  <c r="M689" i="2"/>
  <c r="N689" i="2"/>
  <c r="H687" i="2"/>
  <c r="I697" i="2"/>
  <c r="J697" i="2"/>
  <c r="K697" i="2"/>
  <c r="M697" i="2"/>
  <c r="N697" i="2"/>
  <c r="I699" i="2"/>
  <c r="J699" i="2"/>
  <c r="K699" i="2"/>
  <c r="L699" i="2"/>
  <c r="M699" i="2"/>
  <c r="N699" i="2"/>
  <c r="H699" i="2"/>
  <c r="H697" i="2"/>
  <c r="I798" i="2"/>
  <c r="J798" i="2"/>
  <c r="K798" i="2"/>
  <c r="L798" i="2"/>
  <c r="M798" i="2"/>
  <c r="N798" i="2"/>
  <c r="I1110" i="2"/>
  <c r="J1110" i="2"/>
  <c r="K1110" i="2"/>
  <c r="L1110" i="2"/>
  <c r="M1110" i="2"/>
  <c r="N1110" i="2"/>
  <c r="I1112" i="2"/>
  <c r="J1112" i="2"/>
  <c r="K1112" i="2"/>
  <c r="L1112" i="2"/>
  <c r="M1112" i="2"/>
  <c r="N1112" i="2"/>
  <c r="I1113" i="2"/>
  <c r="J1113" i="2"/>
  <c r="K1113" i="2"/>
  <c r="L1113" i="2"/>
  <c r="M1113" i="2"/>
  <c r="N1113" i="2"/>
  <c r="I1114" i="2"/>
  <c r="J1114" i="2"/>
  <c r="K1114" i="2"/>
  <c r="L1114" i="2"/>
  <c r="M1114" i="2"/>
  <c r="N1114" i="2"/>
  <c r="H1113" i="2"/>
  <c r="H1114" i="2"/>
  <c r="H1112" i="2"/>
  <c r="H1109" i="2" l="1"/>
  <c r="L685" i="2"/>
  <c r="H706" i="2" l="1"/>
  <c r="N705" i="2"/>
  <c r="M705" i="2"/>
  <c r="L705" i="2"/>
  <c r="K705" i="2"/>
  <c r="J705" i="2"/>
  <c r="I705" i="2"/>
  <c r="N696" i="2"/>
  <c r="N686" i="2" s="1"/>
  <c r="N685" i="2" s="1"/>
  <c r="M696" i="2"/>
  <c r="M686" i="2" s="1"/>
  <c r="M685" i="2" s="1"/>
  <c r="K696" i="2"/>
  <c r="K686" i="2" s="1"/>
  <c r="K685" i="2" s="1"/>
  <c r="J696" i="2"/>
  <c r="J686" i="2" s="1"/>
  <c r="J685" i="2" s="1"/>
  <c r="I696" i="2"/>
  <c r="I686" i="2" s="1"/>
  <c r="I685" i="2" s="1"/>
  <c r="H686" i="2" l="1"/>
  <c r="H685" i="2" s="1"/>
  <c r="H705" i="2"/>
  <c r="H696" i="2"/>
  <c r="N907" i="2"/>
  <c r="M907" i="2"/>
  <c r="L907" i="2"/>
  <c r="K907" i="2"/>
  <c r="J907" i="2"/>
  <c r="N901" i="2"/>
  <c r="M901" i="2"/>
  <c r="L901" i="2"/>
  <c r="K901" i="2"/>
  <c r="J901" i="2"/>
  <c r="I901" i="2"/>
  <c r="K900" i="2" l="1"/>
  <c r="K857" i="2"/>
  <c r="L900" i="2"/>
  <c r="L857" i="2"/>
  <c r="I900" i="2"/>
  <c r="I857" i="2"/>
  <c r="M900" i="2"/>
  <c r="M899" i="2" s="1"/>
  <c r="M857" i="2"/>
  <c r="J900" i="2"/>
  <c r="J857" i="2"/>
  <c r="N900" i="2"/>
  <c r="N899" i="2" s="1"/>
  <c r="N857" i="2"/>
  <c r="H901" i="2"/>
  <c r="H857" i="2" s="1"/>
  <c r="H890" i="2" l="1"/>
  <c r="H889" i="2"/>
  <c r="H888" i="2"/>
  <c r="N887" i="2"/>
  <c r="M887" i="2"/>
  <c r="H887" i="2"/>
  <c r="L886" i="2"/>
  <c r="K886" i="2"/>
  <c r="J886" i="2"/>
  <c r="I886" i="2"/>
  <c r="H883" i="2"/>
  <c r="H869" i="2" s="1"/>
  <c r="H882" i="2"/>
  <c r="H881" i="2"/>
  <c r="N879" i="2"/>
  <c r="N878" i="2" s="1"/>
  <c r="M879" i="2"/>
  <c r="M878" i="2" s="1"/>
  <c r="L879" i="2"/>
  <c r="K879" i="2"/>
  <c r="J879" i="2"/>
  <c r="I879" i="2"/>
  <c r="H873" i="2"/>
  <c r="N872" i="2"/>
  <c r="M872" i="2"/>
  <c r="L872" i="2"/>
  <c r="K872" i="2"/>
  <c r="J872" i="2"/>
  <c r="I872" i="2"/>
  <c r="L866" i="2"/>
  <c r="L856" i="2" s="1"/>
  <c r="K866" i="2"/>
  <c r="K856" i="2" s="1"/>
  <c r="J866" i="2"/>
  <c r="J856" i="2" s="1"/>
  <c r="I866" i="2"/>
  <c r="I856" i="2" s="1"/>
  <c r="H855" i="2"/>
  <c r="N864" i="2"/>
  <c r="N854" i="2" s="1"/>
  <c r="M864" i="2"/>
  <c r="M854" i="2" s="1"/>
  <c r="L864" i="2"/>
  <c r="L854" i="2" s="1"/>
  <c r="K864" i="2"/>
  <c r="K854" i="2" s="1"/>
  <c r="J864" i="2"/>
  <c r="J854" i="2" s="1"/>
  <c r="I864" i="2"/>
  <c r="I854" i="2" s="1"/>
  <c r="N797" i="2"/>
  <c r="M797" i="2"/>
  <c r="L797" i="2"/>
  <c r="K797" i="2"/>
  <c r="J797" i="2"/>
  <c r="I797" i="2"/>
  <c r="H278" i="2"/>
  <c r="H277" i="2"/>
  <c r="H276" i="2"/>
  <c r="H275" i="2"/>
  <c r="H274" i="2"/>
  <c r="H273" i="2"/>
  <c r="N272" i="2"/>
  <c r="M272" i="2"/>
  <c r="M271" i="2" s="1"/>
  <c r="L272" i="2"/>
  <c r="K272" i="2"/>
  <c r="J272" i="2"/>
  <c r="I272" i="2"/>
  <c r="N268" i="2"/>
  <c r="M268" i="2"/>
  <c r="L268" i="2"/>
  <c r="K268" i="2"/>
  <c r="J268" i="2"/>
  <c r="I268" i="2"/>
  <c r="N267" i="2"/>
  <c r="M267" i="2"/>
  <c r="L267" i="2"/>
  <c r="K267" i="2"/>
  <c r="J267" i="2"/>
  <c r="I267" i="2"/>
  <c r="N266" i="2"/>
  <c r="M266" i="2"/>
  <c r="L266" i="2"/>
  <c r="K266" i="2"/>
  <c r="J266" i="2"/>
  <c r="I266" i="2"/>
  <c r="N265" i="2"/>
  <c r="M265" i="2"/>
  <c r="L265" i="2"/>
  <c r="K265" i="2"/>
  <c r="J265" i="2"/>
  <c r="I265" i="2"/>
  <c r="N264" i="2"/>
  <c r="M264" i="2"/>
  <c r="L264" i="2"/>
  <c r="K264" i="2"/>
  <c r="J264" i="2"/>
  <c r="N263" i="2"/>
  <c r="M263" i="2"/>
  <c r="L263" i="2"/>
  <c r="K263" i="2"/>
  <c r="J263" i="2"/>
  <c r="I263" i="2"/>
  <c r="N262" i="2"/>
  <c r="M262" i="2"/>
  <c r="L262" i="2"/>
  <c r="K262" i="2"/>
  <c r="J262" i="2"/>
  <c r="I262" i="2"/>
  <c r="H868" i="2" l="1"/>
  <c r="H867" i="2"/>
  <c r="N886" i="2"/>
  <c r="N885" i="2" s="1"/>
  <c r="M886" i="2"/>
  <c r="M885" i="2" s="1"/>
  <c r="L853" i="2"/>
  <c r="H264" i="2"/>
  <c r="I853" i="2"/>
  <c r="J853" i="2"/>
  <c r="K853" i="2"/>
  <c r="H872" i="2"/>
  <c r="H871" i="2" s="1"/>
  <c r="H864" i="2"/>
  <c r="H854" i="2" s="1"/>
  <c r="M866" i="2"/>
  <c r="J863" i="2"/>
  <c r="K863" i="2"/>
  <c r="L863" i="2"/>
  <c r="I863" i="2"/>
  <c r="H879" i="2"/>
  <c r="H878" i="2" s="1"/>
  <c r="H886" i="2"/>
  <c r="H885" i="2" s="1"/>
  <c r="N866" i="2"/>
  <c r="H866" i="2"/>
  <c r="H266" i="2"/>
  <c r="H272" i="2"/>
  <c r="K261" i="2"/>
  <c r="J261" i="2"/>
  <c r="H265" i="2"/>
  <c r="H262" i="2"/>
  <c r="H263" i="2"/>
  <c r="H268" i="2"/>
  <c r="N261" i="2"/>
  <c r="H267" i="2"/>
  <c r="L261" i="2"/>
  <c r="I261" i="2"/>
  <c r="M261" i="2"/>
  <c r="M260" i="2" s="1"/>
  <c r="I1165" i="2"/>
  <c r="J1165" i="2"/>
  <c r="K1165" i="2"/>
  <c r="L1165" i="2"/>
  <c r="M1165" i="2"/>
  <c r="N1165" i="2"/>
  <c r="L1036" i="2"/>
  <c r="M1036" i="2"/>
  <c r="N1036" i="2"/>
  <c r="I995" i="2"/>
  <c r="J995" i="2"/>
  <c r="K995" i="2"/>
  <c r="L995" i="2"/>
  <c r="M995" i="2"/>
  <c r="N995" i="2"/>
  <c r="H261" i="2" l="1"/>
  <c r="N863" i="2"/>
  <c r="N856" i="2"/>
  <c r="N853" i="2" s="1"/>
  <c r="H863" i="2"/>
  <c r="H856" i="2"/>
  <c r="H853" i="2" s="1"/>
  <c r="M863" i="2"/>
  <c r="M856" i="2"/>
  <c r="M853" i="2" s="1"/>
  <c r="I165" i="2" l="1"/>
  <c r="L165" i="2"/>
  <c r="H124" i="2"/>
  <c r="H103" i="2" s="1"/>
  <c r="J103" i="2"/>
  <c r="H215" i="2"/>
  <c r="H207" i="2" s="1"/>
  <c r="I54" i="2"/>
  <c r="J54" i="2"/>
  <c r="K54" i="2"/>
  <c r="L54" i="2"/>
  <c r="I87" i="2"/>
  <c r="H137" i="2"/>
  <c r="H129" i="2" s="1"/>
  <c r="I51" i="2" l="1"/>
  <c r="J51" i="2"/>
  <c r="K51" i="2"/>
  <c r="L51" i="2"/>
  <c r="M1224" i="2" l="1"/>
  <c r="N1224" i="2"/>
  <c r="I1218" i="2"/>
  <c r="J1218" i="2"/>
  <c r="K1218" i="2"/>
  <c r="L1218" i="2"/>
  <c r="M1218" i="2"/>
  <c r="N1218" i="2"/>
  <c r="N1212" i="2"/>
  <c r="N1211" i="2" s="1"/>
  <c r="M1212" i="2"/>
  <c r="M1211" i="2" s="1"/>
  <c r="I1212" i="2" l="1"/>
  <c r="I1211" i="2" s="1"/>
  <c r="N1408" i="2" l="1"/>
  <c r="M1408" i="2"/>
  <c r="L1408" i="2"/>
  <c r="J1408" i="2"/>
  <c r="I1408" i="2"/>
  <c r="N1405" i="2"/>
  <c r="M1405" i="2"/>
  <c r="L1405" i="2"/>
  <c r="K1405" i="2"/>
  <c r="J1405" i="2"/>
  <c r="I1405" i="2"/>
  <c r="N1403" i="2"/>
  <c r="M1403" i="2"/>
  <c r="L1403" i="2"/>
  <c r="K1403" i="2"/>
  <c r="J1403" i="2"/>
  <c r="I1403" i="2"/>
  <c r="H1403" i="2"/>
  <c r="N1402" i="2"/>
  <c r="M1402" i="2"/>
  <c r="L1402" i="2"/>
  <c r="K1402" i="2"/>
  <c r="J1402" i="2"/>
  <c r="I1402" i="2"/>
  <c r="H1402" i="2"/>
  <c r="N1401" i="2"/>
  <c r="M1401" i="2"/>
  <c r="L1401" i="2"/>
  <c r="K1401" i="2"/>
  <c r="J1401" i="2"/>
  <c r="I1401" i="2"/>
  <c r="H1401" i="2"/>
  <c r="N1398" i="2"/>
  <c r="M1398" i="2"/>
  <c r="L1398" i="2"/>
  <c r="K1398" i="2"/>
  <c r="J1398" i="2"/>
  <c r="I1398" i="2"/>
  <c r="H1398" i="2"/>
  <c r="N1397" i="2"/>
  <c r="M1397" i="2"/>
  <c r="L1397" i="2"/>
  <c r="K1397" i="2"/>
  <c r="J1397" i="2"/>
  <c r="I1397" i="2"/>
  <c r="H1397" i="2"/>
  <c r="N1396" i="2"/>
  <c r="M1396" i="2"/>
  <c r="L1396" i="2"/>
  <c r="K1396" i="2"/>
  <c r="J1396" i="2"/>
  <c r="I1396" i="2"/>
  <c r="H1396" i="2"/>
  <c r="N1395" i="2"/>
  <c r="N1400" i="2" s="1"/>
  <c r="M1395" i="2"/>
  <c r="L1395" i="2"/>
  <c r="K1395" i="2"/>
  <c r="K1400" i="2" s="1"/>
  <c r="J1395" i="2"/>
  <c r="J1400" i="2" s="1"/>
  <c r="I1395" i="2"/>
  <c r="H1395" i="2"/>
  <c r="N1382" i="2"/>
  <c r="M1382" i="2"/>
  <c r="L1382" i="2"/>
  <c r="K1382" i="2"/>
  <c r="J1382" i="2"/>
  <c r="I1382" i="2"/>
  <c r="S1381" i="2"/>
  <c r="N1380" i="2"/>
  <c r="M1380" i="2"/>
  <c r="L1380" i="2"/>
  <c r="K1380" i="2"/>
  <c r="J1380" i="2"/>
  <c r="I1380" i="2"/>
  <c r="S1379" i="2"/>
  <c r="S1375" i="2"/>
  <c r="S1374" i="2"/>
  <c r="S1370" i="2"/>
  <c r="S1369" i="2"/>
  <c r="S1367" i="2"/>
  <c r="S1366" i="2"/>
  <c r="P1353" i="2"/>
  <c r="M1400" i="2" l="1"/>
  <c r="S1380" i="2"/>
  <c r="O1349" i="2"/>
  <c r="I1400" i="2"/>
  <c r="L1400" i="2"/>
  <c r="H1400" i="2"/>
  <c r="J672" i="2" l="1"/>
  <c r="K672" i="2"/>
  <c r="L672" i="2"/>
  <c r="M672" i="2"/>
  <c r="N672" i="2"/>
  <c r="I672" i="2"/>
  <c r="J675" i="2"/>
  <c r="J1365" i="2" s="1"/>
  <c r="K675" i="2"/>
  <c r="K1365" i="2" s="1"/>
  <c r="L675" i="2"/>
  <c r="L1365" i="2" s="1"/>
  <c r="M675" i="2"/>
  <c r="M1365" i="2" s="1"/>
  <c r="N675" i="2"/>
  <c r="N1365" i="2" s="1"/>
  <c r="I675" i="2"/>
  <c r="I1365" i="2" s="1"/>
  <c r="H682" i="2"/>
  <c r="H675" i="2" s="1"/>
  <c r="H681" i="2"/>
  <c r="H680" i="2"/>
  <c r="H679" i="2"/>
  <c r="N678" i="2"/>
  <c r="M678" i="2"/>
  <c r="L678" i="2"/>
  <c r="K678" i="2"/>
  <c r="J678" i="2"/>
  <c r="I678" i="2"/>
  <c r="H1365" i="2" l="1"/>
  <c r="H678" i="2"/>
  <c r="J1240" i="2" l="1"/>
  <c r="K1240" i="2"/>
  <c r="L1240" i="2"/>
  <c r="M1240" i="2"/>
  <c r="N1240" i="2"/>
  <c r="I1240" i="2"/>
  <c r="J1171" i="2"/>
  <c r="K1171" i="2"/>
  <c r="L1171" i="2"/>
  <c r="M1171" i="2"/>
  <c r="N1171" i="2"/>
  <c r="J1172" i="2"/>
  <c r="K1172" i="2"/>
  <c r="L1172" i="2"/>
  <c r="M1172" i="2"/>
  <c r="N1172" i="2"/>
  <c r="J1173" i="2"/>
  <c r="K1173" i="2"/>
  <c r="L1173" i="2"/>
  <c r="M1173" i="2"/>
  <c r="N1173" i="2"/>
  <c r="I1173" i="2"/>
  <c r="I1172" i="2"/>
  <c r="I1171" i="2"/>
  <c r="J1170" i="2"/>
  <c r="K1170" i="2"/>
  <c r="L1170" i="2"/>
  <c r="M1170" i="2"/>
  <c r="N1170" i="2"/>
  <c r="I1170" i="2"/>
  <c r="J971" i="2"/>
  <c r="K971" i="2"/>
  <c r="L971" i="2"/>
  <c r="M971" i="2"/>
  <c r="N971" i="2"/>
  <c r="I971" i="2"/>
  <c r="J972" i="2"/>
  <c r="K972" i="2"/>
  <c r="L972" i="2"/>
  <c r="M972" i="2"/>
  <c r="N972" i="2"/>
  <c r="I972" i="2"/>
  <c r="M973" i="2"/>
  <c r="N973" i="2"/>
  <c r="J973" i="2"/>
  <c r="L973" i="2"/>
  <c r="J974" i="2"/>
  <c r="K974" i="2"/>
  <c r="L974" i="2"/>
  <c r="M974" i="2"/>
  <c r="N974" i="2"/>
  <c r="I974" i="2"/>
  <c r="J820" i="2"/>
  <c r="K820" i="2"/>
  <c r="L820" i="2"/>
  <c r="M820" i="2"/>
  <c r="N820" i="2"/>
  <c r="I820" i="2"/>
  <c r="J821" i="2"/>
  <c r="K821" i="2"/>
  <c r="L821" i="2"/>
  <c r="M821" i="2"/>
  <c r="N821" i="2"/>
  <c r="I821" i="2"/>
  <c r="J822" i="2"/>
  <c r="K822" i="2"/>
  <c r="L822" i="2"/>
  <c r="M822" i="2"/>
  <c r="N822" i="2"/>
  <c r="I822" i="2"/>
  <c r="H785" i="2"/>
  <c r="H786" i="2"/>
  <c r="H787" i="2"/>
  <c r="I491" i="2"/>
  <c r="J491" i="2"/>
  <c r="K491" i="2"/>
  <c r="L491" i="2"/>
  <c r="M491" i="2"/>
  <c r="N491" i="2"/>
  <c r="I421" i="2"/>
  <c r="J421" i="2"/>
  <c r="K421" i="2"/>
  <c r="L421" i="2"/>
  <c r="M421" i="2"/>
  <c r="N421" i="2"/>
  <c r="I418" i="2"/>
  <c r="J418" i="2"/>
  <c r="K418" i="2"/>
  <c r="L418" i="2"/>
  <c r="M418" i="2"/>
  <c r="N418" i="2"/>
  <c r="I419" i="2"/>
  <c r="J419" i="2"/>
  <c r="K419" i="2"/>
  <c r="L419" i="2"/>
  <c r="M419" i="2"/>
  <c r="N419" i="2"/>
  <c r="I420" i="2"/>
  <c r="J420" i="2"/>
  <c r="K420" i="2"/>
  <c r="L420" i="2"/>
  <c r="M420" i="2"/>
  <c r="N420" i="2"/>
  <c r="I294" i="2"/>
  <c r="I313" i="2" s="1"/>
  <c r="J294" i="2"/>
  <c r="J313" i="2" s="1"/>
  <c r="K294" i="2"/>
  <c r="K313" i="2" s="1"/>
  <c r="L294" i="2"/>
  <c r="L313" i="2" s="1"/>
  <c r="M294" i="2"/>
  <c r="M313" i="2" s="1"/>
  <c r="N294" i="2"/>
  <c r="N313" i="2" s="1"/>
  <c r="H139" i="2"/>
  <c r="H131" i="2" s="1"/>
  <c r="H138" i="2"/>
  <c r="H130" i="2" s="1"/>
  <c r="N136" i="2"/>
  <c r="M136" i="2"/>
  <c r="L136" i="2"/>
  <c r="K136" i="2"/>
  <c r="J136" i="2"/>
  <c r="I136" i="2"/>
  <c r="N131" i="2"/>
  <c r="M131" i="2"/>
  <c r="L131" i="2"/>
  <c r="K131" i="2"/>
  <c r="J131" i="2"/>
  <c r="N130" i="2"/>
  <c r="M130" i="2"/>
  <c r="L130" i="2"/>
  <c r="K130" i="2"/>
  <c r="J130" i="2"/>
  <c r="I130" i="2"/>
  <c r="N129" i="2"/>
  <c r="M129" i="2"/>
  <c r="L129" i="2"/>
  <c r="K129" i="2"/>
  <c r="J129" i="2"/>
  <c r="I129" i="2"/>
  <c r="H821" i="2" l="1"/>
  <c r="H974" i="2"/>
  <c r="H972" i="2"/>
  <c r="H1173" i="2"/>
  <c r="H1170" i="2"/>
  <c r="H1172" i="2"/>
  <c r="H822" i="2"/>
  <c r="H820" i="2"/>
  <c r="H1171" i="2"/>
  <c r="H973" i="2"/>
  <c r="H971" i="2"/>
  <c r="H136" i="2"/>
  <c r="H135" i="2" s="1"/>
  <c r="I1001" i="2" l="1"/>
  <c r="J1001" i="2"/>
  <c r="K1001" i="2"/>
  <c r="L1001" i="2"/>
  <c r="M1001" i="2"/>
  <c r="N1001" i="2"/>
  <c r="I1000" i="2"/>
  <c r="J1000" i="2"/>
  <c r="M1000" i="2"/>
  <c r="N1000" i="2"/>
  <c r="H495" i="2" l="1"/>
  <c r="J1169" i="2" l="1"/>
  <c r="K1169" i="2"/>
  <c r="L1169" i="2"/>
  <c r="I1169" i="2"/>
  <c r="L1224" i="2" l="1"/>
  <c r="J1224" i="2" l="1"/>
  <c r="I1224" i="2"/>
  <c r="G1212" i="2"/>
  <c r="F1212" i="2"/>
  <c r="K1224" i="2" l="1"/>
  <c r="K1160" i="2"/>
  <c r="H1219" i="2"/>
  <c r="H1218" i="2" s="1"/>
  <c r="H1405" i="2" l="1"/>
  <c r="H184" i="2"/>
  <c r="H185" i="2"/>
  <c r="H186" i="2"/>
  <c r="H158" i="2" s="1"/>
  <c r="H188" i="2"/>
  <c r="H160" i="2" s="1"/>
  <c r="H189" i="2"/>
  <c r="H191" i="2"/>
  <c r="H192" i="2"/>
  <c r="H194" i="2"/>
  <c r="H195" i="2"/>
  <c r="H183" i="2"/>
  <c r="I1007" i="2" l="1"/>
  <c r="L396" i="2" l="1"/>
  <c r="J396" i="2"/>
  <c r="M396" i="2"/>
  <c r="N396" i="2"/>
  <c r="I396" i="2"/>
  <c r="D1270" i="2"/>
  <c r="E1270" i="2"/>
  <c r="F1270" i="2"/>
  <c r="G1270" i="2"/>
  <c r="M1270" i="2"/>
  <c r="N1270" i="2"/>
  <c r="C1270" i="2"/>
  <c r="I1273" i="2"/>
  <c r="J1273" i="2"/>
  <c r="K1273" i="2"/>
  <c r="L1273" i="2"/>
  <c r="M1273" i="2"/>
  <c r="N1273" i="2"/>
  <c r="I1274" i="2"/>
  <c r="J1274" i="2"/>
  <c r="K1274" i="2"/>
  <c r="L1274" i="2"/>
  <c r="M1274" i="2"/>
  <c r="N1274" i="2"/>
  <c r="I1272" i="2"/>
  <c r="I1313" i="2" s="1"/>
  <c r="J1272" i="2"/>
  <c r="J1313" i="2" s="1"/>
  <c r="K1272" i="2"/>
  <c r="K1313" i="2" s="1"/>
  <c r="L1272" i="2"/>
  <c r="L1313" i="2" s="1"/>
  <c r="M1272" i="2"/>
  <c r="M1313" i="2" s="1"/>
  <c r="N1272" i="2"/>
  <c r="N1313" i="2" s="1"/>
  <c r="I1071" i="2"/>
  <c r="J1071" i="2"/>
  <c r="K1071" i="2"/>
  <c r="L1071" i="2"/>
  <c r="M1071" i="2"/>
  <c r="N1071" i="2"/>
  <c r="M770" i="2"/>
  <c r="N770" i="2"/>
  <c r="I736" i="2"/>
  <c r="I755" i="2" s="1"/>
  <c r="J736" i="2"/>
  <c r="J755" i="2" s="1"/>
  <c r="K736" i="2"/>
  <c r="K755" i="2" s="1"/>
  <c r="L736" i="2"/>
  <c r="L755" i="2" s="1"/>
  <c r="M736" i="2"/>
  <c r="M755" i="2" s="1"/>
  <c r="N736" i="2"/>
  <c r="N755" i="2" s="1"/>
  <c r="I737" i="2"/>
  <c r="I756" i="2" s="1"/>
  <c r="J737" i="2"/>
  <c r="J756" i="2" s="1"/>
  <c r="K737" i="2"/>
  <c r="K756" i="2" s="1"/>
  <c r="L737" i="2"/>
  <c r="L756" i="2" s="1"/>
  <c r="M737" i="2"/>
  <c r="M756" i="2" s="1"/>
  <c r="N737" i="2"/>
  <c r="N756" i="2" s="1"/>
  <c r="I738" i="2"/>
  <c r="I757" i="2" s="1"/>
  <c r="J738" i="2"/>
  <c r="J757" i="2" s="1"/>
  <c r="K738" i="2"/>
  <c r="K757" i="2" s="1"/>
  <c r="L738" i="2"/>
  <c r="L757" i="2" s="1"/>
  <c r="M738" i="2"/>
  <c r="M757" i="2" s="1"/>
  <c r="N738" i="2"/>
  <c r="N757" i="2" s="1"/>
  <c r="I571" i="2"/>
  <c r="J571" i="2"/>
  <c r="K571" i="2"/>
  <c r="L571" i="2"/>
  <c r="M571" i="2"/>
  <c r="N571" i="2"/>
  <c r="I572" i="2"/>
  <c r="J572" i="2"/>
  <c r="K572" i="2"/>
  <c r="L572" i="2"/>
  <c r="M572" i="2"/>
  <c r="N572" i="2"/>
  <c r="I291" i="2"/>
  <c r="I310" i="2" s="1"/>
  <c r="J291" i="2"/>
  <c r="J310" i="2" s="1"/>
  <c r="K291" i="2"/>
  <c r="K310" i="2" s="1"/>
  <c r="L291" i="2"/>
  <c r="L310" i="2" s="1"/>
  <c r="M291" i="2"/>
  <c r="M310" i="2" s="1"/>
  <c r="N291" i="2"/>
  <c r="N310" i="2" s="1"/>
  <c r="I292" i="2"/>
  <c r="I311" i="2" s="1"/>
  <c r="J292" i="2"/>
  <c r="J311" i="2" s="1"/>
  <c r="K292" i="2"/>
  <c r="K311" i="2" s="1"/>
  <c r="L292" i="2"/>
  <c r="L311" i="2" s="1"/>
  <c r="M292" i="2"/>
  <c r="M311" i="2" s="1"/>
  <c r="N292" i="2"/>
  <c r="N311" i="2" s="1"/>
  <c r="I293" i="2"/>
  <c r="I312" i="2" s="1"/>
  <c r="J293" i="2"/>
  <c r="J312" i="2" s="1"/>
  <c r="K293" i="2"/>
  <c r="K312" i="2" s="1"/>
  <c r="L293" i="2"/>
  <c r="L312" i="2" s="1"/>
  <c r="M293" i="2"/>
  <c r="M312" i="2" s="1"/>
  <c r="N293" i="2"/>
  <c r="N312" i="2" s="1"/>
  <c r="I152" i="2"/>
  <c r="J152" i="2"/>
  <c r="K152" i="2"/>
  <c r="L152" i="2"/>
  <c r="M152" i="2"/>
  <c r="I153" i="2"/>
  <c r="J153" i="2"/>
  <c r="K153" i="2"/>
  <c r="L153" i="2"/>
  <c r="M153" i="2"/>
  <c r="N153" i="2"/>
  <c r="I154" i="2"/>
  <c r="J154" i="2"/>
  <c r="K154" i="2"/>
  <c r="L154" i="2"/>
  <c r="M154" i="2"/>
  <c r="I155" i="2"/>
  <c r="J155" i="2"/>
  <c r="K155" i="2"/>
  <c r="L155" i="2"/>
  <c r="M155" i="2"/>
  <c r="N155" i="2"/>
  <c r="I156" i="2"/>
  <c r="J156" i="2"/>
  <c r="K156" i="2"/>
  <c r="L156" i="2"/>
  <c r="M156" i="2"/>
  <c r="N156" i="2"/>
  <c r="I157" i="2"/>
  <c r="J157" i="2"/>
  <c r="K157" i="2"/>
  <c r="L157" i="2"/>
  <c r="M157" i="2"/>
  <c r="N157" i="2"/>
  <c r="I159" i="2"/>
  <c r="L159" i="2"/>
  <c r="M159" i="2"/>
  <c r="N159" i="2"/>
  <c r="I160" i="2"/>
  <c r="J160" i="2"/>
  <c r="K160" i="2"/>
  <c r="L160" i="2"/>
  <c r="M160" i="2"/>
  <c r="N160" i="2"/>
  <c r="I161" i="2"/>
  <c r="J161" i="2"/>
  <c r="K161" i="2"/>
  <c r="L161" i="2"/>
  <c r="M161" i="2"/>
  <c r="N161" i="2"/>
  <c r="I162" i="2"/>
  <c r="J162" i="2"/>
  <c r="K162" i="2"/>
  <c r="L162" i="2"/>
  <c r="M162" i="2"/>
  <c r="N162" i="2"/>
  <c r="I163" i="2"/>
  <c r="J163" i="2"/>
  <c r="L163" i="2"/>
  <c r="M163" i="2"/>
  <c r="N163" i="2"/>
  <c r="I164" i="2"/>
  <c r="J164" i="2"/>
  <c r="K164" i="2"/>
  <c r="L164" i="2"/>
  <c r="M164" i="2"/>
  <c r="N164" i="2"/>
  <c r="J165" i="2"/>
  <c r="K165" i="2"/>
  <c r="M165" i="2"/>
  <c r="N165" i="2"/>
  <c r="I166" i="2"/>
  <c r="J166" i="2"/>
  <c r="L166" i="2"/>
  <c r="M166" i="2"/>
  <c r="N166" i="2"/>
  <c r="I167" i="2"/>
  <c r="J167" i="2"/>
  <c r="K167" i="2"/>
  <c r="N167" i="2"/>
  <c r="J87" i="2"/>
  <c r="L87" i="2"/>
  <c r="I88" i="2"/>
  <c r="J88" i="2"/>
  <c r="K88" i="2"/>
  <c r="L88" i="2"/>
  <c r="M88" i="2"/>
  <c r="N88" i="2"/>
  <c r="I89" i="2"/>
  <c r="J89" i="2"/>
  <c r="K89" i="2"/>
  <c r="L89" i="2"/>
  <c r="M89" i="2"/>
  <c r="N89" i="2"/>
  <c r="I90" i="2"/>
  <c r="J90" i="2"/>
  <c r="K90" i="2"/>
  <c r="L90" i="2"/>
  <c r="M90" i="2"/>
  <c r="N90" i="2"/>
  <c r="I91" i="2"/>
  <c r="J91" i="2"/>
  <c r="K91" i="2"/>
  <c r="L91" i="2"/>
  <c r="M91" i="2"/>
  <c r="N91" i="2"/>
  <c r="I92" i="2"/>
  <c r="J92" i="2"/>
  <c r="K92" i="2"/>
  <c r="L92" i="2"/>
  <c r="M92" i="2"/>
  <c r="N92" i="2"/>
  <c r="I93" i="2"/>
  <c r="J93" i="2"/>
  <c r="K93" i="2"/>
  <c r="L93" i="2"/>
  <c r="M93" i="2"/>
  <c r="N93" i="2"/>
  <c r="I95" i="2"/>
  <c r="J95" i="2"/>
  <c r="K95" i="2"/>
  <c r="L95" i="2"/>
  <c r="M95" i="2"/>
  <c r="N95" i="2"/>
  <c r="I96" i="2"/>
  <c r="J96" i="2"/>
  <c r="K96" i="2"/>
  <c r="L96" i="2"/>
  <c r="M96" i="2"/>
  <c r="N96" i="2"/>
  <c r="I97" i="2"/>
  <c r="J97" i="2"/>
  <c r="K97" i="2"/>
  <c r="L97" i="2"/>
  <c r="M97" i="2"/>
  <c r="N97" i="2"/>
  <c r="I98" i="2"/>
  <c r="J98" i="2"/>
  <c r="K98" i="2"/>
  <c r="L98" i="2"/>
  <c r="M98" i="2"/>
  <c r="N98" i="2"/>
  <c r="I99" i="2"/>
  <c r="J99" i="2"/>
  <c r="K99" i="2"/>
  <c r="L99" i="2"/>
  <c r="M99" i="2"/>
  <c r="N99" i="2"/>
  <c r="I100" i="2"/>
  <c r="J100" i="2"/>
  <c r="K100" i="2"/>
  <c r="L100" i="2"/>
  <c r="M100" i="2"/>
  <c r="M1359" i="2" s="1"/>
  <c r="N100" i="2"/>
  <c r="N1359" i="2" s="1"/>
  <c r="I102" i="2"/>
  <c r="J102" i="2"/>
  <c r="K102" i="2"/>
  <c r="L102" i="2"/>
  <c r="M102" i="2"/>
  <c r="N102" i="2"/>
  <c r="I103" i="2"/>
  <c r="K103" i="2"/>
  <c r="L103" i="2"/>
  <c r="M103" i="2"/>
  <c r="N103" i="2"/>
  <c r="L144" i="2" l="1"/>
  <c r="K144" i="2"/>
  <c r="N144" i="2"/>
  <c r="J144" i="2"/>
  <c r="M144" i="2"/>
  <c r="I144" i="2"/>
  <c r="N810" i="2"/>
  <c r="N925" i="2" s="1"/>
  <c r="M810" i="2"/>
  <c r="M925" i="2" s="1"/>
  <c r="N1335" i="2"/>
  <c r="N1315" i="2"/>
  <c r="L1335" i="2"/>
  <c r="L1315" i="2"/>
  <c r="J1335" i="2"/>
  <c r="J1315" i="2"/>
  <c r="N1334" i="2"/>
  <c r="N1314" i="2"/>
  <c r="L1334" i="2"/>
  <c r="L1314" i="2"/>
  <c r="J1334" i="2"/>
  <c r="J1314" i="2"/>
  <c r="M1335" i="2"/>
  <c r="M1315" i="2"/>
  <c r="K1335" i="2"/>
  <c r="K1315" i="2"/>
  <c r="I1335" i="2"/>
  <c r="I1315" i="2"/>
  <c r="M1334" i="2"/>
  <c r="M1314" i="2"/>
  <c r="K1334" i="2"/>
  <c r="K1314" i="2"/>
  <c r="I1334" i="2"/>
  <c r="I1314" i="2"/>
  <c r="J1212" i="2"/>
  <c r="J1211" i="2" s="1"/>
  <c r="K1212" i="2"/>
  <c r="K1211" i="2" s="1"/>
  <c r="L1212" i="2"/>
  <c r="L1211" i="2" s="1"/>
  <c r="H1212" i="2"/>
  <c r="H1211" i="2" s="1"/>
  <c r="I1404" i="2"/>
  <c r="J1404" i="2"/>
  <c r="K1404" i="2"/>
  <c r="L1404" i="2"/>
  <c r="M1404" i="2"/>
  <c r="N1404" i="2"/>
  <c r="H1404" i="2"/>
  <c r="N372" i="2" l="1"/>
  <c r="M372" i="2"/>
  <c r="N370" i="2"/>
  <c r="N726" i="2" s="1"/>
  <c r="M370" i="2"/>
  <c r="M726" i="2" s="1"/>
  <c r="I767" i="2"/>
  <c r="J767" i="2"/>
  <c r="K767" i="2"/>
  <c r="M767" i="2"/>
  <c r="N767" i="2"/>
  <c r="I771" i="2"/>
  <c r="I811" i="2" s="1"/>
  <c r="J771" i="2"/>
  <c r="J811" i="2" s="1"/>
  <c r="K771" i="2"/>
  <c r="K811" i="2" s="1"/>
  <c r="L771" i="2"/>
  <c r="L811" i="2" s="1"/>
  <c r="M771" i="2"/>
  <c r="M811" i="2" s="1"/>
  <c r="N771" i="2"/>
  <c r="N811" i="2" s="1"/>
  <c r="I772" i="2"/>
  <c r="I812" i="2" s="1"/>
  <c r="I927" i="2" s="1"/>
  <c r="J772" i="2"/>
  <c r="J812" i="2" s="1"/>
  <c r="J927" i="2" s="1"/>
  <c r="K772" i="2"/>
  <c r="K812" i="2" s="1"/>
  <c r="K927" i="2" s="1"/>
  <c r="L772" i="2"/>
  <c r="L812" i="2" s="1"/>
  <c r="L927" i="2" s="1"/>
  <c r="M772" i="2"/>
  <c r="M812" i="2" s="1"/>
  <c r="M927" i="2" s="1"/>
  <c r="N772" i="2"/>
  <c r="N812" i="2" s="1"/>
  <c r="N927" i="2" s="1"/>
  <c r="I773" i="2"/>
  <c r="I813" i="2" s="1"/>
  <c r="I928" i="2" s="1"/>
  <c r="J773" i="2"/>
  <c r="J813" i="2" s="1"/>
  <c r="J928" i="2" s="1"/>
  <c r="K773" i="2"/>
  <c r="K813" i="2" s="1"/>
  <c r="K928" i="2" s="1"/>
  <c r="L773" i="2"/>
  <c r="L813" i="2" s="1"/>
  <c r="L928" i="2" s="1"/>
  <c r="M773" i="2"/>
  <c r="M813" i="2" s="1"/>
  <c r="M928" i="2" s="1"/>
  <c r="N773" i="2"/>
  <c r="N813" i="2" s="1"/>
  <c r="N928" i="2" s="1"/>
  <c r="J837" i="2"/>
  <c r="M837" i="2"/>
  <c r="N837" i="2"/>
  <c r="H837" i="2"/>
  <c r="I841" i="2"/>
  <c r="I921" i="2" s="1"/>
  <c r="J841" i="2"/>
  <c r="J921" i="2" s="1"/>
  <c r="K841" i="2"/>
  <c r="K921" i="2" s="1"/>
  <c r="L841" i="2"/>
  <c r="L921" i="2" s="1"/>
  <c r="M841" i="2"/>
  <c r="M921" i="2" s="1"/>
  <c r="N841" i="2"/>
  <c r="N921" i="2" s="1"/>
  <c r="I842" i="2"/>
  <c r="J842" i="2"/>
  <c r="K842" i="2"/>
  <c r="L842" i="2"/>
  <c r="M842" i="2"/>
  <c r="N842" i="2"/>
  <c r="I843" i="2"/>
  <c r="J843" i="2"/>
  <c r="K843" i="2"/>
  <c r="L843" i="2"/>
  <c r="M843" i="2"/>
  <c r="N843" i="2"/>
  <c r="H808" i="2"/>
  <c r="H801" i="2" s="1"/>
  <c r="H807" i="2"/>
  <c r="H800" i="2" s="1"/>
  <c r="H806" i="2"/>
  <c r="H799" i="2" s="1"/>
  <c r="H805" i="2"/>
  <c r="N804" i="2"/>
  <c r="M804" i="2"/>
  <c r="L804" i="2"/>
  <c r="K804" i="2"/>
  <c r="J804" i="2"/>
  <c r="I804" i="2"/>
  <c r="L770" i="2"/>
  <c r="K770" i="2"/>
  <c r="J770" i="2"/>
  <c r="I770" i="2"/>
  <c r="I810" i="2" l="1"/>
  <c r="L810" i="2"/>
  <c r="L925" i="2" s="1"/>
  <c r="J810" i="2"/>
  <c r="J925" i="2" s="1"/>
  <c r="K810" i="2"/>
  <c r="I925" i="2"/>
  <c r="M926" i="2"/>
  <c r="I926" i="2"/>
  <c r="L926" i="2"/>
  <c r="K926" i="2"/>
  <c r="N926" i="2"/>
  <c r="J926" i="2"/>
  <c r="H798" i="2"/>
  <c r="H797" i="2" s="1"/>
  <c r="H796" i="2" s="1"/>
  <c r="I695" i="2"/>
  <c r="H804" i="2"/>
  <c r="H803" i="2" s="1"/>
  <c r="J671" i="2" l="1"/>
  <c r="N671" i="2" l="1"/>
  <c r="L671" i="2"/>
  <c r="M671" i="2"/>
  <c r="I671" i="2"/>
  <c r="H672" i="2"/>
  <c r="K671" i="2"/>
  <c r="H1296" i="2"/>
  <c r="H1295" i="2"/>
  <c r="H1294" i="2"/>
  <c r="L1270" i="2"/>
  <c r="K1270" i="2"/>
  <c r="J1270" i="2"/>
  <c r="I1270" i="2"/>
  <c r="N1292" i="2"/>
  <c r="N1291" i="2" s="1"/>
  <c r="M1292" i="2"/>
  <c r="M1291" i="2" s="1"/>
  <c r="H1289" i="2"/>
  <c r="H1288" i="2"/>
  <c r="H1287" i="2"/>
  <c r="H1285" i="2"/>
  <c r="H1269" i="2" s="1"/>
  <c r="N1284" i="2"/>
  <c r="N1283" i="2" s="1"/>
  <c r="M1284" i="2"/>
  <c r="M1283" i="2" s="1"/>
  <c r="K1284" i="2"/>
  <c r="J1284" i="2"/>
  <c r="I1284" i="2"/>
  <c r="H1281" i="2"/>
  <c r="H1280" i="2"/>
  <c r="H1279" i="2"/>
  <c r="H1272" i="2" s="1"/>
  <c r="H1313" i="2" s="1"/>
  <c r="H1278" i="2"/>
  <c r="H1267" i="2" s="1"/>
  <c r="N1277" i="2"/>
  <c r="M1277" i="2"/>
  <c r="L1277" i="2"/>
  <c r="K1277" i="2"/>
  <c r="J1277" i="2"/>
  <c r="I1277" i="2"/>
  <c r="G1272" i="2"/>
  <c r="F1272" i="2"/>
  <c r="E1272" i="2"/>
  <c r="D1272" i="2"/>
  <c r="C1272" i="2"/>
  <c r="F1271" i="2"/>
  <c r="N1269" i="2"/>
  <c r="M1269" i="2"/>
  <c r="L1269" i="2"/>
  <c r="K1269" i="2"/>
  <c r="J1269" i="2"/>
  <c r="I1269" i="2"/>
  <c r="G1269" i="2"/>
  <c r="F1269" i="2"/>
  <c r="E1269" i="2"/>
  <c r="D1269" i="2"/>
  <c r="C1269" i="2"/>
  <c r="N1268" i="2"/>
  <c r="M1268" i="2"/>
  <c r="K1268" i="2"/>
  <c r="J1268" i="2"/>
  <c r="I1268" i="2"/>
  <c r="G1268" i="2"/>
  <c r="F1268" i="2"/>
  <c r="E1268" i="2"/>
  <c r="D1268" i="2"/>
  <c r="C1268" i="2"/>
  <c r="N1267" i="2"/>
  <c r="N1354" i="2" s="1"/>
  <c r="M1267" i="2"/>
  <c r="M1354" i="2" s="1"/>
  <c r="L1267" i="2"/>
  <c r="L1354" i="2" s="1"/>
  <c r="K1267" i="2"/>
  <c r="K1354" i="2" s="1"/>
  <c r="J1267" i="2"/>
  <c r="J1354" i="2" s="1"/>
  <c r="I1267" i="2"/>
  <c r="I1354" i="2" s="1"/>
  <c r="G1267" i="2"/>
  <c r="F1267" i="2"/>
  <c r="E1267" i="2"/>
  <c r="D1267" i="2"/>
  <c r="C1267" i="2"/>
  <c r="H1257" i="2"/>
  <c r="H1256" i="2"/>
  <c r="H1255" i="2"/>
  <c r="H1254" i="2"/>
  <c r="N1253" i="2"/>
  <c r="N1252" i="2" s="1"/>
  <c r="M1253" i="2"/>
  <c r="M1252" i="2" s="1"/>
  <c r="H1253" i="2"/>
  <c r="H1247" i="2"/>
  <c r="N1246" i="2"/>
  <c r="N1245" i="2" s="1"/>
  <c r="M1246" i="2"/>
  <c r="M1245" i="2" s="1"/>
  <c r="L1246" i="2"/>
  <c r="K1246" i="2"/>
  <c r="J1246" i="2"/>
  <c r="I1246" i="2"/>
  <c r="N1243" i="2"/>
  <c r="N1262" i="2" s="1"/>
  <c r="N1340" i="2" s="1"/>
  <c r="M1243" i="2"/>
  <c r="M1262" i="2" s="1"/>
  <c r="M1340" i="2" s="1"/>
  <c r="L1243" i="2"/>
  <c r="L1262" i="2" s="1"/>
  <c r="L1340" i="2" s="1"/>
  <c r="K1243" i="2"/>
  <c r="K1262" i="2" s="1"/>
  <c r="K1340" i="2" s="1"/>
  <c r="J1243" i="2"/>
  <c r="J1262" i="2" s="1"/>
  <c r="J1340" i="2" s="1"/>
  <c r="I1243" i="2"/>
  <c r="I1262" i="2" s="1"/>
  <c r="I1340" i="2" s="1"/>
  <c r="H1243" i="2"/>
  <c r="H1262" i="2" s="1"/>
  <c r="N1242" i="2"/>
  <c r="N1261" i="2" s="1"/>
  <c r="N1339" i="2" s="1"/>
  <c r="M1242" i="2"/>
  <c r="M1261" i="2" s="1"/>
  <c r="M1339" i="2" s="1"/>
  <c r="L1242" i="2"/>
  <c r="L1261" i="2" s="1"/>
  <c r="L1339" i="2" s="1"/>
  <c r="K1242" i="2"/>
  <c r="K1261" i="2" s="1"/>
  <c r="K1339" i="2" s="1"/>
  <c r="J1242" i="2"/>
  <c r="J1261" i="2" s="1"/>
  <c r="J1339" i="2" s="1"/>
  <c r="I1242" i="2"/>
  <c r="I1261" i="2" s="1"/>
  <c r="I1339" i="2" s="1"/>
  <c r="H1242" i="2"/>
  <c r="H1261" i="2" s="1"/>
  <c r="N1241" i="2"/>
  <c r="N1260" i="2" s="1"/>
  <c r="N1338" i="2" s="1"/>
  <c r="N1362" i="2" s="1"/>
  <c r="M1241" i="2"/>
  <c r="M1260" i="2" s="1"/>
  <c r="M1338" i="2" s="1"/>
  <c r="M1362" i="2" s="1"/>
  <c r="L1241" i="2"/>
  <c r="L1260" i="2" s="1"/>
  <c r="L1338" i="2" s="1"/>
  <c r="L1362" i="2" s="1"/>
  <c r="K1241" i="2"/>
  <c r="K1260" i="2" s="1"/>
  <c r="K1338" i="2" s="1"/>
  <c r="K1362" i="2" s="1"/>
  <c r="J1241" i="2"/>
  <c r="J1260" i="2" s="1"/>
  <c r="J1338" i="2" s="1"/>
  <c r="J1362" i="2" s="1"/>
  <c r="I1241" i="2"/>
  <c r="H1241" i="2"/>
  <c r="H1260" i="2" s="1"/>
  <c r="H1338" i="2" s="1"/>
  <c r="L1259" i="2"/>
  <c r="K1259" i="2"/>
  <c r="J1259" i="2"/>
  <c r="G1240" i="2"/>
  <c r="F1240" i="2"/>
  <c r="E1240" i="2"/>
  <c r="D1240" i="2"/>
  <c r="C1240" i="2"/>
  <c r="L1237" i="2"/>
  <c r="K1237" i="2"/>
  <c r="J1237" i="2"/>
  <c r="I1237" i="2"/>
  <c r="H1237" i="2"/>
  <c r="H1208" i="2"/>
  <c r="H1207" i="2"/>
  <c r="H1206" i="2"/>
  <c r="H1205" i="2"/>
  <c r="N1204" i="2"/>
  <c r="N1203" i="2" s="1"/>
  <c r="M1204" i="2"/>
  <c r="M1203" i="2" s="1"/>
  <c r="L1204" i="2"/>
  <c r="K1204" i="2"/>
  <c r="J1204" i="2"/>
  <c r="I1204" i="2"/>
  <c r="H1201" i="2"/>
  <c r="H1200" i="2"/>
  <c r="H1199" i="2"/>
  <c r="H1198" i="2"/>
  <c r="H1169" i="2" s="1"/>
  <c r="N1197" i="2"/>
  <c r="N1196" i="2" s="1"/>
  <c r="M1197" i="2"/>
  <c r="M1196" i="2" s="1"/>
  <c r="L1197" i="2"/>
  <c r="K1197" i="2"/>
  <c r="J1197" i="2"/>
  <c r="I1197" i="2"/>
  <c r="H1194" i="2"/>
  <c r="H1193" i="2"/>
  <c r="H1192" i="2"/>
  <c r="H1191" i="2"/>
  <c r="N1190" i="2"/>
  <c r="N1189" i="2" s="1"/>
  <c r="M1190" i="2"/>
  <c r="M1189" i="2" s="1"/>
  <c r="L1190" i="2"/>
  <c r="K1190" i="2"/>
  <c r="J1190" i="2"/>
  <c r="H1187" i="2"/>
  <c r="H1186" i="2"/>
  <c r="H1185" i="2"/>
  <c r="H1184" i="2"/>
  <c r="H1168" i="2" s="1"/>
  <c r="N1183" i="2"/>
  <c r="N1182" i="2" s="1"/>
  <c r="M1183" i="2"/>
  <c r="M1182" i="2" s="1"/>
  <c r="L1183" i="2"/>
  <c r="K1183" i="2"/>
  <c r="J1183" i="2"/>
  <c r="I1183" i="2"/>
  <c r="H1180" i="2"/>
  <c r="H1179" i="2"/>
  <c r="H1178" i="2"/>
  <c r="H1177" i="2"/>
  <c r="N1176" i="2"/>
  <c r="M1176" i="2"/>
  <c r="L1176" i="2"/>
  <c r="K1176" i="2"/>
  <c r="J1176" i="2"/>
  <c r="I1176" i="2"/>
  <c r="H1174" i="2"/>
  <c r="H1165" i="2" s="1"/>
  <c r="N1169" i="2"/>
  <c r="M1169" i="2"/>
  <c r="F1169" i="2"/>
  <c r="E1169" i="2"/>
  <c r="D1169" i="2"/>
  <c r="C1169" i="2"/>
  <c r="N1168" i="2"/>
  <c r="M1168" i="2"/>
  <c r="L1168" i="2"/>
  <c r="K1168" i="2"/>
  <c r="J1168" i="2"/>
  <c r="I1168" i="2"/>
  <c r="G1168" i="2"/>
  <c r="F1168" i="2"/>
  <c r="E1168" i="2"/>
  <c r="D1168" i="2"/>
  <c r="C1168" i="2"/>
  <c r="H1164" i="2"/>
  <c r="H1163" i="2"/>
  <c r="H1162" i="2"/>
  <c r="H1161" i="2"/>
  <c r="N1160" i="2"/>
  <c r="N1159" i="2" s="1"/>
  <c r="M1160" i="2"/>
  <c r="M1159" i="2" s="1"/>
  <c r="J1160" i="2"/>
  <c r="I1160" i="2"/>
  <c r="H1157" i="2"/>
  <c r="H1156" i="2"/>
  <c r="H1155" i="2"/>
  <c r="H1154" i="2"/>
  <c r="N1153" i="2"/>
  <c r="M1153" i="2"/>
  <c r="L1153" i="2"/>
  <c r="K1153" i="2"/>
  <c r="J1153" i="2"/>
  <c r="I1153" i="2"/>
  <c r="N1150" i="2"/>
  <c r="M1150" i="2"/>
  <c r="L1150" i="2"/>
  <c r="K1150" i="2"/>
  <c r="J1150" i="2"/>
  <c r="I1150" i="2"/>
  <c r="N1149" i="2"/>
  <c r="M1149" i="2"/>
  <c r="L1149" i="2"/>
  <c r="K1149" i="2"/>
  <c r="J1149" i="2"/>
  <c r="I1149" i="2"/>
  <c r="N1148" i="2"/>
  <c r="M1148" i="2"/>
  <c r="L1148" i="2"/>
  <c r="K1148" i="2"/>
  <c r="J1148" i="2"/>
  <c r="I1148" i="2"/>
  <c r="N1147" i="2"/>
  <c r="M1147" i="2"/>
  <c r="L1147" i="2"/>
  <c r="K1147" i="2"/>
  <c r="J1147" i="2"/>
  <c r="I1147" i="2"/>
  <c r="G1147" i="2"/>
  <c r="F1147" i="2"/>
  <c r="E1147" i="2"/>
  <c r="D1147" i="2"/>
  <c r="C1147" i="2"/>
  <c r="N1146" i="2"/>
  <c r="M1146" i="2"/>
  <c r="L1146" i="2"/>
  <c r="K1146" i="2"/>
  <c r="J1146" i="2"/>
  <c r="I1146" i="2"/>
  <c r="G1146" i="2"/>
  <c r="F1146" i="2"/>
  <c r="E1146" i="2"/>
  <c r="D1146" i="2"/>
  <c r="C1146" i="2"/>
  <c r="H1103" i="2"/>
  <c r="H1102" i="2" s="1"/>
  <c r="N1102" i="2"/>
  <c r="N1101" i="2" s="1"/>
  <c r="M1102" i="2"/>
  <c r="M1101" i="2" s="1"/>
  <c r="L1102" i="2"/>
  <c r="L1101" i="2" s="1"/>
  <c r="K1102" i="2"/>
  <c r="J1102" i="2"/>
  <c r="I1102" i="2"/>
  <c r="H1100" i="2"/>
  <c r="H1096" i="2"/>
  <c r="H1095" i="2" s="1"/>
  <c r="N1095" i="2"/>
  <c r="N1094" i="2" s="1"/>
  <c r="M1095" i="2"/>
  <c r="M1094" i="2" s="1"/>
  <c r="L1095" i="2"/>
  <c r="K1095" i="2"/>
  <c r="J1095" i="2"/>
  <c r="I1095" i="2"/>
  <c r="H1093" i="2"/>
  <c r="H1089" i="2"/>
  <c r="H1088" i="2" s="1"/>
  <c r="N1088" i="2"/>
  <c r="N1087" i="2" s="1"/>
  <c r="M1088" i="2"/>
  <c r="M1087" i="2" s="1"/>
  <c r="L1088" i="2"/>
  <c r="K1088" i="2"/>
  <c r="J1088" i="2"/>
  <c r="I1088" i="2"/>
  <c r="H1086" i="2"/>
  <c r="H1085" i="2"/>
  <c r="H1084" i="2"/>
  <c r="H1083" i="2"/>
  <c r="N1082" i="2"/>
  <c r="N1078" i="2" s="1"/>
  <c r="N1077" i="2" s="1"/>
  <c r="M1082" i="2"/>
  <c r="L1082" i="2"/>
  <c r="K1082" i="2"/>
  <c r="J1078" i="2"/>
  <c r="H1081" i="2"/>
  <c r="H1080" i="2"/>
  <c r="H1079" i="2"/>
  <c r="I1078" i="2"/>
  <c r="H1076" i="2"/>
  <c r="H1072" i="2"/>
  <c r="H1071" i="2" s="1"/>
  <c r="N1070" i="2"/>
  <c r="M1070" i="2"/>
  <c r="H1069" i="2"/>
  <c r="H1068" i="2"/>
  <c r="H1067" i="2"/>
  <c r="H1066" i="2"/>
  <c r="H1065" i="2"/>
  <c r="H1042" i="2" s="1"/>
  <c r="N1064" i="2"/>
  <c r="M1064" i="2"/>
  <c r="M1138" i="2" s="1"/>
  <c r="K1061" i="2"/>
  <c r="K1036" i="2" s="1"/>
  <c r="J1061" i="2"/>
  <c r="J1036" i="2" s="1"/>
  <c r="I1036" i="2"/>
  <c r="H1060" i="2"/>
  <c r="H1059" i="2"/>
  <c r="H1058" i="2"/>
  <c r="H1057" i="2"/>
  <c r="N1056" i="2"/>
  <c r="N1055" i="2" s="1"/>
  <c r="M1056" i="2"/>
  <c r="M1055" i="2" s="1"/>
  <c r="L1056" i="2"/>
  <c r="K1056" i="2"/>
  <c r="I1056" i="2"/>
  <c r="H1053" i="2"/>
  <c r="H1052" i="2"/>
  <c r="H1051" i="2"/>
  <c r="H1050" i="2"/>
  <c r="H1049" i="2"/>
  <c r="N1048" i="2"/>
  <c r="N1047" i="2" s="1"/>
  <c r="M1048" i="2"/>
  <c r="M1047" i="2" s="1"/>
  <c r="L1048" i="2"/>
  <c r="K1048" i="2"/>
  <c r="J1048" i="2"/>
  <c r="I1048" i="2"/>
  <c r="N1045" i="2"/>
  <c r="M1045" i="2"/>
  <c r="L1045" i="2"/>
  <c r="K1045" i="2"/>
  <c r="J1045" i="2"/>
  <c r="I1045" i="2"/>
  <c r="N1044" i="2"/>
  <c r="M1044" i="2"/>
  <c r="L1044" i="2"/>
  <c r="K1044" i="2"/>
  <c r="J1044" i="2"/>
  <c r="I1044" i="2"/>
  <c r="N1043" i="2"/>
  <c r="M1043" i="2"/>
  <c r="L1043" i="2"/>
  <c r="K1043" i="2"/>
  <c r="J1043" i="2"/>
  <c r="I1043" i="2"/>
  <c r="N1042" i="2"/>
  <c r="M1042" i="2"/>
  <c r="L1042" i="2"/>
  <c r="K1042" i="2"/>
  <c r="J1042" i="2"/>
  <c r="I1042" i="2"/>
  <c r="N1041" i="2"/>
  <c r="M1041" i="2"/>
  <c r="L1041" i="2"/>
  <c r="K1041" i="2"/>
  <c r="J1041" i="2"/>
  <c r="I1041" i="2"/>
  <c r="G1041" i="2"/>
  <c r="F1041" i="2"/>
  <c r="E1041" i="2"/>
  <c r="D1041" i="2"/>
  <c r="C1041" i="2"/>
  <c r="G1040" i="2"/>
  <c r="E1040" i="2"/>
  <c r="D1040" i="2"/>
  <c r="C1040" i="2"/>
  <c r="N1039" i="2"/>
  <c r="M1039" i="2"/>
  <c r="L1039" i="2"/>
  <c r="K1039" i="2"/>
  <c r="J1039" i="2"/>
  <c r="I1039" i="2"/>
  <c r="G1039" i="2"/>
  <c r="E1039" i="2"/>
  <c r="D1039" i="2"/>
  <c r="C1039" i="2"/>
  <c r="H1035" i="2"/>
  <c r="H1034" i="2"/>
  <c r="H1033" i="2"/>
  <c r="H1032" i="2"/>
  <c r="N1031" i="2"/>
  <c r="N1030" i="2" s="1"/>
  <c r="M1031" i="2"/>
  <c r="M1030" i="2" s="1"/>
  <c r="L1031" i="2"/>
  <c r="K1031" i="2"/>
  <c r="J1031" i="2"/>
  <c r="I1031" i="2"/>
  <c r="H1025" i="2"/>
  <c r="H1024" i="2" s="1"/>
  <c r="N1024" i="2"/>
  <c r="M1024" i="2"/>
  <c r="L1024" i="2"/>
  <c r="K1024" i="2"/>
  <c r="J1024" i="2"/>
  <c r="I1024" i="2"/>
  <c r="H1022" i="2"/>
  <c r="H995" i="2" s="1"/>
  <c r="H1021" i="2"/>
  <c r="H1020" i="2"/>
  <c r="H1019" i="2"/>
  <c r="H1017" i="2"/>
  <c r="N1016" i="2"/>
  <c r="M1016" i="2"/>
  <c r="K1016" i="2"/>
  <c r="J1016" i="2"/>
  <c r="I1016" i="2"/>
  <c r="H1013" i="2"/>
  <c r="H1012" i="2"/>
  <c r="H1011" i="2"/>
  <c r="H1010" i="2"/>
  <c r="H1009" i="2"/>
  <c r="H1008" i="2"/>
  <c r="N1007" i="2"/>
  <c r="N1006" i="2" s="1"/>
  <c r="M1007" i="2"/>
  <c r="M1006" i="2" s="1"/>
  <c r="L1007" i="2"/>
  <c r="K1007" i="2"/>
  <c r="J1007" i="2"/>
  <c r="N1004" i="2"/>
  <c r="M1004" i="2"/>
  <c r="L1004" i="2"/>
  <c r="K1004" i="2"/>
  <c r="J1004" i="2"/>
  <c r="I1004" i="2"/>
  <c r="N1003" i="2"/>
  <c r="M1003" i="2"/>
  <c r="L1003" i="2"/>
  <c r="K1003" i="2"/>
  <c r="J1003" i="2"/>
  <c r="I1003" i="2"/>
  <c r="N1002" i="2"/>
  <c r="M1002" i="2"/>
  <c r="L1002" i="2"/>
  <c r="K1002" i="2"/>
  <c r="J1002" i="2"/>
  <c r="I1002" i="2"/>
  <c r="G1001" i="2"/>
  <c r="F1001" i="2"/>
  <c r="E1001" i="2"/>
  <c r="D1001" i="2"/>
  <c r="C1001" i="2"/>
  <c r="G1000" i="2"/>
  <c r="F1000" i="2"/>
  <c r="E1000" i="2"/>
  <c r="D1000" i="2"/>
  <c r="C1000" i="2"/>
  <c r="N999" i="2"/>
  <c r="M999" i="2"/>
  <c r="L999" i="2"/>
  <c r="K999" i="2"/>
  <c r="J999" i="2"/>
  <c r="I999" i="2"/>
  <c r="G999" i="2"/>
  <c r="F999" i="2"/>
  <c r="E999" i="2"/>
  <c r="D999" i="2"/>
  <c r="C999" i="2"/>
  <c r="N998" i="2"/>
  <c r="M998" i="2"/>
  <c r="L998" i="2"/>
  <c r="K998" i="2"/>
  <c r="J998" i="2"/>
  <c r="I998" i="2"/>
  <c r="G998" i="2"/>
  <c r="F998" i="2"/>
  <c r="E998" i="2"/>
  <c r="D998" i="2"/>
  <c r="C998" i="2"/>
  <c r="H988" i="2"/>
  <c r="H987" i="2"/>
  <c r="H986" i="2"/>
  <c r="H985" i="2"/>
  <c r="N984" i="2"/>
  <c r="N983" i="2" s="1"/>
  <c r="M984" i="2"/>
  <c r="M983" i="2" s="1"/>
  <c r="L984" i="2"/>
  <c r="K984" i="2"/>
  <c r="J984" i="2"/>
  <c r="I984" i="2"/>
  <c r="H982" i="2"/>
  <c r="H981" i="2"/>
  <c r="H980" i="2"/>
  <c r="H979" i="2"/>
  <c r="H978" i="2"/>
  <c r="H970" i="2" s="1"/>
  <c r="N977" i="2"/>
  <c r="M977" i="2"/>
  <c r="M976" i="2" s="1"/>
  <c r="L977" i="2"/>
  <c r="K977" i="2"/>
  <c r="J977" i="2"/>
  <c r="I977" i="2"/>
  <c r="G971" i="2"/>
  <c r="F971" i="2"/>
  <c r="C971" i="2"/>
  <c r="N970" i="2"/>
  <c r="M970" i="2"/>
  <c r="L970" i="2"/>
  <c r="K970" i="2"/>
  <c r="J970" i="2"/>
  <c r="I970" i="2"/>
  <c r="G970" i="2"/>
  <c r="F970" i="2"/>
  <c r="E970" i="2"/>
  <c r="D970" i="2"/>
  <c r="C970" i="2"/>
  <c r="H966" i="2"/>
  <c r="H965" i="2"/>
  <c r="H964" i="2"/>
  <c r="H963" i="2"/>
  <c r="H939" i="2" s="1"/>
  <c r="N962" i="2"/>
  <c r="N961" i="2" s="1"/>
  <c r="M962" i="2"/>
  <c r="M961" i="2" s="1"/>
  <c r="L962" i="2"/>
  <c r="K962" i="2"/>
  <c r="J962" i="2"/>
  <c r="I962" i="2"/>
  <c r="H959" i="2"/>
  <c r="H958" i="2"/>
  <c r="H957" i="2"/>
  <c r="H956" i="2"/>
  <c r="H940" i="2" s="1"/>
  <c r="N955" i="2"/>
  <c r="N954" i="2" s="1"/>
  <c r="M955" i="2"/>
  <c r="M954" i="2" s="1"/>
  <c r="L955" i="2"/>
  <c r="K955" i="2"/>
  <c r="J955" i="2"/>
  <c r="I955" i="2"/>
  <c r="H952" i="2"/>
  <c r="H951" i="2"/>
  <c r="H950" i="2"/>
  <c r="H949" i="2"/>
  <c r="H947" i="2"/>
  <c r="N946" i="2"/>
  <c r="N945" i="2" s="1"/>
  <c r="M946" i="2"/>
  <c r="M945" i="2" s="1"/>
  <c r="L946" i="2"/>
  <c r="K946" i="2"/>
  <c r="I946" i="2"/>
  <c r="N943" i="2"/>
  <c r="M943" i="2"/>
  <c r="L943" i="2"/>
  <c r="K943" i="2"/>
  <c r="J943" i="2"/>
  <c r="I943" i="2"/>
  <c r="N942" i="2"/>
  <c r="M942" i="2"/>
  <c r="L942" i="2"/>
  <c r="K942" i="2"/>
  <c r="J942" i="2"/>
  <c r="I942" i="2"/>
  <c r="N941" i="2"/>
  <c r="M941" i="2"/>
  <c r="L941" i="2"/>
  <c r="K941" i="2"/>
  <c r="J941" i="2"/>
  <c r="I941" i="2"/>
  <c r="N940" i="2"/>
  <c r="N1368" i="2" s="1"/>
  <c r="M940" i="2"/>
  <c r="M1368" i="2" s="1"/>
  <c r="L940" i="2"/>
  <c r="L1368" i="2" s="1"/>
  <c r="K940" i="2"/>
  <c r="K1368" i="2" s="1"/>
  <c r="J940" i="2"/>
  <c r="J1368" i="2" s="1"/>
  <c r="I940" i="2"/>
  <c r="I1368" i="2" s="1"/>
  <c r="F940" i="2"/>
  <c r="E940" i="2"/>
  <c r="D940" i="2"/>
  <c r="C940" i="2"/>
  <c r="N939" i="2"/>
  <c r="M939" i="2"/>
  <c r="L939" i="2"/>
  <c r="K939" i="2"/>
  <c r="J939" i="2"/>
  <c r="I939" i="2"/>
  <c r="G939" i="2"/>
  <c r="F939" i="2"/>
  <c r="E939" i="2"/>
  <c r="D939" i="2"/>
  <c r="C939" i="2"/>
  <c r="N938" i="2"/>
  <c r="M938" i="2"/>
  <c r="L938" i="2"/>
  <c r="K938" i="2"/>
  <c r="J938" i="2"/>
  <c r="I938" i="2"/>
  <c r="G938" i="2"/>
  <c r="F938" i="2"/>
  <c r="E938" i="2"/>
  <c r="D938" i="2"/>
  <c r="C938" i="2"/>
  <c r="N937" i="2"/>
  <c r="M937" i="2"/>
  <c r="L937" i="2"/>
  <c r="K937" i="2"/>
  <c r="I937" i="2"/>
  <c r="G937" i="2"/>
  <c r="F937" i="2"/>
  <c r="E937" i="2"/>
  <c r="D937" i="2"/>
  <c r="C937" i="2"/>
  <c r="N936" i="2"/>
  <c r="M936" i="2"/>
  <c r="L936" i="2"/>
  <c r="K936" i="2"/>
  <c r="J936" i="2"/>
  <c r="I936" i="2"/>
  <c r="G936" i="2"/>
  <c r="F936" i="2"/>
  <c r="E936" i="2"/>
  <c r="D936" i="2"/>
  <c r="C936" i="2"/>
  <c r="H850" i="2"/>
  <c r="H843" i="2" s="1"/>
  <c r="H849" i="2"/>
  <c r="H842" i="2" s="1"/>
  <c r="H848" i="2"/>
  <c r="H841" i="2" s="1"/>
  <c r="H847" i="2"/>
  <c r="H840" i="2" s="1"/>
  <c r="N846" i="2"/>
  <c r="N845" i="2" s="1"/>
  <c r="M846" i="2"/>
  <c r="M845" i="2" s="1"/>
  <c r="L846" i="2"/>
  <c r="J846" i="2"/>
  <c r="I846" i="2"/>
  <c r="G840" i="2"/>
  <c r="F840" i="2"/>
  <c r="E840" i="2"/>
  <c r="D840" i="2"/>
  <c r="C840" i="2"/>
  <c r="H829" i="2"/>
  <c r="H828" i="2"/>
  <c r="H827" i="2"/>
  <c r="N825" i="2"/>
  <c r="N824" i="2" s="1"/>
  <c r="M825" i="2"/>
  <c r="M824" i="2" s="1"/>
  <c r="L825" i="2"/>
  <c r="J825" i="2"/>
  <c r="I825" i="2"/>
  <c r="N818" i="2"/>
  <c r="M818" i="2"/>
  <c r="L818" i="2"/>
  <c r="J818" i="2"/>
  <c r="I818" i="2"/>
  <c r="I817" i="2" s="1"/>
  <c r="G818" i="2"/>
  <c r="F818" i="2"/>
  <c r="E818" i="2"/>
  <c r="D818" i="2"/>
  <c r="C818" i="2"/>
  <c r="H779" i="2"/>
  <c r="H772" i="2" s="1"/>
  <c r="H812" i="2" s="1"/>
  <c r="H778" i="2"/>
  <c r="H771" i="2" s="1"/>
  <c r="H811" i="2" s="1"/>
  <c r="N776" i="2"/>
  <c r="N775" i="2" s="1"/>
  <c r="N768" i="2" s="1"/>
  <c r="M776" i="2"/>
  <c r="M775" i="2" s="1"/>
  <c r="M768" i="2" s="1"/>
  <c r="L776" i="2"/>
  <c r="G770" i="2"/>
  <c r="F770" i="2"/>
  <c r="E770" i="2"/>
  <c r="D770" i="2"/>
  <c r="C770" i="2"/>
  <c r="H752" i="2"/>
  <c r="H751" i="2"/>
  <c r="H750" i="2"/>
  <c r="H749" i="2"/>
  <c r="N748" i="2"/>
  <c r="M748" i="2"/>
  <c r="L748" i="2"/>
  <c r="K748" i="2"/>
  <c r="J748" i="2"/>
  <c r="I748" i="2"/>
  <c r="H746" i="2"/>
  <c r="H745" i="2"/>
  <c r="H744" i="2"/>
  <c r="H743" i="2"/>
  <c r="H742" i="2"/>
  <c r="N741" i="2"/>
  <c r="M741" i="2"/>
  <c r="L741" i="2"/>
  <c r="K741" i="2"/>
  <c r="J741" i="2"/>
  <c r="I741" i="2"/>
  <c r="H739" i="2"/>
  <c r="N735" i="2"/>
  <c r="M735" i="2"/>
  <c r="L735" i="2"/>
  <c r="K735" i="2"/>
  <c r="J735" i="2"/>
  <c r="I735" i="2"/>
  <c r="E735" i="2"/>
  <c r="D735" i="2"/>
  <c r="C735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N655" i="2"/>
  <c r="M655" i="2"/>
  <c r="L655" i="2"/>
  <c r="K655" i="2"/>
  <c r="J655" i="2"/>
  <c r="I655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N639" i="2"/>
  <c r="M639" i="2"/>
  <c r="L639" i="2"/>
  <c r="K639" i="2"/>
  <c r="J639" i="2"/>
  <c r="I639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N623" i="2"/>
  <c r="M623" i="2"/>
  <c r="L623" i="2"/>
  <c r="K623" i="2"/>
  <c r="J623" i="2"/>
  <c r="I623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N607" i="2"/>
  <c r="M607" i="2"/>
  <c r="L607" i="2"/>
  <c r="K607" i="2"/>
  <c r="J607" i="2"/>
  <c r="I607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N591" i="2"/>
  <c r="M591" i="2"/>
  <c r="L591" i="2"/>
  <c r="K591" i="2"/>
  <c r="J591" i="2"/>
  <c r="I591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N575" i="2"/>
  <c r="M575" i="2"/>
  <c r="L575" i="2"/>
  <c r="K575" i="2"/>
  <c r="J575" i="2"/>
  <c r="I575" i="2"/>
  <c r="N570" i="2"/>
  <c r="S1353" i="2" s="1"/>
  <c r="M570" i="2"/>
  <c r="L570" i="2"/>
  <c r="K570" i="2"/>
  <c r="J570" i="2"/>
  <c r="I570" i="2"/>
  <c r="G570" i="2"/>
  <c r="F570" i="2"/>
  <c r="E570" i="2"/>
  <c r="D570" i="2"/>
  <c r="C570" i="2"/>
  <c r="N569" i="2"/>
  <c r="M569" i="2"/>
  <c r="L569" i="2"/>
  <c r="K569" i="2"/>
  <c r="J569" i="2"/>
  <c r="I569" i="2"/>
  <c r="G569" i="2"/>
  <c r="F569" i="2"/>
  <c r="E569" i="2"/>
  <c r="D569" i="2"/>
  <c r="C569" i="2"/>
  <c r="N568" i="2"/>
  <c r="M568" i="2"/>
  <c r="L568" i="2"/>
  <c r="K568" i="2"/>
  <c r="J568" i="2"/>
  <c r="I568" i="2"/>
  <c r="G568" i="2"/>
  <c r="F568" i="2"/>
  <c r="E568" i="2"/>
  <c r="D568" i="2"/>
  <c r="C568" i="2"/>
  <c r="N567" i="2"/>
  <c r="M567" i="2"/>
  <c r="L567" i="2"/>
  <c r="K567" i="2"/>
  <c r="J567" i="2"/>
  <c r="I567" i="2"/>
  <c r="G567" i="2"/>
  <c r="F567" i="2"/>
  <c r="E567" i="2"/>
  <c r="D567" i="2"/>
  <c r="C567" i="2"/>
  <c r="N566" i="2"/>
  <c r="M566" i="2"/>
  <c r="L566" i="2"/>
  <c r="K566" i="2"/>
  <c r="J566" i="2"/>
  <c r="I566" i="2"/>
  <c r="G566" i="2"/>
  <c r="F566" i="2"/>
  <c r="E566" i="2"/>
  <c r="D566" i="2"/>
  <c r="C566" i="2"/>
  <c r="N565" i="2"/>
  <c r="M565" i="2"/>
  <c r="L565" i="2"/>
  <c r="K565" i="2"/>
  <c r="J565" i="2"/>
  <c r="I565" i="2"/>
  <c r="G565" i="2"/>
  <c r="F565" i="2"/>
  <c r="E565" i="2"/>
  <c r="D565" i="2"/>
  <c r="C565" i="2"/>
  <c r="N564" i="2"/>
  <c r="M564" i="2"/>
  <c r="L564" i="2"/>
  <c r="K564" i="2"/>
  <c r="J564" i="2"/>
  <c r="I564" i="2"/>
  <c r="G564" i="2"/>
  <c r="F564" i="2"/>
  <c r="E564" i="2"/>
  <c r="D564" i="2"/>
  <c r="C564" i="2"/>
  <c r="N563" i="2"/>
  <c r="M563" i="2"/>
  <c r="L563" i="2"/>
  <c r="K563" i="2"/>
  <c r="J563" i="2"/>
  <c r="I563" i="2"/>
  <c r="G563" i="2"/>
  <c r="F563" i="2"/>
  <c r="E563" i="2"/>
  <c r="D563" i="2"/>
  <c r="C563" i="2"/>
  <c r="N562" i="2"/>
  <c r="M562" i="2"/>
  <c r="L562" i="2"/>
  <c r="K562" i="2"/>
  <c r="J562" i="2"/>
  <c r="I562" i="2"/>
  <c r="G562" i="2"/>
  <c r="F562" i="2"/>
  <c r="E562" i="2"/>
  <c r="D562" i="2"/>
  <c r="C562" i="2"/>
  <c r="N561" i="2"/>
  <c r="N1386" i="2" s="1"/>
  <c r="M561" i="2"/>
  <c r="M1386" i="2" s="1"/>
  <c r="L561" i="2"/>
  <c r="L1386" i="2" s="1"/>
  <c r="K561" i="2"/>
  <c r="J561" i="2"/>
  <c r="J1386" i="2" s="1"/>
  <c r="I561" i="2"/>
  <c r="I1386" i="2" s="1"/>
  <c r="G561" i="2"/>
  <c r="F561" i="2"/>
  <c r="E561" i="2"/>
  <c r="D561" i="2"/>
  <c r="C561" i="2"/>
  <c r="H557" i="2"/>
  <c r="H1382" i="2" s="1"/>
  <c r="H556" i="2"/>
  <c r="H555" i="2"/>
  <c r="H554" i="2"/>
  <c r="H553" i="2"/>
  <c r="H489" i="2" s="1"/>
  <c r="H552" i="2"/>
  <c r="H551" i="2"/>
  <c r="H550" i="2"/>
  <c r="H485" i="2" s="1"/>
  <c r="N549" i="2"/>
  <c r="M549" i="2"/>
  <c r="L549" i="2"/>
  <c r="K549" i="2"/>
  <c r="J549" i="2"/>
  <c r="I549" i="2"/>
  <c r="H546" i="2"/>
  <c r="H545" i="2"/>
  <c r="H544" i="2"/>
  <c r="H543" i="2"/>
  <c r="H542" i="2"/>
  <c r="H541" i="2"/>
  <c r="H540" i="2"/>
  <c r="H539" i="2"/>
  <c r="N538" i="2"/>
  <c r="M538" i="2"/>
  <c r="L538" i="2"/>
  <c r="K538" i="2"/>
  <c r="J538" i="2"/>
  <c r="I538" i="2"/>
  <c r="H535" i="2"/>
  <c r="H534" i="2"/>
  <c r="H533" i="2"/>
  <c r="H532" i="2"/>
  <c r="H531" i="2"/>
  <c r="H530" i="2"/>
  <c r="H529" i="2"/>
  <c r="H528" i="2"/>
  <c r="N527" i="2"/>
  <c r="M527" i="2"/>
  <c r="L527" i="2"/>
  <c r="K527" i="2"/>
  <c r="J527" i="2"/>
  <c r="I527" i="2"/>
  <c r="H524" i="2"/>
  <c r="H523" i="2"/>
  <c r="H522" i="2"/>
  <c r="H521" i="2"/>
  <c r="H520" i="2"/>
  <c r="H519" i="2"/>
  <c r="H518" i="2"/>
  <c r="H517" i="2"/>
  <c r="N516" i="2"/>
  <c r="M516" i="2"/>
  <c r="L516" i="2"/>
  <c r="K516" i="2"/>
  <c r="J516" i="2"/>
  <c r="I516" i="2"/>
  <c r="H513" i="2"/>
  <c r="H512" i="2"/>
  <c r="H511" i="2"/>
  <c r="H510" i="2"/>
  <c r="H509" i="2"/>
  <c r="H508" i="2"/>
  <c r="H507" i="2"/>
  <c r="H506" i="2"/>
  <c r="N505" i="2"/>
  <c r="M505" i="2"/>
  <c r="L505" i="2"/>
  <c r="K505" i="2"/>
  <c r="J505" i="2"/>
  <c r="I505" i="2"/>
  <c r="H502" i="2"/>
  <c r="H491" i="2" s="1"/>
  <c r="H501" i="2"/>
  <c r="H500" i="2"/>
  <c r="H499" i="2"/>
  <c r="H498" i="2"/>
  <c r="H497" i="2"/>
  <c r="H496" i="2"/>
  <c r="N494" i="2"/>
  <c r="M494" i="2"/>
  <c r="L494" i="2"/>
  <c r="K494" i="2"/>
  <c r="J494" i="2"/>
  <c r="I494" i="2"/>
  <c r="N489" i="2"/>
  <c r="M489" i="2"/>
  <c r="L489" i="2"/>
  <c r="K489" i="2"/>
  <c r="J489" i="2"/>
  <c r="I489" i="2"/>
  <c r="G489" i="2"/>
  <c r="F489" i="2"/>
  <c r="E489" i="2"/>
  <c r="D489" i="2"/>
  <c r="C489" i="2"/>
  <c r="N488" i="2"/>
  <c r="M488" i="2"/>
  <c r="L488" i="2"/>
  <c r="K488" i="2"/>
  <c r="J488" i="2"/>
  <c r="I488" i="2"/>
  <c r="G488" i="2"/>
  <c r="F488" i="2"/>
  <c r="E488" i="2"/>
  <c r="D488" i="2"/>
  <c r="C488" i="2"/>
  <c r="N487" i="2"/>
  <c r="M487" i="2"/>
  <c r="L487" i="2"/>
  <c r="K487" i="2"/>
  <c r="J487" i="2"/>
  <c r="I487" i="2"/>
  <c r="G487" i="2"/>
  <c r="F487" i="2"/>
  <c r="E487" i="2"/>
  <c r="D487" i="2"/>
  <c r="C487" i="2"/>
  <c r="N486" i="2"/>
  <c r="M486" i="2"/>
  <c r="L486" i="2"/>
  <c r="K486" i="2"/>
  <c r="J486" i="2"/>
  <c r="I486" i="2"/>
  <c r="G486" i="2"/>
  <c r="F486" i="2"/>
  <c r="E486" i="2"/>
  <c r="D486" i="2"/>
  <c r="C486" i="2"/>
  <c r="N485" i="2"/>
  <c r="M485" i="2"/>
  <c r="L485" i="2"/>
  <c r="K485" i="2"/>
  <c r="J485" i="2"/>
  <c r="I485" i="2"/>
  <c r="G485" i="2"/>
  <c r="F485" i="2"/>
  <c r="D485" i="2"/>
  <c r="C485" i="2"/>
  <c r="N484" i="2"/>
  <c r="M484" i="2"/>
  <c r="L484" i="2"/>
  <c r="K484" i="2"/>
  <c r="J484" i="2"/>
  <c r="I484" i="2"/>
  <c r="G484" i="2"/>
  <c r="F484" i="2"/>
  <c r="E484" i="2"/>
  <c r="D484" i="2"/>
  <c r="C484" i="2"/>
  <c r="N483" i="2"/>
  <c r="M483" i="2"/>
  <c r="L483" i="2"/>
  <c r="K483" i="2"/>
  <c r="J483" i="2"/>
  <c r="I483" i="2"/>
  <c r="G483" i="2"/>
  <c r="F483" i="2"/>
  <c r="E483" i="2"/>
  <c r="D483" i="2"/>
  <c r="C483" i="2"/>
  <c r="N482" i="2"/>
  <c r="M482" i="2"/>
  <c r="L482" i="2"/>
  <c r="K482" i="2"/>
  <c r="J482" i="2"/>
  <c r="I482" i="2"/>
  <c r="G482" i="2"/>
  <c r="F482" i="2"/>
  <c r="E482" i="2"/>
  <c r="D482" i="2"/>
  <c r="C482" i="2"/>
  <c r="H462" i="2"/>
  <c r="H461" i="2"/>
  <c r="H441" i="2" s="1"/>
  <c r="H1361" i="2" s="1"/>
  <c r="H460" i="2"/>
  <c r="H440" i="2" s="1"/>
  <c r="H459" i="2"/>
  <c r="H439" i="2" s="1"/>
  <c r="H458" i="2"/>
  <c r="H438" i="2" s="1"/>
  <c r="H457" i="2"/>
  <c r="H437" i="2" s="1"/>
  <c r="H456" i="2"/>
  <c r="H436" i="2" s="1"/>
  <c r="H455" i="2"/>
  <c r="H435" i="2" s="1"/>
  <c r="H454" i="2"/>
  <c r="H434" i="2" s="1"/>
  <c r="N453" i="2"/>
  <c r="M453" i="2"/>
  <c r="L453" i="2"/>
  <c r="K453" i="2"/>
  <c r="J453" i="2"/>
  <c r="I453" i="2"/>
  <c r="H450" i="2"/>
  <c r="H449" i="2"/>
  <c r="H448" i="2"/>
  <c r="H447" i="2"/>
  <c r="H432" i="2" s="1"/>
  <c r="N446" i="2"/>
  <c r="N445" i="2" s="1"/>
  <c r="M446" i="2"/>
  <c r="M445" i="2" s="1"/>
  <c r="L446" i="2"/>
  <c r="K446" i="2"/>
  <c r="J446" i="2"/>
  <c r="I446" i="2"/>
  <c r="N443" i="2"/>
  <c r="M443" i="2"/>
  <c r="L443" i="2"/>
  <c r="K443" i="2"/>
  <c r="J443" i="2"/>
  <c r="I443" i="2"/>
  <c r="N442" i="2"/>
  <c r="M442" i="2"/>
  <c r="L442" i="2"/>
  <c r="K442" i="2"/>
  <c r="J442" i="2"/>
  <c r="I442" i="2"/>
  <c r="N441" i="2"/>
  <c r="N1361" i="2" s="1"/>
  <c r="M441" i="2"/>
  <c r="M1361" i="2" s="1"/>
  <c r="L441" i="2"/>
  <c r="L1361" i="2" s="1"/>
  <c r="K441" i="2"/>
  <c r="K1361" i="2" s="1"/>
  <c r="J441" i="2"/>
  <c r="J1361" i="2" s="1"/>
  <c r="I441" i="2"/>
  <c r="I1361" i="2" s="1"/>
  <c r="N440" i="2"/>
  <c r="M440" i="2"/>
  <c r="L440" i="2"/>
  <c r="K440" i="2"/>
  <c r="J440" i="2"/>
  <c r="I440" i="2"/>
  <c r="G440" i="2"/>
  <c r="F440" i="2"/>
  <c r="E440" i="2"/>
  <c r="D440" i="2"/>
  <c r="C440" i="2"/>
  <c r="L439" i="2"/>
  <c r="L1359" i="2" s="1"/>
  <c r="K439" i="2"/>
  <c r="K1359" i="2" s="1"/>
  <c r="J439" i="2"/>
  <c r="J1359" i="2" s="1"/>
  <c r="I439" i="2"/>
  <c r="I1359" i="2" s="1"/>
  <c r="N438" i="2"/>
  <c r="M438" i="2"/>
  <c r="L438" i="2"/>
  <c r="K438" i="2"/>
  <c r="J438" i="2"/>
  <c r="I438" i="2"/>
  <c r="G438" i="2"/>
  <c r="F438" i="2"/>
  <c r="E438" i="2"/>
  <c r="D438" i="2"/>
  <c r="C438" i="2"/>
  <c r="N437" i="2"/>
  <c r="M437" i="2"/>
  <c r="L437" i="2"/>
  <c r="K437" i="2"/>
  <c r="J437" i="2"/>
  <c r="I437" i="2"/>
  <c r="G437" i="2"/>
  <c r="F437" i="2"/>
  <c r="D437" i="2"/>
  <c r="C437" i="2"/>
  <c r="N436" i="2"/>
  <c r="M436" i="2"/>
  <c r="L436" i="2"/>
  <c r="K436" i="2"/>
  <c r="J436" i="2"/>
  <c r="I436" i="2"/>
  <c r="N435" i="2"/>
  <c r="M435" i="2"/>
  <c r="L435" i="2"/>
  <c r="K435" i="2"/>
  <c r="J435" i="2"/>
  <c r="I435" i="2"/>
  <c r="D435" i="2"/>
  <c r="N434" i="2"/>
  <c r="M434" i="2"/>
  <c r="L434" i="2"/>
  <c r="K434" i="2"/>
  <c r="J434" i="2"/>
  <c r="I434" i="2"/>
  <c r="G434" i="2"/>
  <c r="F434" i="2"/>
  <c r="E434" i="2"/>
  <c r="D434" i="2"/>
  <c r="C434" i="2"/>
  <c r="N433" i="2"/>
  <c r="M433" i="2"/>
  <c r="L433" i="2"/>
  <c r="K433" i="2"/>
  <c r="J433" i="2"/>
  <c r="I433" i="2"/>
  <c r="G433" i="2"/>
  <c r="F433" i="2"/>
  <c r="E433" i="2"/>
  <c r="D433" i="2"/>
  <c r="C433" i="2"/>
  <c r="N432" i="2"/>
  <c r="M432" i="2"/>
  <c r="L432" i="2"/>
  <c r="K432" i="2"/>
  <c r="J432" i="2"/>
  <c r="I432" i="2"/>
  <c r="G432" i="2"/>
  <c r="F432" i="2"/>
  <c r="E432" i="2"/>
  <c r="D432" i="2"/>
  <c r="C432" i="2"/>
  <c r="H428" i="2"/>
  <c r="H421" i="2" s="1"/>
  <c r="H427" i="2"/>
  <c r="H426" i="2"/>
  <c r="H425" i="2"/>
  <c r="H418" i="2" s="1"/>
  <c r="N424" i="2"/>
  <c r="N423" i="2" s="1"/>
  <c r="M424" i="2"/>
  <c r="M423" i="2" s="1"/>
  <c r="L424" i="2"/>
  <c r="K424" i="2"/>
  <c r="J424" i="2"/>
  <c r="I424" i="2"/>
  <c r="G418" i="2"/>
  <c r="F418" i="2"/>
  <c r="E418" i="2"/>
  <c r="D418" i="2"/>
  <c r="C418" i="2"/>
  <c r="N415" i="2"/>
  <c r="M415" i="2"/>
  <c r="L415" i="2"/>
  <c r="K415" i="2"/>
  <c r="J415" i="2"/>
  <c r="I415" i="2"/>
  <c r="H415" i="2"/>
  <c r="H414" i="2"/>
  <c r="H413" i="2"/>
  <c r="H412" i="2"/>
  <c r="N410" i="2"/>
  <c r="N409" i="2" s="1"/>
  <c r="M410" i="2"/>
  <c r="M409" i="2" s="1"/>
  <c r="K410" i="2"/>
  <c r="J410" i="2"/>
  <c r="I410" i="2"/>
  <c r="H407" i="2"/>
  <c r="H406" i="2"/>
  <c r="H405" i="2"/>
  <c r="N403" i="2"/>
  <c r="N402" i="2" s="1"/>
  <c r="M403" i="2"/>
  <c r="M402" i="2" s="1"/>
  <c r="K403" i="2"/>
  <c r="J403" i="2"/>
  <c r="I403" i="2"/>
  <c r="N400" i="2"/>
  <c r="M400" i="2"/>
  <c r="L400" i="2"/>
  <c r="K400" i="2"/>
  <c r="J400" i="2"/>
  <c r="I400" i="2"/>
  <c r="N399" i="2"/>
  <c r="M399" i="2"/>
  <c r="L399" i="2"/>
  <c r="K399" i="2"/>
  <c r="J399" i="2"/>
  <c r="I399" i="2"/>
  <c r="N398" i="2"/>
  <c r="M398" i="2"/>
  <c r="L398" i="2"/>
  <c r="K398" i="2"/>
  <c r="J398" i="2"/>
  <c r="I398" i="2"/>
  <c r="N397" i="2"/>
  <c r="M397" i="2"/>
  <c r="K397" i="2"/>
  <c r="J397" i="2"/>
  <c r="I397" i="2"/>
  <c r="G397" i="2"/>
  <c r="F397" i="2"/>
  <c r="E397" i="2"/>
  <c r="D397" i="2"/>
  <c r="C397" i="2"/>
  <c r="G396" i="2"/>
  <c r="F396" i="2"/>
  <c r="E396" i="2"/>
  <c r="D396" i="2"/>
  <c r="C396" i="2"/>
  <c r="N393" i="2"/>
  <c r="M393" i="2"/>
  <c r="L393" i="2"/>
  <c r="K393" i="2"/>
  <c r="J393" i="2"/>
  <c r="I393" i="2"/>
  <c r="H393" i="2"/>
  <c r="H392" i="2"/>
  <c r="H391" i="2"/>
  <c r="H390" i="2"/>
  <c r="H389" i="2"/>
  <c r="H332" i="2" s="1"/>
  <c r="H388" i="2"/>
  <c r="H331" i="2" s="1"/>
  <c r="H387" i="2"/>
  <c r="H330" i="2" s="1"/>
  <c r="H386" i="2"/>
  <c r="H329" i="2" s="1"/>
  <c r="N385" i="2"/>
  <c r="N384" i="2" s="1"/>
  <c r="M385" i="2"/>
  <c r="M384" i="2" s="1"/>
  <c r="L385" i="2"/>
  <c r="K385" i="2"/>
  <c r="J385" i="2"/>
  <c r="I385" i="2"/>
  <c r="H382" i="2"/>
  <c r="H381" i="2"/>
  <c r="H380" i="2"/>
  <c r="N378" i="2"/>
  <c r="N377" i="2" s="1"/>
  <c r="M378" i="2"/>
  <c r="M377" i="2" s="1"/>
  <c r="L378" i="2"/>
  <c r="K378" i="2"/>
  <c r="I378" i="2"/>
  <c r="H375" i="2"/>
  <c r="H374" i="2"/>
  <c r="H373" i="2"/>
  <c r="I366" i="2"/>
  <c r="H326" i="2"/>
  <c r="H369" i="2"/>
  <c r="H324" i="2" s="1"/>
  <c r="H368" i="2"/>
  <c r="H323" i="2" s="1"/>
  <c r="H367" i="2"/>
  <c r="H322" i="2" s="1"/>
  <c r="N366" i="2"/>
  <c r="N365" i="2" s="1"/>
  <c r="M366" i="2"/>
  <c r="M365" i="2" s="1"/>
  <c r="H363" i="2"/>
  <c r="H362" i="2"/>
  <c r="H361" i="2"/>
  <c r="H360" i="2"/>
  <c r="H321" i="2" s="1"/>
  <c r="N359" i="2"/>
  <c r="N358" i="2" s="1"/>
  <c r="M359" i="2"/>
  <c r="M358" i="2" s="1"/>
  <c r="L359" i="2"/>
  <c r="K359" i="2"/>
  <c r="J359" i="2"/>
  <c r="I359" i="2"/>
  <c r="H356" i="2"/>
  <c r="H355" i="2"/>
  <c r="H354" i="2"/>
  <c r="N352" i="2"/>
  <c r="N351" i="2" s="1"/>
  <c r="M352" i="2"/>
  <c r="M351" i="2" s="1"/>
  <c r="K352" i="2"/>
  <c r="J352" i="2"/>
  <c r="I352" i="2"/>
  <c r="H349" i="2"/>
  <c r="H348" i="2"/>
  <c r="H347" i="2"/>
  <c r="H346" i="2"/>
  <c r="H319" i="2" s="1"/>
  <c r="N345" i="2"/>
  <c r="N344" i="2" s="1"/>
  <c r="M345" i="2"/>
  <c r="M344" i="2" s="1"/>
  <c r="L345" i="2"/>
  <c r="K345" i="2"/>
  <c r="J345" i="2"/>
  <c r="I345" i="2"/>
  <c r="H342" i="2"/>
  <c r="H341" i="2"/>
  <c r="H340" i="2"/>
  <c r="N338" i="2"/>
  <c r="N337" i="2" s="1"/>
  <c r="M338" i="2"/>
  <c r="M337" i="2" s="1"/>
  <c r="K338" i="2"/>
  <c r="J338" i="2"/>
  <c r="I338" i="2"/>
  <c r="N335" i="2"/>
  <c r="M335" i="2"/>
  <c r="M729" i="2" s="1"/>
  <c r="L335" i="2"/>
  <c r="K335" i="2"/>
  <c r="J335" i="2"/>
  <c r="I335" i="2"/>
  <c r="I729" i="2" s="1"/>
  <c r="N334" i="2"/>
  <c r="M334" i="2"/>
  <c r="L334" i="2"/>
  <c r="K334" i="2"/>
  <c r="K728" i="2" s="1"/>
  <c r="J334" i="2"/>
  <c r="I334" i="2"/>
  <c r="N333" i="2"/>
  <c r="M333" i="2"/>
  <c r="L333" i="2"/>
  <c r="K333" i="2"/>
  <c r="J333" i="2"/>
  <c r="I333" i="2"/>
  <c r="N332" i="2"/>
  <c r="M332" i="2"/>
  <c r="L332" i="2"/>
  <c r="K332" i="2"/>
  <c r="J332" i="2"/>
  <c r="I332" i="2"/>
  <c r="G332" i="2"/>
  <c r="F332" i="2"/>
  <c r="E332" i="2"/>
  <c r="D332" i="2"/>
  <c r="C332" i="2"/>
  <c r="N331" i="2"/>
  <c r="M331" i="2"/>
  <c r="L331" i="2"/>
  <c r="K331" i="2"/>
  <c r="J331" i="2"/>
  <c r="I331" i="2"/>
  <c r="G331" i="2"/>
  <c r="F331" i="2"/>
  <c r="E331" i="2"/>
  <c r="D331" i="2"/>
  <c r="C331" i="2"/>
  <c r="N330" i="2"/>
  <c r="M330" i="2"/>
  <c r="L330" i="2"/>
  <c r="K330" i="2"/>
  <c r="J330" i="2"/>
  <c r="I330" i="2"/>
  <c r="G330" i="2"/>
  <c r="F330" i="2"/>
  <c r="E330" i="2"/>
  <c r="D330" i="2"/>
  <c r="C330" i="2"/>
  <c r="N329" i="2"/>
  <c r="M329" i="2"/>
  <c r="L329" i="2"/>
  <c r="K329" i="2"/>
  <c r="J329" i="2"/>
  <c r="I329" i="2"/>
  <c r="G329" i="2"/>
  <c r="F329" i="2"/>
  <c r="E329" i="2"/>
  <c r="D329" i="2"/>
  <c r="C329" i="2"/>
  <c r="N328" i="2"/>
  <c r="M328" i="2"/>
  <c r="L328" i="2"/>
  <c r="K328" i="2"/>
  <c r="I328" i="2"/>
  <c r="G328" i="2"/>
  <c r="F328" i="2"/>
  <c r="E328" i="2"/>
  <c r="D328" i="2"/>
  <c r="C328" i="2"/>
  <c r="N327" i="2"/>
  <c r="M327" i="2"/>
  <c r="G327" i="2"/>
  <c r="E327" i="2"/>
  <c r="D327" i="2"/>
  <c r="C327" i="2"/>
  <c r="N326" i="2"/>
  <c r="M326" i="2"/>
  <c r="L326" i="2"/>
  <c r="K326" i="2"/>
  <c r="J326" i="2"/>
  <c r="I326" i="2"/>
  <c r="G326" i="2"/>
  <c r="E326" i="2"/>
  <c r="D326" i="2"/>
  <c r="C326" i="2"/>
  <c r="N325" i="2"/>
  <c r="M325" i="2"/>
  <c r="K325" i="2"/>
  <c r="J325" i="2"/>
  <c r="I325" i="2"/>
  <c r="G325" i="2"/>
  <c r="F325" i="2"/>
  <c r="E325" i="2"/>
  <c r="D325" i="2"/>
  <c r="C325" i="2"/>
  <c r="N324" i="2"/>
  <c r="M324" i="2"/>
  <c r="L324" i="2"/>
  <c r="K324" i="2"/>
  <c r="J324" i="2"/>
  <c r="I324" i="2"/>
  <c r="G324" i="2"/>
  <c r="F324" i="2"/>
  <c r="E324" i="2"/>
  <c r="D324" i="2"/>
  <c r="C324" i="2"/>
  <c r="N323" i="2"/>
  <c r="M323" i="2"/>
  <c r="L323" i="2"/>
  <c r="K323" i="2"/>
  <c r="J323" i="2"/>
  <c r="I323" i="2"/>
  <c r="G323" i="2"/>
  <c r="F323" i="2"/>
  <c r="E323" i="2"/>
  <c r="D323" i="2"/>
  <c r="C323" i="2"/>
  <c r="N322" i="2"/>
  <c r="M322" i="2"/>
  <c r="L322" i="2"/>
  <c r="K322" i="2"/>
  <c r="J322" i="2"/>
  <c r="I322" i="2"/>
  <c r="G322" i="2"/>
  <c r="F322" i="2"/>
  <c r="E322" i="2"/>
  <c r="D322" i="2"/>
  <c r="C322" i="2"/>
  <c r="N321" i="2"/>
  <c r="N1356" i="2" s="1"/>
  <c r="M321" i="2"/>
  <c r="M1356" i="2" s="1"/>
  <c r="L321" i="2"/>
  <c r="L1356" i="2" s="1"/>
  <c r="K321" i="2"/>
  <c r="J321" i="2"/>
  <c r="J1356" i="2" s="1"/>
  <c r="I321" i="2"/>
  <c r="I1356" i="2" s="1"/>
  <c r="G321" i="2"/>
  <c r="F321" i="2"/>
  <c r="E321" i="2"/>
  <c r="D321" i="2"/>
  <c r="C321" i="2"/>
  <c r="N320" i="2"/>
  <c r="M320" i="2"/>
  <c r="K320" i="2"/>
  <c r="J320" i="2"/>
  <c r="I320" i="2"/>
  <c r="G320" i="2"/>
  <c r="F320" i="2"/>
  <c r="E320" i="2"/>
  <c r="D320" i="2"/>
  <c r="C320" i="2"/>
  <c r="N319" i="2"/>
  <c r="M319" i="2"/>
  <c r="L319" i="2"/>
  <c r="K319" i="2"/>
  <c r="J319" i="2"/>
  <c r="I319" i="2"/>
  <c r="G319" i="2"/>
  <c r="F319" i="2"/>
  <c r="E319" i="2"/>
  <c r="D319" i="2"/>
  <c r="C319" i="2"/>
  <c r="N318" i="2"/>
  <c r="M318" i="2"/>
  <c r="K318" i="2"/>
  <c r="J318" i="2"/>
  <c r="I318" i="2"/>
  <c r="G318" i="2"/>
  <c r="F318" i="2"/>
  <c r="E318" i="2"/>
  <c r="D318" i="2"/>
  <c r="C318" i="2"/>
  <c r="H308" i="2"/>
  <c r="H307" i="2"/>
  <c r="H306" i="2"/>
  <c r="H305" i="2"/>
  <c r="N304" i="2"/>
  <c r="M304" i="2"/>
  <c r="L304" i="2"/>
  <c r="K304" i="2"/>
  <c r="J304" i="2"/>
  <c r="I304" i="2"/>
  <c r="H301" i="2"/>
  <c r="H300" i="2"/>
  <c r="H299" i="2"/>
  <c r="H298" i="2"/>
  <c r="N297" i="2"/>
  <c r="N296" i="2" s="1"/>
  <c r="M297" i="2"/>
  <c r="M296" i="2" s="1"/>
  <c r="L297" i="2"/>
  <c r="K297" i="2"/>
  <c r="J297" i="2"/>
  <c r="I297" i="2"/>
  <c r="G291" i="2"/>
  <c r="F291" i="2"/>
  <c r="E291" i="2"/>
  <c r="D291" i="2"/>
  <c r="C291" i="2"/>
  <c r="N254" i="2"/>
  <c r="N253" i="2" s="1"/>
  <c r="M254" i="2"/>
  <c r="M253" i="2" s="1"/>
  <c r="L254" i="2"/>
  <c r="K254" i="2"/>
  <c r="J254" i="2"/>
  <c r="I254" i="2"/>
  <c r="H254" i="2"/>
  <c r="H251" i="2"/>
  <c r="H243" i="2" s="1"/>
  <c r="H250" i="2"/>
  <c r="H242" i="2" s="1"/>
  <c r="H249" i="2"/>
  <c r="H241" i="2" s="1"/>
  <c r="H248" i="2"/>
  <c r="N247" i="2"/>
  <c r="N282" i="2" s="1"/>
  <c r="M247" i="2"/>
  <c r="M282" i="2" s="1"/>
  <c r="J247" i="2"/>
  <c r="J282" i="2" s="1"/>
  <c r="L246" i="2"/>
  <c r="K246" i="2"/>
  <c r="I246" i="2"/>
  <c r="N243" i="2"/>
  <c r="M243" i="2"/>
  <c r="L243" i="2"/>
  <c r="K243" i="2"/>
  <c r="J243" i="2"/>
  <c r="I243" i="2"/>
  <c r="N240" i="2"/>
  <c r="M240" i="2"/>
  <c r="L240" i="2"/>
  <c r="K240" i="2"/>
  <c r="J240" i="2"/>
  <c r="I240" i="2"/>
  <c r="H240" i="2"/>
  <c r="G240" i="2"/>
  <c r="F240" i="2"/>
  <c r="E240" i="2"/>
  <c r="D240" i="2"/>
  <c r="C240" i="2"/>
  <c r="N239" i="2"/>
  <c r="M239" i="2"/>
  <c r="L239" i="2"/>
  <c r="K239" i="2"/>
  <c r="J239" i="2"/>
  <c r="I239" i="2"/>
  <c r="G239" i="2"/>
  <c r="F239" i="2"/>
  <c r="E239" i="2"/>
  <c r="D239" i="2"/>
  <c r="C239" i="2"/>
  <c r="L238" i="2"/>
  <c r="K238" i="2"/>
  <c r="I238" i="2"/>
  <c r="G238" i="2"/>
  <c r="F238" i="2"/>
  <c r="E238" i="2"/>
  <c r="D238" i="2"/>
  <c r="C238" i="2"/>
  <c r="N229" i="2"/>
  <c r="M229" i="2"/>
  <c r="K229" i="2"/>
  <c r="I229" i="2"/>
  <c r="N221" i="2"/>
  <c r="M221" i="2"/>
  <c r="K221" i="2"/>
  <c r="I221" i="2"/>
  <c r="H216" i="2"/>
  <c r="H208" i="2" s="1"/>
  <c r="H214" i="2"/>
  <c r="H206" i="2" s="1"/>
  <c r="N213" i="2"/>
  <c r="N205" i="2" s="1"/>
  <c r="M213" i="2"/>
  <c r="M212" i="2" s="1"/>
  <c r="L213" i="2"/>
  <c r="L205" i="2" s="1"/>
  <c r="K213" i="2"/>
  <c r="K205" i="2" s="1"/>
  <c r="J213" i="2"/>
  <c r="J205" i="2" s="1"/>
  <c r="I213" i="2"/>
  <c r="I205" i="2" s="1"/>
  <c r="N209" i="2"/>
  <c r="N284" i="2" s="1"/>
  <c r="M209" i="2"/>
  <c r="M284" i="2" s="1"/>
  <c r="L209" i="2"/>
  <c r="L284" i="2" s="1"/>
  <c r="K209" i="2"/>
  <c r="J209" i="2"/>
  <c r="J284" i="2" s="1"/>
  <c r="I209" i="2"/>
  <c r="I284" i="2" s="1"/>
  <c r="H209" i="2"/>
  <c r="N208" i="2"/>
  <c r="N1372" i="2" s="1"/>
  <c r="M208" i="2"/>
  <c r="M1372" i="2" s="1"/>
  <c r="L1372" i="2"/>
  <c r="K1372" i="2"/>
  <c r="J1372" i="2"/>
  <c r="I1372" i="2"/>
  <c r="N207" i="2"/>
  <c r="M207" i="2"/>
  <c r="N206" i="2"/>
  <c r="M206" i="2"/>
  <c r="H202" i="2"/>
  <c r="K201" i="2"/>
  <c r="H201" i="2" s="1"/>
  <c r="H200" i="2"/>
  <c r="H164" i="2" s="1"/>
  <c r="H199" i="2"/>
  <c r="N198" i="2"/>
  <c r="N197" i="2" s="1"/>
  <c r="M198" i="2"/>
  <c r="M197" i="2" s="1"/>
  <c r="L198" i="2"/>
  <c r="J198" i="2"/>
  <c r="I198" i="2"/>
  <c r="H190" i="2"/>
  <c r="H161" i="2"/>
  <c r="H157" i="2"/>
  <c r="H156" i="2"/>
  <c r="N182" i="2"/>
  <c r="N181" i="2" s="1"/>
  <c r="M182" i="2"/>
  <c r="M181" i="2" s="1"/>
  <c r="L182" i="2"/>
  <c r="J182" i="2"/>
  <c r="I182" i="2"/>
  <c r="H149" i="2"/>
  <c r="H179" i="2"/>
  <c r="H168" i="2" s="1"/>
  <c r="H178" i="2"/>
  <c r="H1380" i="2" s="1"/>
  <c r="H177" i="2"/>
  <c r="H176" i="2"/>
  <c r="H162" i="2" s="1"/>
  <c r="H175" i="2"/>
  <c r="H174" i="2"/>
  <c r="H154" i="2" s="1"/>
  <c r="H173" i="2"/>
  <c r="H153" i="2" s="1"/>
  <c r="H172" i="2"/>
  <c r="N171" i="2"/>
  <c r="N170" i="2" s="1"/>
  <c r="M171" i="2"/>
  <c r="M170" i="2" s="1"/>
  <c r="L171" i="2"/>
  <c r="K171" i="2"/>
  <c r="J171" i="2"/>
  <c r="I171" i="2"/>
  <c r="N168" i="2"/>
  <c r="M168" i="2"/>
  <c r="L168" i="2"/>
  <c r="K168" i="2"/>
  <c r="J168" i="2"/>
  <c r="I168" i="2"/>
  <c r="F167" i="2"/>
  <c r="E167" i="2"/>
  <c r="D167" i="2"/>
  <c r="C167" i="2"/>
  <c r="G166" i="2"/>
  <c r="F166" i="2"/>
  <c r="E165" i="2"/>
  <c r="D165" i="2"/>
  <c r="C165" i="2"/>
  <c r="G163" i="2"/>
  <c r="F163" i="2"/>
  <c r="E163" i="2"/>
  <c r="D163" i="2"/>
  <c r="C163" i="2"/>
  <c r="G162" i="2"/>
  <c r="F162" i="2"/>
  <c r="E162" i="2"/>
  <c r="D162" i="2"/>
  <c r="C162" i="2"/>
  <c r="G161" i="2"/>
  <c r="F161" i="2"/>
  <c r="E161" i="2"/>
  <c r="D161" i="2"/>
  <c r="C161" i="2"/>
  <c r="G160" i="2"/>
  <c r="F160" i="2"/>
  <c r="E160" i="2"/>
  <c r="D160" i="2"/>
  <c r="C160" i="2"/>
  <c r="G159" i="2"/>
  <c r="F159" i="2"/>
  <c r="E159" i="2"/>
  <c r="D159" i="2"/>
  <c r="C159" i="2"/>
  <c r="G158" i="2"/>
  <c r="F158" i="2"/>
  <c r="C158" i="2"/>
  <c r="G157" i="2"/>
  <c r="F157" i="2"/>
  <c r="C157" i="2"/>
  <c r="G156" i="2"/>
  <c r="F156" i="2"/>
  <c r="C156" i="2"/>
  <c r="G155" i="2"/>
  <c r="F155" i="2"/>
  <c r="E155" i="2"/>
  <c r="D155" i="2"/>
  <c r="C155" i="2"/>
  <c r="G154" i="2"/>
  <c r="F154" i="2"/>
  <c r="E154" i="2"/>
  <c r="D154" i="2"/>
  <c r="C154" i="2"/>
  <c r="G153" i="2"/>
  <c r="F153" i="2"/>
  <c r="E153" i="2"/>
  <c r="D153" i="2"/>
  <c r="C153" i="2"/>
  <c r="G152" i="2"/>
  <c r="F152" i="2"/>
  <c r="E152" i="2"/>
  <c r="D152" i="2"/>
  <c r="C152" i="2"/>
  <c r="N149" i="2"/>
  <c r="M149" i="2"/>
  <c r="L149" i="2"/>
  <c r="K149" i="2"/>
  <c r="J149" i="2"/>
  <c r="I149" i="2"/>
  <c r="B125" i="2"/>
  <c r="H123" i="2"/>
  <c r="H102" i="2" s="1"/>
  <c r="H121" i="2"/>
  <c r="H100" i="2" s="1"/>
  <c r="H120" i="2"/>
  <c r="H99" i="2" s="1"/>
  <c r="H119" i="2"/>
  <c r="H98" i="2" s="1"/>
  <c r="H118" i="2"/>
  <c r="H97" i="2" s="1"/>
  <c r="H117" i="2"/>
  <c r="H96" i="2" s="1"/>
  <c r="B117" i="2"/>
  <c r="H114" i="2"/>
  <c r="H93" i="2" s="1"/>
  <c r="H113" i="2"/>
  <c r="H92" i="2" s="1"/>
  <c r="H112" i="2"/>
  <c r="H91" i="2" s="1"/>
  <c r="H111" i="2"/>
  <c r="H90" i="2" s="1"/>
  <c r="H110" i="2"/>
  <c r="H89" i="2" s="1"/>
  <c r="H109" i="2"/>
  <c r="H88" i="2" s="1"/>
  <c r="H108" i="2"/>
  <c r="H87" i="2" s="1"/>
  <c r="B108" i="2"/>
  <c r="N107" i="2"/>
  <c r="N106" i="2" s="1"/>
  <c r="M107" i="2"/>
  <c r="M106" i="2" s="1"/>
  <c r="L107" i="2"/>
  <c r="K107" i="2"/>
  <c r="J107" i="2"/>
  <c r="I107" i="2"/>
  <c r="B107" i="2"/>
  <c r="B106" i="2"/>
  <c r="B105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H82" i="2"/>
  <c r="H81" i="2"/>
  <c r="H80" i="2"/>
  <c r="H59" i="2" s="1"/>
  <c r="H79" i="2"/>
  <c r="H58" i="2" s="1"/>
  <c r="H78" i="2"/>
  <c r="H77" i="2"/>
  <c r="H76" i="2"/>
  <c r="N75" i="2"/>
  <c r="N74" i="2" s="1"/>
  <c r="M75" i="2"/>
  <c r="M74" i="2" s="1"/>
  <c r="K75" i="2"/>
  <c r="J75" i="2"/>
  <c r="I75" i="2"/>
  <c r="H71" i="2"/>
  <c r="H70" i="2"/>
  <c r="H68" i="2"/>
  <c r="H56" i="2" s="1"/>
  <c r="H67" i="2"/>
  <c r="H55" i="2" s="1"/>
  <c r="H66" i="2"/>
  <c r="H54" i="2" s="1"/>
  <c r="N65" i="2"/>
  <c r="M65" i="2"/>
  <c r="K65" i="2"/>
  <c r="I65" i="2"/>
  <c r="N62" i="2"/>
  <c r="N147" i="2" s="1"/>
  <c r="N133" i="2" s="1"/>
  <c r="N128" i="2" s="1"/>
  <c r="M62" i="2"/>
  <c r="M147" i="2" s="1"/>
  <c r="M133" i="2" s="1"/>
  <c r="M128" i="2" s="1"/>
  <c r="L62" i="2"/>
  <c r="L147" i="2" s="1"/>
  <c r="L133" i="2" s="1"/>
  <c r="L128" i="2" s="1"/>
  <c r="K62" i="2"/>
  <c r="K147" i="2" s="1"/>
  <c r="K133" i="2" s="1"/>
  <c r="K128" i="2" s="1"/>
  <c r="J62" i="2"/>
  <c r="J147" i="2" s="1"/>
  <c r="J133" i="2" s="1"/>
  <c r="J128" i="2" s="1"/>
  <c r="I62" i="2"/>
  <c r="I147" i="2" s="1"/>
  <c r="I133" i="2" s="1"/>
  <c r="I128" i="2" s="1"/>
  <c r="H62" i="2"/>
  <c r="H147" i="2" s="1"/>
  <c r="H133" i="2" s="1"/>
  <c r="H128" i="2" s="1"/>
  <c r="N61" i="2"/>
  <c r="M61" i="2"/>
  <c r="K61" i="2"/>
  <c r="J61" i="2"/>
  <c r="I61" i="2"/>
  <c r="N60" i="2"/>
  <c r="M60" i="2"/>
  <c r="L60" i="2"/>
  <c r="K60" i="2"/>
  <c r="J60" i="2"/>
  <c r="I60" i="2"/>
  <c r="E60" i="2"/>
  <c r="D60" i="2"/>
  <c r="C60" i="2"/>
  <c r="N58" i="2"/>
  <c r="M58" i="2"/>
  <c r="L58" i="2"/>
  <c r="K58" i="2"/>
  <c r="J58" i="2"/>
  <c r="I58" i="2"/>
  <c r="G58" i="2"/>
  <c r="F58" i="2"/>
  <c r="E58" i="2"/>
  <c r="D58" i="2"/>
  <c r="C58" i="2"/>
  <c r="N57" i="2"/>
  <c r="M57" i="2"/>
  <c r="L57" i="2"/>
  <c r="K57" i="2"/>
  <c r="J57" i="2"/>
  <c r="I57" i="2"/>
  <c r="G57" i="2"/>
  <c r="F57" i="2"/>
  <c r="E57" i="2"/>
  <c r="D57" i="2"/>
  <c r="C57" i="2"/>
  <c r="N56" i="2"/>
  <c r="M56" i="2"/>
  <c r="L56" i="2"/>
  <c r="K56" i="2"/>
  <c r="I56" i="2"/>
  <c r="G56" i="2"/>
  <c r="F56" i="2"/>
  <c r="E56" i="2"/>
  <c r="D56" i="2"/>
  <c r="C56" i="2"/>
  <c r="N55" i="2"/>
  <c r="M55" i="2"/>
  <c r="L55" i="2"/>
  <c r="K55" i="2"/>
  <c r="J55" i="2"/>
  <c r="I55" i="2"/>
  <c r="G55" i="2"/>
  <c r="N54" i="2"/>
  <c r="M54" i="2"/>
  <c r="G54" i="2"/>
  <c r="F54" i="2"/>
  <c r="E54" i="2"/>
  <c r="D54" i="2"/>
  <c r="C54" i="2"/>
  <c r="N51" i="2"/>
  <c r="M51" i="2"/>
  <c r="J1363" i="2" l="1"/>
  <c r="I1357" i="2"/>
  <c r="N1363" i="2"/>
  <c r="M1357" i="2"/>
  <c r="H1372" i="2"/>
  <c r="N1138" i="2"/>
  <c r="L728" i="2"/>
  <c r="J729" i="2"/>
  <c r="J728" i="2"/>
  <c r="N728" i="2"/>
  <c r="L729" i="2"/>
  <c r="N729" i="2"/>
  <c r="H1359" i="2"/>
  <c r="I728" i="2"/>
  <c r="M728" i="2"/>
  <c r="K729" i="2"/>
  <c r="K1078" i="2"/>
  <c r="K1138" i="2"/>
  <c r="I1351" i="2"/>
  <c r="M1351" i="2"/>
  <c r="L1357" i="2"/>
  <c r="I1363" i="2"/>
  <c r="M1363" i="2"/>
  <c r="L1078" i="2"/>
  <c r="L1138" i="2"/>
  <c r="L727" i="2"/>
  <c r="I1360" i="2"/>
  <c r="I727" i="2"/>
  <c r="M1360" i="2"/>
  <c r="M727" i="2"/>
  <c r="J1351" i="2"/>
  <c r="N1351" i="2"/>
  <c r="J1360" i="2"/>
  <c r="J727" i="2"/>
  <c r="N1360" i="2"/>
  <c r="N1358" i="2" s="1"/>
  <c r="N727" i="2"/>
  <c r="K727" i="2"/>
  <c r="M1350" i="2"/>
  <c r="I1350" i="2"/>
  <c r="M143" i="2"/>
  <c r="M1371" i="2"/>
  <c r="I143" i="2"/>
  <c r="I1371" i="2"/>
  <c r="I1377" i="2" s="1"/>
  <c r="K1350" i="2"/>
  <c r="L145" i="2"/>
  <c r="L1373" i="2"/>
  <c r="L1376" i="2" s="1"/>
  <c r="J1364" i="2"/>
  <c r="J146" i="2"/>
  <c r="I1355" i="2"/>
  <c r="N1352" i="2"/>
  <c r="K1357" i="2"/>
  <c r="L1360" i="2"/>
  <c r="J1358" i="2"/>
  <c r="L1363" i="2"/>
  <c r="N143" i="2"/>
  <c r="N1371" i="2"/>
  <c r="N1377" i="2" s="1"/>
  <c r="J145" i="2"/>
  <c r="J1373" i="2"/>
  <c r="J1376" i="2" s="1"/>
  <c r="M1364" i="2"/>
  <c r="M146" i="2"/>
  <c r="J1371" i="2"/>
  <c r="I145" i="2"/>
  <c r="I1373" i="2"/>
  <c r="I1376" i="2" s="1"/>
  <c r="M145" i="2"/>
  <c r="M1373" i="2"/>
  <c r="M1376" i="2" s="1"/>
  <c r="K146" i="2"/>
  <c r="K143" i="2"/>
  <c r="K1371" i="2"/>
  <c r="K1377" i="2" s="1"/>
  <c r="N145" i="2"/>
  <c r="N1373" i="2"/>
  <c r="L143" i="2"/>
  <c r="L1371" i="2"/>
  <c r="L1377" i="2" s="1"/>
  <c r="N1350" i="2"/>
  <c r="K145" i="2"/>
  <c r="K1373" i="2"/>
  <c r="K1376" i="2" s="1"/>
  <c r="I1364" i="2"/>
  <c r="I146" i="2"/>
  <c r="N1364" i="2"/>
  <c r="N146" i="2"/>
  <c r="M1352" i="2"/>
  <c r="J1357" i="2"/>
  <c r="N1357" i="2"/>
  <c r="K1360" i="2"/>
  <c r="K1363" i="2"/>
  <c r="H923" i="2"/>
  <c r="I990" i="2"/>
  <c r="H1224" i="2"/>
  <c r="H144" i="2"/>
  <c r="H922" i="2"/>
  <c r="H927" i="2" s="1"/>
  <c r="M1312" i="2"/>
  <c r="H921" i="2"/>
  <c r="I1312" i="2"/>
  <c r="J1312" i="2"/>
  <c r="J1337" i="2" s="1"/>
  <c r="N1312" i="2"/>
  <c r="K1312" i="2"/>
  <c r="K1337" i="2" s="1"/>
  <c r="I1331" i="2"/>
  <c r="M1331" i="2"/>
  <c r="N1331" i="2"/>
  <c r="J1377" i="2"/>
  <c r="K282" i="2"/>
  <c r="K1408" i="2"/>
  <c r="K925" i="2"/>
  <c r="H1392" i="2"/>
  <c r="K285" i="2"/>
  <c r="L285" i="2"/>
  <c r="H285" i="2"/>
  <c r="K1331" i="2"/>
  <c r="J285" i="2"/>
  <c r="N285" i="2"/>
  <c r="H490" i="2"/>
  <c r="H926" i="2"/>
  <c r="I283" i="2"/>
  <c r="I285" i="2"/>
  <c r="M285" i="2"/>
  <c r="K283" i="2"/>
  <c r="J1139" i="2"/>
  <c r="N1139" i="2"/>
  <c r="L1140" i="2"/>
  <c r="J1141" i="2"/>
  <c r="N1141" i="2"/>
  <c r="L1392" i="2"/>
  <c r="L283" i="2"/>
  <c r="K1139" i="2"/>
  <c r="I1140" i="2"/>
  <c r="M1140" i="2"/>
  <c r="K1141" i="2"/>
  <c r="L1139" i="2"/>
  <c r="J1140" i="2"/>
  <c r="N1140" i="2"/>
  <c r="L1141" i="2"/>
  <c r="N1376" i="2"/>
  <c r="M283" i="2"/>
  <c r="H283" i="2"/>
  <c r="J283" i="2"/>
  <c r="N283" i="2"/>
  <c r="I1139" i="2"/>
  <c r="M1139" i="2"/>
  <c r="K1140" i="2"/>
  <c r="I1141" i="2"/>
  <c r="M1141" i="2"/>
  <c r="M740" i="2"/>
  <c r="N740" i="2"/>
  <c r="K695" i="2"/>
  <c r="L695" i="2"/>
  <c r="I734" i="2"/>
  <c r="I754" i="2"/>
  <c r="L734" i="2"/>
  <c r="L754" i="2"/>
  <c r="M734" i="2"/>
  <c r="M754" i="2"/>
  <c r="J734" i="2"/>
  <c r="J754" i="2"/>
  <c r="N734" i="2"/>
  <c r="N754" i="2"/>
  <c r="K734" i="2"/>
  <c r="K754" i="2"/>
  <c r="H171" i="2"/>
  <c r="H170" i="2" s="1"/>
  <c r="L1378" i="2"/>
  <c r="I1378" i="2"/>
  <c r="I1392" i="2"/>
  <c r="M1378" i="2"/>
  <c r="M1392" i="2"/>
  <c r="J1378" i="2"/>
  <c r="J1392" i="2"/>
  <c r="N1378" i="2"/>
  <c r="N1392" i="2"/>
  <c r="K1378" i="2"/>
  <c r="K1392" i="2"/>
  <c r="J1411" i="2"/>
  <c r="J1407" i="2" s="1"/>
  <c r="H1357" i="2"/>
  <c r="P1365" i="2"/>
  <c r="L1411" i="2"/>
  <c r="L1407" i="2" s="1"/>
  <c r="H671" i="2"/>
  <c r="H1425" i="2" s="1"/>
  <c r="H420" i="2"/>
  <c r="K1411" i="2"/>
  <c r="K1407" i="2" s="1"/>
  <c r="H57" i="2"/>
  <c r="H419" i="2"/>
  <c r="I1411" i="2"/>
  <c r="I1407" i="2" s="1"/>
  <c r="H1246" i="2"/>
  <c r="H1245" i="2" s="1"/>
  <c r="H1240" i="2"/>
  <c r="H1239" i="2" s="1"/>
  <c r="H294" i="2"/>
  <c r="H313" i="2" s="1"/>
  <c r="M990" i="2"/>
  <c r="N1239" i="2"/>
  <c r="N990" i="2"/>
  <c r="I1260" i="2"/>
  <c r="I1338" i="2" s="1"/>
  <c r="I1362" i="2" s="1"/>
  <c r="I1358" i="2" s="1"/>
  <c r="I1239" i="2"/>
  <c r="K990" i="2"/>
  <c r="L990" i="2"/>
  <c r="N246" i="2"/>
  <c r="N245" i="2" s="1"/>
  <c r="L1239" i="2"/>
  <c r="K1258" i="2"/>
  <c r="H563" i="2"/>
  <c r="H565" i="2"/>
  <c r="K1292" i="2"/>
  <c r="H564" i="2"/>
  <c r="N238" i="2"/>
  <c r="J378" i="2"/>
  <c r="H379" i="2"/>
  <c r="H328" i="2" s="1"/>
  <c r="K284" i="2"/>
  <c r="H193" i="2"/>
  <c r="H166" i="2" s="1"/>
  <c r="H187" i="2"/>
  <c r="J246" i="2"/>
  <c r="J245" i="2" s="1"/>
  <c r="L327" i="2"/>
  <c r="L1352" i="2" s="1"/>
  <c r="M246" i="2"/>
  <c r="M245" i="2" s="1"/>
  <c r="L1000" i="2"/>
  <c r="L997" i="2" s="1"/>
  <c r="H1018" i="2"/>
  <c r="H1000" i="2" s="1"/>
  <c r="I1038" i="2"/>
  <c r="M1063" i="2"/>
  <c r="M1062" i="2" s="1"/>
  <c r="H482" i="2"/>
  <c r="H486" i="2"/>
  <c r="J969" i="2"/>
  <c r="L969" i="2"/>
  <c r="H936" i="2"/>
  <c r="I969" i="2"/>
  <c r="K969" i="2"/>
  <c r="M969" i="2"/>
  <c r="N969" i="2"/>
  <c r="M1167" i="2"/>
  <c r="M1166" i="2" s="1"/>
  <c r="H152" i="2"/>
  <c r="N1226" i="2"/>
  <c r="H488" i="2"/>
  <c r="H484" i="2"/>
  <c r="N1225" i="2"/>
  <c r="N1227" i="2"/>
  <c r="K1225" i="2"/>
  <c r="M1225" i="2"/>
  <c r="J1226" i="2"/>
  <c r="L1226" i="2"/>
  <c r="I1227" i="2"/>
  <c r="K1227" i="2"/>
  <c r="M1227" i="2"/>
  <c r="H1274" i="2"/>
  <c r="H167" i="2"/>
  <c r="K818" i="2"/>
  <c r="K1356" i="2" s="1"/>
  <c r="H165" i="2"/>
  <c r="J1225" i="2"/>
  <c r="L1225" i="2"/>
  <c r="I1226" i="2"/>
  <c r="K1226" i="2"/>
  <c r="M1226" i="2"/>
  <c r="J1227" i="2"/>
  <c r="L1227" i="2"/>
  <c r="H1273" i="2"/>
  <c r="H1314" i="2" s="1"/>
  <c r="H737" i="2"/>
  <c r="H756" i="2" s="1"/>
  <c r="H773" i="2"/>
  <c r="H813" i="2" s="1"/>
  <c r="I1225" i="2"/>
  <c r="H571" i="2"/>
  <c r="H291" i="2"/>
  <c r="H310" i="2" s="1"/>
  <c r="H1039" i="2"/>
  <c r="H736" i="2"/>
  <c r="H755" i="2" s="1"/>
  <c r="H738" i="2"/>
  <c r="H757" i="2" s="1"/>
  <c r="H293" i="2"/>
  <c r="H312" i="2" s="1"/>
  <c r="H561" i="2"/>
  <c r="H1386" i="2" s="1"/>
  <c r="H572" i="2"/>
  <c r="H292" i="2"/>
  <c r="H311" i="2" s="1"/>
  <c r="H86" i="2"/>
  <c r="H85" i="2" s="1"/>
  <c r="M151" i="2"/>
  <c r="H155" i="2"/>
  <c r="H163" i="2"/>
  <c r="K163" i="2"/>
  <c r="K1351" i="2" s="1"/>
  <c r="H1147" i="2"/>
  <c r="H1160" i="2"/>
  <c r="H1159" i="2" s="1"/>
  <c r="N1425" i="2"/>
  <c r="L1425" i="2"/>
  <c r="J1425" i="2"/>
  <c r="M1425" i="2"/>
  <c r="K1425" i="2"/>
  <c r="H767" i="2"/>
  <c r="L767" i="2"/>
  <c r="H1023" i="2"/>
  <c r="H1153" i="2"/>
  <c r="K776" i="2"/>
  <c r="K1239" i="2"/>
  <c r="I776" i="2"/>
  <c r="K846" i="2"/>
  <c r="I1063" i="2"/>
  <c r="K1040" i="2"/>
  <c r="K1355" i="2" s="1"/>
  <c r="H1087" i="2"/>
  <c r="H1197" i="2"/>
  <c r="H1196" i="2" s="1"/>
  <c r="K825" i="2"/>
  <c r="H1176" i="2"/>
  <c r="H1175" i="2" s="1"/>
  <c r="K1063" i="2"/>
  <c r="H1146" i="2"/>
  <c r="M205" i="2"/>
  <c r="J238" i="2"/>
  <c r="H1094" i="2"/>
  <c r="J991" i="2"/>
  <c r="L991" i="2"/>
  <c r="H370" i="2"/>
  <c r="H325" i="2" s="1"/>
  <c r="L366" i="2"/>
  <c r="L839" i="2"/>
  <c r="L75" i="2"/>
  <c r="I327" i="2"/>
  <c r="I317" i="2" s="1"/>
  <c r="H398" i="2"/>
  <c r="J776" i="2"/>
  <c r="L1016" i="2"/>
  <c r="M238" i="2"/>
  <c r="K366" i="2"/>
  <c r="K327" i="2"/>
  <c r="K317" i="2" s="1"/>
  <c r="J328" i="2"/>
  <c r="H404" i="2"/>
  <c r="H396" i="2" s="1"/>
  <c r="L403" i="2"/>
  <c r="M1078" i="2"/>
  <c r="M1077" i="2" s="1"/>
  <c r="M1040" i="2"/>
  <c r="H826" i="2"/>
  <c r="H920" i="2" s="1"/>
  <c r="H846" i="2"/>
  <c r="H845" i="2" s="1"/>
  <c r="H1149" i="2"/>
  <c r="H1277" i="2"/>
  <c r="H1276" i="2" s="1"/>
  <c r="H372" i="2"/>
  <c r="H1183" i="2"/>
  <c r="H1182" i="2" s="1"/>
  <c r="J1239" i="2"/>
  <c r="J366" i="2"/>
  <c r="H948" i="2"/>
  <c r="H937" i="2" s="1"/>
  <c r="J937" i="2"/>
  <c r="J990" i="2" s="1"/>
  <c r="H1286" i="2"/>
  <c r="H1284" i="2" s="1"/>
  <c r="H1283" i="2" s="1"/>
  <c r="L1284" i="2"/>
  <c r="H353" i="2"/>
  <c r="H320" i="2" s="1"/>
  <c r="L352" i="2"/>
  <c r="L397" i="2"/>
  <c r="H411" i="2"/>
  <c r="H397" i="2" s="1"/>
  <c r="L410" i="2"/>
  <c r="J946" i="2"/>
  <c r="L1167" i="2"/>
  <c r="L1268" i="2"/>
  <c r="L61" i="2"/>
  <c r="H247" i="2"/>
  <c r="H238" i="2" s="1"/>
  <c r="L320" i="2"/>
  <c r="L1351" i="2" s="1"/>
  <c r="J327" i="2"/>
  <c r="J1352" i="2" s="1"/>
  <c r="L318" i="2"/>
  <c r="L1350" i="2" s="1"/>
  <c r="H339" i="2"/>
  <c r="L338" i="2"/>
  <c r="L1160" i="2"/>
  <c r="H1293" i="2"/>
  <c r="I1292" i="2"/>
  <c r="L1063" i="2"/>
  <c r="L1040" i="2"/>
  <c r="L1038" i="2" s="1"/>
  <c r="N1167" i="2"/>
  <c r="N1166" i="2" s="1"/>
  <c r="J1063" i="2"/>
  <c r="J1038" i="2"/>
  <c r="H1148" i="2"/>
  <c r="H1150" i="2"/>
  <c r="I1259" i="2"/>
  <c r="M1259" i="2"/>
  <c r="M1239" i="2"/>
  <c r="K1415" i="2"/>
  <c r="H60" i="2"/>
  <c r="K198" i="2"/>
  <c r="J1415" i="2"/>
  <c r="N1145" i="2"/>
  <c r="J1167" i="2"/>
  <c r="H1204" i="2"/>
  <c r="H1203" i="2" s="1"/>
  <c r="N1415" i="2"/>
  <c r="N1416" i="2"/>
  <c r="N1424" i="2" s="1"/>
  <c r="M1416" i="2"/>
  <c r="H623" i="2"/>
  <c r="H622" i="2" s="1"/>
  <c r="L237" i="2"/>
  <c r="H567" i="2"/>
  <c r="N817" i="2"/>
  <c r="N816" i="2" s="1"/>
  <c r="H962" i="2"/>
  <c r="H961" i="2" s="1"/>
  <c r="N993" i="2"/>
  <c r="H297" i="2"/>
  <c r="H296" i="2" s="1"/>
  <c r="N992" i="2"/>
  <c r="H443" i="2"/>
  <c r="H345" i="2"/>
  <c r="H344" i="2" s="1"/>
  <c r="H385" i="2"/>
  <c r="H384" i="2" s="1"/>
  <c r="L417" i="2"/>
  <c r="H505" i="2"/>
  <c r="H504" i="2" s="1"/>
  <c r="K783" i="2"/>
  <c r="H955" i="2"/>
  <c r="H954" i="2" s="1"/>
  <c r="H984" i="2"/>
  <c r="H983" i="2" s="1"/>
  <c r="H516" i="2"/>
  <c r="H515" i="2" s="1"/>
  <c r="H639" i="2"/>
  <c r="H638" i="2" s="1"/>
  <c r="L481" i="2"/>
  <c r="J417" i="2"/>
  <c r="I417" i="2"/>
  <c r="K417" i="2"/>
  <c r="M417" i="2"/>
  <c r="M416" i="2" s="1"/>
  <c r="H591" i="2"/>
  <c r="H590" i="2" s="1"/>
  <c r="H607" i="2"/>
  <c r="H606" i="2" s="1"/>
  <c r="H741" i="2"/>
  <c r="H304" i="2"/>
  <c r="M783" i="2"/>
  <c r="N86" i="2"/>
  <c r="H359" i="2"/>
  <c r="H358" i="2" s="1"/>
  <c r="M395" i="2"/>
  <c r="M394" i="2" s="1"/>
  <c r="H400" i="2"/>
  <c r="H399" i="2"/>
  <c r="H527" i="2"/>
  <c r="H526" i="2" s="1"/>
  <c r="H549" i="2"/>
  <c r="H548" i="2" s="1"/>
  <c r="N935" i="2"/>
  <c r="H998" i="2"/>
  <c r="H213" i="2"/>
  <c r="N290" i="2"/>
  <c r="H442" i="2"/>
  <c r="M481" i="2"/>
  <c r="I783" i="2"/>
  <c r="H942" i="2"/>
  <c r="H977" i="2"/>
  <c r="H976" i="2" s="1"/>
  <c r="H75" i="2"/>
  <c r="H74" i="2" s="1"/>
  <c r="I290" i="2"/>
  <c r="J395" i="2"/>
  <c r="H446" i="2"/>
  <c r="H445" i="2" s="1"/>
  <c r="N481" i="2"/>
  <c r="H655" i="2"/>
  <c r="H654" i="2" s="1"/>
  <c r="I991" i="2"/>
  <c r="K991" i="2"/>
  <c r="M991" i="2"/>
  <c r="L992" i="2"/>
  <c r="I993" i="2"/>
  <c r="K993" i="2"/>
  <c r="M993" i="2"/>
  <c r="M997" i="2"/>
  <c r="M996" i="2" s="1"/>
  <c r="N395" i="2"/>
  <c r="N394" i="2" s="1"/>
  <c r="I481" i="2"/>
  <c r="J481" i="2"/>
  <c r="H748" i="2"/>
  <c r="N991" i="2"/>
  <c r="H941" i="2"/>
  <c r="H943" i="2"/>
  <c r="H1043" i="2"/>
  <c r="H1045" i="2"/>
  <c r="H61" i="2"/>
  <c r="K86" i="2"/>
  <c r="M769" i="2"/>
  <c r="J86" i="2"/>
  <c r="L86" i="2"/>
  <c r="H107" i="2"/>
  <c r="H106" i="2" s="1"/>
  <c r="I151" i="2"/>
  <c r="I1393" i="2" s="1"/>
  <c r="I237" i="2"/>
  <c r="K237" i="2"/>
  <c r="M317" i="2"/>
  <c r="N783" i="2"/>
  <c r="I86" i="2"/>
  <c r="M86" i="2"/>
  <c r="H1031" i="2"/>
  <c r="H1030" i="2" s="1"/>
  <c r="H1001" i="2"/>
  <c r="N53" i="2"/>
  <c r="N52" i="2" s="1"/>
  <c r="M290" i="2"/>
  <c r="I395" i="2"/>
  <c r="K395" i="2"/>
  <c r="J431" i="2"/>
  <c r="L431" i="2"/>
  <c r="H494" i="2"/>
  <c r="H493" i="2" s="1"/>
  <c r="H483" i="2"/>
  <c r="H783" i="2"/>
  <c r="J290" i="2"/>
  <c r="L290" i="2"/>
  <c r="H424" i="2"/>
  <c r="H423" i="2" s="1"/>
  <c r="K481" i="2"/>
  <c r="H570" i="2"/>
  <c r="J1109" i="2"/>
  <c r="L1109" i="2"/>
  <c r="J560" i="2"/>
  <c r="J1385" i="2" s="1"/>
  <c r="L560" i="2"/>
  <c r="L1385" i="2" s="1"/>
  <c r="L769" i="2"/>
  <c r="H1007" i="2"/>
  <c r="H1006" i="2" s="1"/>
  <c r="H999" i="2"/>
  <c r="I560" i="2"/>
  <c r="I1385" i="2" s="1"/>
  <c r="K560" i="2"/>
  <c r="K1385" i="2" s="1"/>
  <c r="M560" i="2"/>
  <c r="M1385" i="2" s="1"/>
  <c r="N560" i="2"/>
  <c r="J783" i="2"/>
  <c r="L783" i="2"/>
  <c r="N839" i="2"/>
  <c r="N838" i="2" s="1"/>
  <c r="I997" i="2"/>
  <c r="K997" i="2"/>
  <c r="N431" i="2"/>
  <c r="H538" i="2"/>
  <c r="H537" i="2" s="1"/>
  <c r="H562" i="2"/>
  <c r="H566" i="2"/>
  <c r="H568" i="2"/>
  <c r="H569" i="2"/>
  <c r="J993" i="2"/>
  <c r="L993" i="2"/>
  <c r="N997" i="2"/>
  <c r="N996" i="2" s="1"/>
  <c r="H735" i="2"/>
  <c r="H754" i="2" s="1"/>
  <c r="M839" i="2"/>
  <c r="M838" i="2" s="1"/>
  <c r="J839" i="2"/>
  <c r="L935" i="2"/>
  <c r="J997" i="2"/>
  <c r="N1109" i="2"/>
  <c r="H1048" i="2"/>
  <c r="H1047" i="2" s="1"/>
  <c r="H1044" i="2"/>
  <c r="I1109" i="2"/>
  <c r="K1109" i="2"/>
  <c r="M1109" i="2"/>
  <c r="H65" i="2"/>
  <c r="H64" i="2" s="1"/>
  <c r="N151" i="2"/>
  <c r="K290" i="2"/>
  <c r="L325" i="2"/>
  <c r="N417" i="2"/>
  <c r="N416" i="2" s="1"/>
  <c r="I431" i="2"/>
  <c r="K431" i="2"/>
  <c r="M431" i="2"/>
  <c r="H777" i="2"/>
  <c r="H770" i="2" s="1"/>
  <c r="H1354" i="2" s="1"/>
  <c r="K769" i="2"/>
  <c r="I935" i="2"/>
  <c r="M935" i="2"/>
  <c r="J1145" i="2"/>
  <c r="K1167" i="2"/>
  <c r="J56" i="2"/>
  <c r="J1350" i="2" s="1"/>
  <c r="J65" i="2"/>
  <c r="L65" i="2"/>
  <c r="J151" i="2"/>
  <c r="J1393" i="2" s="1"/>
  <c r="L151" i="2"/>
  <c r="H198" i="2"/>
  <c r="H197" i="2" s="1"/>
  <c r="H333" i="2"/>
  <c r="H335" i="2"/>
  <c r="H453" i="2"/>
  <c r="H452" i="2" s="1"/>
  <c r="H433" i="2"/>
  <c r="H487" i="2"/>
  <c r="H575" i="2"/>
  <c r="H1082" i="2"/>
  <c r="H1078" i="2" s="1"/>
  <c r="H1077" i="2" s="1"/>
  <c r="H1070" i="2" s="1"/>
  <c r="I1167" i="2"/>
  <c r="K182" i="2"/>
  <c r="I769" i="2"/>
  <c r="H938" i="2"/>
  <c r="I1145" i="2"/>
  <c r="K1145" i="2"/>
  <c r="M1145" i="2"/>
  <c r="I53" i="2"/>
  <c r="K53" i="2"/>
  <c r="M53" i="2"/>
  <c r="M52" i="2" s="1"/>
  <c r="H239" i="2"/>
  <c r="N317" i="2"/>
  <c r="H334" i="2"/>
  <c r="K935" i="2"/>
  <c r="N1040" i="2"/>
  <c r="N1063" i="2"/>
  <c r="N1062" i="2" s="1"/>
  <c r="I1416" i="2"/>
  <c r="I1424" i="2" s="1"/>
  <c r="N769" i="2"/>
  <c r="J817" i="2"/>
  <c r="I992" i="2"/>
  <c r="K992" i="2"/>
  <c r="M992" i="2"/>
  <c r="H1002" i="2"/>
  <c r="H1004" i="2"/>
  <c r="H1056" i="2"/>
  <c r="H1055" i="2" s="1"/>
  <c r="H1041" i="2"/>
  <c r="H1061" i="2"/>
  <c r="H1036" i="2" s="1"/>
  <c r="H1101" i="2"/>
  <c r="I1415" i="2"/>
  <c r="M1415" i="2"/>
  <c r="K1416" i="2"/>
  <c r="K1424" i="2" s="1"/>
  <c r="N1266" i="2"/>
  <c r="M817" i="2"/>
  <c r="M816" i="2" s="1"/>
  <c r="I839" i="2"/>
  <c r="K839" i="2"/>
  <c r="J992" i="2"/>
  <c r="H1003" i="2"/>
  <c r="H1064" i="2"/>
  <c r="H1190" i="2"/>
  <c r="H1189" i="2" s="1"/>
  <c r="J1258" i="2"/>
  <c r="L1258" i="2"/>
  <c r="L1415" i="2"/>
  <c r="J1416" i="2"/>
  <c r="J1424" i="2" s="1"/>
  <c r="L1416" i="2"/>
  <c r="L1424" i="2" s="1"/>
  <c r="L1292" i="2"/>
  <c r="N1259" i="2"/>
  <c r="K1266" i="2"/>
  <c r="M1266" i="2"/>
  <c r="J1266" i="2"/>
  <c r="J1292" i="2"/>
  <c r="H1371" i="2" l="1"/>
  <c r="H928" i="2"/>
  <c r="L1355" i="2"/>
  <c r="L1349" i="2" s="1"/>
  <c r="H990" i="2"/>
  <c r="P1371" i="2"/>
  <c r="L1358" i="2"/>
  <c r="M1358" i="2"/>
  <c r="K1352" i="2"/>
  <c r="K1349" i="2" s="1"/>
  <c r="L1364" i="2"/>
  <c r="L1390" i="2" s="1"/>
  <c r="L146" i="2"/>
  <c r="M1355" i="2"/>
  <c r="M1349" i="2" s="1"/>
  <c r="J1355" i="2"/>
  <c r="J1349" i="2" s="1"/>
  <c r="K1358" i="2"/>
  <c r="I1352" i="2"/>
  <c r="I1349" i="2" s="1"/>
  <c r="N1355" i="2"/>
  <c r="N1349" i="2" s="1"/>
  <c r="J143" i="2"/>
  <c r="K1364" i="2"/>
  <c r="K1390" i="2" s="1"/>
  <c r="J1311" i="2"/>
  <c r="H1138" i="2"/>
  <c r="H1229" i="2" s="1"/>
  <c r="H143" i="2"/>
  <c r="H327" i="2"/>
  <c r="H1352" i="2" s="1"/>
  <c r="H726" i="2"/>
  <c r="K1311" i="2"/>
  <c r="H1340" i="2"/>
  <c r="H1416" i="2" s="1"/>
  <c r="H1424" i="2" s="1"/>
  <c r="H1315" i="2"/>
  <c r="H810" i="2"/>
  <c r="L1312" i="2"/>
  <c r="L1337" i="2" s="1"/>
  <c r="L1336" i="2" s="1"/>
  <c r="I1337" i="2"/>
  <c r="H1334" i="2"/>
  <c r="H1339" i="2" s="1"/>
  <c r="H1415" i="2" s="1"/>
  <c r="N1337" i="2"/>
  <c r="N1413" i="2" s="1"/>
  <c r="M1337" i="2"/>
  <c r="M1413" i="2" s="1"/>
  <c r="H1238" i="2"/>
  <c r="M1238" i="2"/>
  <c r="N1238" i="2"/>
  <c r="H145" i="2"/>
  <c r="H1373" i="2"/>
  <c r="H1360" i="2"/>
  <c r="H1351" i="2"/>
  <c r="S1376" i="2"/>
  <c r="H1364" i="2"/>
  <c r="I1423" i="2"/>
  <c r="J1336" i="2"/>
  <c r="H1140" i="2"/>
  <c r="H282" i="2"/>
  <c r="H1408" i="2"/>
  <c r="H728" i="2"/>
  <c r="H727" i="2"/>
  <c r="M1258" i="2"/>
  <c r="M1311" i="2" s="1"/>
  <c r="H284" i="2"/>
  <c r="K1413" i="2"/>
  <c r="H1141" i="2"/>
  <c r="H729" i="2"/>
  <c r="H762" i="2" s="1"/>
  <c r="H1139" i="2"/>
  <c r="H481" i="2"/>
  <c r="H480" i="2" s="1"/>
  <c r="J759" i="2"/>
  <c r="J695" i="2"/>
  <c r="M695" i="2"/>
  <c r="N695" i="2"/>
  <c r="J1390" i="2"/>
  <c r="K759" i="2"/>
  <c r="L762" i="2"/>
  <c r="L759" i="2"/>
  <c r="M760" i="2"/>
  <c r="L760" i="2"/>
  <c r="K760" i="2"/>
  <c r="J761" i="2"/>
  <c r="M761" i="2"/>
  <c r="M759" i="2"/>
  <c r="J762" i="2"/>
  <c r="K762" i="2"/>
  <c r="I760" i="2"/>
  <c r="N760" i="2"/>
  <c r="I761" i="2"/>
  <c r="I759" i="2"/>
  <c r="M762" i="2"/>
  <c r="J760" i="2"/>
  <c r="K761" i="2"/>
  <c r="N759" i="2"/>
  <c r="N762" i="2"/>
  <c r="I762" i="2"/>
  <c r="N761" i="2"/>
  <c r="H159" i="2"/>
  <c r="H182" i="2"/>
  <c r="H181" i="2" s="1"/>
  <c r="I809" i="2"/>
  <c r="M1377" i="2"/>
  <c r="S1371" i="2"/>
  <c r="S1357" i="2"/>
  <c r="S1368" i="2"/>
  <c r="S1350" i="2"/>
  <c r="M1424" i="2"/>
  <c r="S1363" i="2"/>
  <c r="S1360" i="2"/>
  <c r="L1393" i="2"/>
  <c r="S1356" i="2"/>
  <c r="S1354" i="2"/>
  <c r="S1378" i="2"/>
  <c r="N1411" i="2"/>
  <c r="N1407" i="2" s="1"/>
  <c r="N1391" i="2"/>
  <c r="I1390" i="2"/>
  <c r="J1423" i="2"/>
  <c r="K1391" i="2"/>
  <c r="N1385" i="2"/>
  <c r="N1423" i="2" s="1"/>
  <c r="L1423" i="2"/>
  <c r="K1423" i="2"/>
  <c r="M1391" i="2"/>
  <c r="I1391" i="2"/>
  <c r="J1391" i="2"/>
  <c r="H146" i="2"/>
  <c r="H1363" i="2"/>
  <c r="P1357" i="2"/>
  <c r="H1368" i="2"/>
  <c r="P1368" i="2" s="1"/>
  <c r="H1378" i="2"/>
  <c r="M725" i="2"/>
  <c r="S1352" i="2"/>
  <c r="N85" i="2"/>
  <c r="I1229" i="2"/>
  <c r="J1414" i="2"/>
  <c r="K1414" i="2"/>
  <c r="M150" i="2"/>
  <c r="H818" i="2"/>
  <c r="H1356" i="2" s="1"/>
  <c r="M1411" i="2"/>
  <c r="M1414" i="2"/>
  <c r="M85" i="2"/>
  <c r="N150" i="2"/>
  <c r="M1423" i="2"/>
  <c r="L1414" i="2"/>
  <c r="L1391" i="2"/>
  <c r="H1414" i="2"/>
  <c r="H1362" i="2"/>
  <c r="M1229" i="2"/>
  <c r="I1258" i="2"/>
  <c r="I1311" i="2" s="1"/>
  <c r="L142" i="2"/>
  <c r="M237" i="2"/>
  <c r="M236" i="2" s="1"/>
  <c r="N237" i="2"/>
  <c r="N236" i="2" s="1"/>
  <c r="J237" i="2"/>
  <c r="J236" i="2" s="1"/>
  <c r="N1229" i="2"/>
  <c r="K1229" i="2"/>
  <c r="N725" i="2"/>
  <c r="K725" i="2"/>
  <c r="L1229" i="2"/>
  <c r="I725" i="2"/>
  <c r="J1229" i="2"/>
  <c r="J725" i="2"/>
  <c r="I309" i="2"/>
  <c r="L725" i="2"/>
  <c r="I1425" i="2"/>
  <c r="H969" i="2"/>
  <c r="H1040" i="2"/>
  <c r="J1231" i="2"/>
  <c r="K1231" i="2"/>
  <c r="I1231" i="2"/>
  <c r="L1231" i="2"/>
  <c r="M1231" i="2"/>
  <c r="N1231" i="2"/>
  <c r="H318" i="2"/>
  <c r="H1350" i="2" s="1"/>
  <c r="K817" i="2"/>
  <c r="H574" i="2"/>
  <c r="J935" i="2"/>
  <c r="H1292" i="2"/>
  <c r="H1291" i="2" s="1"/>
  <c r="H1270" i="2"/>
  <c r="H734" i="2"/>
  <c r="H1226" i="2"/>
  <c r="H1227" i="2"/>
  <c r="H1225" i="2"/>
  <c r="K281" i="2"/>
  <c r="M281" i="2"/>
  <c r="J281" i="2"/>
  <c r="I1223" i="2"/>
  <c r="H1259" i="2"/>
  <c r="H1016" i="2"/>
  <c r="H1015" i="2" s="1"/>
  <c r="J769" i="2"/>
  <c r="L919" i="2"/>
  <c r="H825" i="2"/>
  <c r="H824" i="2" s="1"/>
  <c r="K151" i="2"/>
  <c r="K1393" i="2" s="1"/>
  <c r="K1038" i="2"/>
  <c r="H352" i="2"/>
  <c r="H351" i="2" s="1"/>
  <c r="I1266" i="2"/>
  <c r="N1223" i="2"/>
  <c r="H338" i="2"/>
  <c r="H337" i="2" s="1"/>
  <c r="H946" i="2"/>
  <c r="H945" i="2" s="1"/>
  <c r="H410" i="2"/>
  <c r="H409" i="2" s="1"/>
  <c r="H403" i="2"/>
  <c r="H402" i="2" s="1"/>
  <c r="H378" i="2"/>
  <c r="H377" i="2" s="1"/>
  <c r="N1232" i="2"/>
  <c r="M1038" i="2"/>
  <c r="M1037" i="2" s="1"/>
  <c r="J1137" i="2"/>
  <c r="L817" i="2"/>
  <c r="H366" i="2"/>
  <c r="H365" i="2" s="1"/>
  <c r="L1145" i="2"/>
  <c r="H993" i="2"/>
  <c r="L1266" i="2"/>
  <c r="L53" i="2"/>
  <c r="H1145" i="2"/>
  <c r="H1268" i="2"/>
  <c r="J1331" i="2"/>
  <c r="H246" i="2"/>
  <c r="J317" i="2"/>
  <c r="L1331" i="2"/>
  <c r="H237" i="2"/>
  <c r="H236" i="2" s="1"/>
  <c r="L395" i="2"/>
  <c r="I1232" i="2"/>
  <c r="I753" i="2"/>
  <c r="H992" i="2"/>
  <c r="N281" i="2"/>
  <c r="M919" i="2"/>
  <c r="H991" i="2"/>
  <c r="L1230" i="2"/>
  <c r="M309" i="2"/>
  <c r="I919" i="2"/>
  <c r="H290" i="2"/>
  <c r="J809" i="2"/>
  <c r="L317" i="2"/>
  <c r="L809" i="2"/>
  <c r="M142" i="2"/>
  <c r="M1232" i="2"/>
  <c r="M809" i="2"/>
  <c r="K309" i="2"/>
  <c r="H395" i="2"/>
  <c r="H394" i="2" s="1"/>
  <c r="K1232" i="2"/>
  <c r="I1137" i="2"/>
  <c r="N309" i="2"/>
  <c r="J753" i="2"/>
  <c r="H417" i="2"/>
  <c r="H416" i="2" s="1"/>
  <c r="J1232" i="2"/>
  <c r="M1230" i="2"/>
  <c r="K142" i="2"/>
  <c r="N809" i="2"/>
  <c r="H212" i="2"/>
  <c r="H205" i="2"/>
  <c r="I1230" i="2"/>
  <c r="J1230" i="2"/>
  <c r="N753" i="2"/>
  <c r="N1230" i="2"/>
  <c r="H431" i="2"/>
  <c r="H53" i="2"/>
  <c r="H52" i="2" s="1"/>
  <c r="M753" i="2"/>
  <c r="L1232" i="2"/>
  <c r="K753" i="2"/>
  <c r="L753" i="2"/>
  <c r="I142" i="2"/>
  <c r="L309" i="2"/>
  <c r="H935" i="2"/>
  <c r="J309" i="2"/>
  <c r="M1137" i="2"/>
  <c r="N142" i="2"/>
  <c r="K1230" i="2"/>
  <c r="K1137" i="2"/>
  <c r="H997" i="2"/>
  <c r="H996" i="2" s="1"/>
  <c r="H1167" i="2"/>
  <c r="H1166" i="2" s="1"/>
  <c r="I989" i="2"/>
  <c r="N1038" i="2"/>
  <c r="N1037" i="2" s="1"/>
  <c r="N1137" i="2"/>
  <c r="H1063" i="2"/>
  <c r="H1062" i="2" s="1"/>
  <c r="K989" i="2"/>
  <c r="K1223" i="2"/>
  <c r="H560" i="2"/>
  <c r="H1385" i="2" s="1"/>
  <c r="N919" i="2"/>
  <c r="J1223" i="2"/>
  <c r="J919" i="2"/>
  <c r="I281" i="2"/>
  <c r="M1223" i="2"/>
  <c r="L281" i="2"/>
  <c r="L989" i="2"/>
  <c r="N989" i="2"/>
  <c r="H776" i="2"/>
  <c r="H775" i="2" s="1"/>
  <c r="H768" i="2" s="1"/>
  <c r="N1258" i="2"/>
  <c r="N1311" i="2" s="1"/>
  <c r="M989" i="2"/>
  <c r="J53" i="2"/>
  <c r="L1223" i="2"/>
  <c r="K809" i="2"/>
  <c r="H1377" i="2" l="1"/>
  <c r="I1342" i="2"/>
  <c r="H1355" i="2"/>
  <c r="N1342" i="2"/>
  <c r="K1345" i="2"/>
  <c r="J1344" i="2"/>
  <c r="L1342" i="2"/>
  <c r="N1344" i="2"/>
  <c r="K1344" i="2"/>
  <c r="I1344" i="2"/>
  <c r="J1345" i="2"/>
  <c r="K1343" i="2"/>
  <c r="L1345" i="2"/>
  <c r="I1345" i="2"/>
  <c r="J1343" i="2"/>
  <c r="N1343" i="2"/>
  <c r="M1342" i="2"/>
  <c r="L1343" i="2"/>
  <c r="K1342" i="2"/>
  <c r="N1345" i="2"/>
  <c r="M1345" i="2"/>
  <c r="I1343" i="2"/>
  <c r="M1344" i="2"/>
  <c r="M1343" i="2"/>
  <c r="J1342" i="2"/>
  <c r="I1341" i="2"/>
  <c r="H1312" i="2"/>
  <c r="H1311" i="2" s="1"/>
  <c r="H817" i="2"/>
  <c r="H816" i="2" s="1"/>
  <c r="L1311" i="2"/>
  <c r="N1336" i="2"/>
  <c r="H1337" i="2"/>
  <c r="H1336" i="2" s="1"/>
  <c r="H1331" i="2"/>
  <c r="L1348" i="2"/>
  <c r="I1414" i="2"/>
  <c r="I1419" i="2" s="1"/>
  <c r="H759" i="2"/>
  <c r="H925" i="2"/>
  <c r="H151" i="2"/>
  <c r="H150" i="2" s="1"/>
  <c r="I1336" i="2"/>
  <c r="M1336" i="2"/>
  <c r="M1412" i="2" s="1"/>
  <c r="K1336" i="2"/>
  <c r="K1412" i="2" s="1"/>
  <c r="H695" i="2"/>
  <c r="H900" i="2"/>
  <c r="H899" i="2" s="1"/>
  <c r="I1348" i="2"/>
  <c r="S1377" i="2"/>
  <c r="H761" i="2"/>
  <c r="H760" i="2"/>
  <c r="L761" i="2"/>
  <c r="L1344" i="2" s="1"/>
  <c r="M1407" i="2"/>
  <c r="S1355" i="2"/>
  <c r="N1348" i="2"/>
  <c r="J1348" i="2"/>
  <c r="K1348" i="2"/>
  <c r="H1358" i="2"/>
  <c r="P1350" i="2"/>
  <c r="P1356" i="2"/>
  <c r="H1411" i="2"/>
  <c r="H1407" i="2" s="1"/>
  <c r="H1390" i="2"/>
  <c r="P1354" i="2"/>
  <c r="H1423" i="2"/>
  <c r="H1391" i="2"/>
  <c r="P1352" i="2"/>
  <c r="M1389" i="2"/>
  <c r="K1389" i="2"/>
  <c r="H1266" i="2"/>
  <c r="M1394" i="2"/>
  <c r="L1394" i="2"/>
  <c r="J1394" i="2"/>
  <c r="M1390" i="2"/>
  <c r="M1393" i="2"/>
  <c r="J1419" i="2"/>
  <c r="J1422" i="2"/>
  <c r="S1351" i="2"/>
  <c r="K1394" i="2"/>
  <c r="I1394" i="2"/>
  <c r="N1414" i="2"/>
  <c r="S1362" i="2"/>
  <c r="L1389" i="2"/>
  <c r="K1419" i="2"/>
  <c r="K1422" i="2"/>
  <c r="N1390" i="2"/>
  <c r="S1364" i="2"/>
  <c r="K1418" i="2"/>
  <c r="K1421" i="2"/>
  <c r="N1418" i="2"/>
  <c r="N1421" i="2"/>
  <c r="N1394" i="2"/>
  <c r="M1418" i="2"/>
  <c r="M1421" i="2"/>
  <c r="H1419" i="2"/>
  <c r="H1422" i="2"/>
  <c r="L1419" i="2"/>
  <c r="L1422" i="2"/>
  <c r="N1393" i="2"/>
  <c r="S1373" i="2"/>
  <c r="M1419" i="2"/>
  <c r="M1422" i="2"/>
  <c r="J1389" i="2"/>
  <c r="H725" i="2"/>
  <c r="H1258" i="2"/>
  <c r="H317" i="2"/>
  <c r="H281" i="2"/>
  <c r="J142" i="2"/>
  <c r="K919" i="2"/>
  <c r="H142" i="2"/>
  <c r="H753" i="2"/>
  <c r="H245" i="2"/>
  <c r="J989" i="2"/>
  <c r="H1223" i="2"/>
  <c r="H839" i="2"/>
  <c r="H838" i="2" s="1"/>
  <c r="I1413" i="2"/>
  <c r="I1421" i="2" s="1"/>
  <c r="L1137" i="2"/>
  <c r="H309" i="2"/>
  <c r="J1413" i="2"/>
  <c r="L1413" i="2"/>
  <c r="H1232" i="2"/>
  <c r="H1038" i="2"/>
  <c r="H1037" i="2" s="1"/>
  <c r="H1231" i="2"/>
  <c r="H989" i="2"/>
  <c r="H1230" i="2"/>
  <c r="M924" i="2"/>
  <c r="N924" i="2"/>
  <c r="H1137" i="2"/>
  <c r="N1412" i="2"/>
  <c r="H769" i="2"/>
  <c r="I924" i="2"/>
  <c r="K1228" i="2"/>
  <c r="M1228" i="2"/>
  <c r="L1228" i="2"/>
  <c r="J924" i="2"/>
  <c r="N758" i="2"/>
  <c r="I1228" i="2"/>
  <c r="H1342" i="2" l="1"/>
  <c r="M1341" i="2"/>
  <c r="L1341" i="2"/>
  <c r="L1346" i="2" s="1"/>
  <c r="K1341" i="2"/>
  <c r="J1341" i="2"/>
  <c r="N1341" i="2"/>
  <c r="H1343" i="2"/>
  <c r="I1389" i="2"/>
  <c r="I1422" i="2"/>
  <c r="I1420" i="2" s="1"/>
  <c r="H1344" i="2"/>
  <c r="H1345" i="2"/>
  <c r="M1348" i="2"/>
  <c r="H1389" i="2"/>
  <c r="P1355" i="2"/>
  <c r="H1349" i="2"/>
  <c r="H1348" i="2" s="1"/>
  <c r="H919" i="2"/>
  <c r="M1388" i="2"/>
  <c r="K1420" i="2"/>
  <c r="L1418" i="2"/>
  <c r="L1388" i="2" s="1"/>
  <c r="L1421" i="2"/>
  <c r="L1420" i="2" s="1"/>
  <c r="H1376" i="2"/>
  <c r="H1393" i="2"/>
  <c r="S1349" i="2"/>
  <c r="N1388" i="2"/>
  <c r="J1418" i="2"/>
  <c r="J1421" i="2"/>
  <c r="J1420" i="2" s="1"/>
  <c r="H1394" i="2"/>
  <c r="K1388" i="2"/>
  <c r="I1418" i="2"/>
  <c r="I1388" i="2" s="1"/>
  <c r="M1420" i="2"/>
  <c r="N1419" i="2"/>
  <c r="N1422" i="2"/>
  <c r="N1420" i="2" s="1"/>
  <c r="K924" i="2"/>
  <c r="H758" i="2"/>
  <c r="J758" i="2"/>
  <c r="K758" i="2"/>
  <c r="J1412" i="2"/>
  <c r="L924" i="2"/>
  <c r="I1412" i="2"/>
  <c r="M758" i="2"/>
  <c r="I758" i="2"/>
  <c r="L758" i="2"/>
  <c r="J1228" i="2"/>
  <c r="L1412" i="2"/>
  <c r="N1228" i="2"/>
  <c r="H809" i="2"/>
  <c r="H1228" i="2"/>
  <c r="H1413" i="2" l="1"/>
  <c r="J1388" i="2"/>
  <c r="J1346" i="2"/>
  <c r="I1346" i="2"/>
  <c r="P1351" i="2"/>
  <c r="S1358" i="2"/>
  <c r="N1389" i="2"/>
  <c r="M1346" i="2"/>
  <c r="K1346" i="2"/>
  <c r="N1346" i="2"/>
  <c r="H1341" i="2"/>
  <c r="H1412" i="2"/>
  <c r="H924" i="2"/>
  <c r="H1421" i="2" l="1"/>
  <c r="H1420" i="2" s="1"/>
  <c r="H1418" i="2"/>
  <c r="H1388" i="2" s="1"/>
  <c r="P1349" i="2"/>
  <c r="H1346" i="2"/>
</calcChain>
</file>

<file path=xl/sharedStrings.xml><?xml version="1.0" encoding="utf-8"?>
<sst xmlns="http://schemas.openxmlformats.org/spreadsheetml/2006/main" count="3672" uniqueCount="663">
  <si>
    <t>Наименование показателя</t>
  </si>
  <si>
    <t>Ответственный исполнитель</t>
  </si>
  <si>
    <t>Ожидаемый результат (краткое описание)</t>
  </si>
  <si>
    <t>ГРБС</t>
  </si>
  <si>
    <t>ЦСР</t>
  </si>
  <si>
    <t>ВР</t>
  </si>
  <si>
    <t>Стоимость единицы (тыс. руб.)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</si>
  <si>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</si>
  <si>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</si>
  <si>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</si>
  <si>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</si>
  <si>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Итого затрат на решение задачи 1 подпрограммы 1 государственной программы</t>
  </si>
  <si>
    <t>внебюджетные источники</t>
  </si>
  <si>
    <t xml:space="preserve">областной бюджет       </t>
  </si>
  <si>
    <t>федеральный бюджет</t>
  </si>
  <si>
    <t xml:space="preserve">местные бюджеты      </t>
  </si>
  <si>
    <t>областной бюджет</t>
  </si>
  <si>
    <t>Итого затрат на решение задачи 2 подпрограммы 1 государственной программы</t>
  </si>
  <si>
    <t>Итого затрат на решение задачи 4 подпрограммы 1 государственной программы</t>
  </si>
  <si>
    <t>Итого затрат на решение задачи 5 подпрограммы 1 государственной программы</t>
  </si>
  <si>
    <t>Итого затрат на решение задачи 6 подпрограммы 1 государственной программы</t>
  </si>
  <si>
    <t>Итого затрат по подпрограмме 1 государственной программы</t>
  </si>
  <si>
    <t>Итого затрат на решение задачи 1 подпрограммы 2 государственной программы</t>
  </si>
  <si>
    <t>Итого затрат на решение задачи 2 подпрограммы 2 государственной программы</t>
  </si>
  <si>
    <t>Итого затрат по подпрограмме 2 государственной программы</t>
  </si>
  <si>
    <t>Итого затрат на решение задачи 1 подпрограммы 3 государственной программы</t>
  </si>
  <si>
    <t>Итого затрат на решение задачи 2  подпрограммы 3 государственной программы</t>
  </si>
  <si>
    <t>Итого затрат на решение задачи 3 подпрограммы 3 государственной программы</t>
  </si>
  <si>
    <t>Итого затрат по подпрограмме 3 государственной программы</t>
  </si>
  <si>
    <t xml:space="preserve">Наименование показателя (ед. изм.) </t>
  </si>
  <si>
    <t>Итого затрат на решение задачи 1 подпрограммы 4 государственной программы</t>
  </si>
  <si>
    <t>Итого затрат на решение задачи 2 подпрограммы 4 государственной программы</t>
  </si>
  <si>
    <t>Итого затрат по подпрограмме 4 государственной программы</t>
  </si>
  <si>
    <t>Код бюджетной классификации</t>
  </si>
  <si>
    <t>Итого затрат по  государственной программе</t>
  </si>
  <si>
    <t>0701</t>
  </si>
  <si>
    <t>0702</t>
  </si>
  <si>
    <t>0709</t>
  </si>
  <si>
    <t>0705</t>
  </si>
  <si>
    <t>0704</t>
  </si>
  <si>
    <t>ВСЕГО</t>
  </si>
  <si>
    <t>136</t>
  </si>
  <si>
    <t>540</t>
  </si>
  <si>
    <t>131</t>
  </si>
  <si>
    <t>1003</t>
  </si>
  <si>
    <t>622</t>
  </si>
  <si>
    <t>612</t>
  </si>
  <si>
    <t>244</t>
  </si>
  <si>
    <t>521</t>
  </si>
  <si>
    <t>522</t>
  </si>
  <si>
    <t>414</t>
  </si>
  <si>
    <t>-</t>
  </si>
  <si>
    <t>ДФиС НСО</t>
  </si>
  <si>
    <t>МТЗиТР НСО</t>
  </si>
  <si>
    <t>МК НСО</t>
  </si>
  <si>
    <t>МРП НСО</t>
  </si>
  <si>
    <t>МОНиИП НСО обл</t>
  </si>
  <si>
    <t>МОНиИП НСО местн</t>
  </si>
  <si>
    <t>МС НСО обл</t>
  </si>
  <si>
    <t>МС НСО местн</t>
  </si>
  <si>
    <t>МЖКХ  НСО обл.</t>
  </si>
  <si>
    <t>МЖКХ  НСО местн</t>
  </si>
  <si>
    <t>МС НСО федер.</t>
  </si>
  <si>
    <t>в т.ч. кап.вложения</t>
  </si>
  <si>
    <t>242</t>
  </si>
  <si>
    <t>всего</t>
  </si>
  <si>
    <t>мероприятие</t>
  </si>
  <si>
    <t>Подпрограмма 2 «Развитие кадрового потенциала системы дошкольного, общего и дополнительного образования детей в Новосибирской области»</t>
  </si>
  <si>
    <t xml:space="preserve"> 1  квартал</t>
  </si>
  <si>
    <t xml:space="preserve">  2  квартал</t>
  </si>
  <si>
    <t>3  квартал</t>
  </si>
  <si>
    <t xml:space="preserve"> 4  квартал</t>
  </si>
  <si>
    <t>036</t>
  </si>
  <si>
    <t>Минсельхоз НСО федер.</t>
  </si>
  <si>
    <t xml:space="preserve">Сумма затрат, в том числе: </t>
  </si>
  <si>
    <t xml:space="preserve">Сумма затрат,  в том числе: </t>
  </si>
  <si>
    <t>оборудование (комплект)</t>
  </si>
  <si>
    <t>Сумма затрат, в том числе:</t>
  </si>
  <si>
    <t>количество обучающихся и воспитанников (человек)</t>
  </si>
  <si>
    <t>количество обучающихся (человек)</t>
  </si>
  <si>
    <t>количество воспитанников (человек)</t>
  </si>
  <si>
    <t>Стоимость единицы (тыс.руб)</t>
  </si>
  <si>
    <t xml:space="preserve">оборудование (комплект) </t>
  </si>
  <si>
    <t>количество обучающихся и воспитанников
(человек)</t>
  </si>
  <si>
    <t xml:space="preserve">Стоимость единицы (тыс. руб.)         </t>
  </si>
  <si>
    <t xml:space="preserve">Стоимость единицы (тыс. руб.)     </t>
  </si>
  <si>
    <t xml:space="preserve">Стоимость единицы (тыс. руб.)        </t>
  </si>
  <si>
    <t xml:space="preserve">Стоимость единицы (тыс. руб.)      </t>
  </si>
  <si>
    <t xml:space="preserve">Стоимость единицы (тыс. руб.)       </t>
  </si>
  <si>
    <t xml:space="preserve">Стоимость единицы (тыс. руб.)  </t>
  </si>
  <si>
    <t xml:space="preserve">Стоимость единицы (тыс. руб.)   </t>
  </si>
  <si>
    <t xml:space="preserve">Стоимость единицы (тыс. руб.)    </t>
  </si>
  <si>
    <t xml:space="preserve">Стоимость единицы (тыс.руб)         </t>
  </si>
  <si>
    <t xml:space="preserve">Стоимость единицы (тыс.руб)      </t>
  </si>
  <si>
    <t xml:space="preserve">Стоимость единицы (тыс.руб)   </t>
  </si>
  <si>
    <t xml:space="preserve">Стоимость единицы (тыс.руб.)         </t>
  </si>
  <si>
    <t xml:space="preserve">Стоимость единицы (тыс.руб.)               </t>
  </si>
  <si>
    <t xml:space="preserve">Стоимость единицы (тыс.руб.)           </t>
  </si>
  <si>
    <t xml:space="preserve">Стоимость единицы (тыс.руб.)            </t>
  </si>
  <si>
    <t xml:space="preserve">Стоимость  единицы (тыс. руб.)       </t>
  </si>
  <si>
    <t>Сумма затрат,  в том числе:</t>
  </si>
  <si>
    <t xml:space="preserve">Наименование показателя 
(ед. изм.) </t>
  </si>
  <si>
    <t>учреждения (ед.)</t>
  </si>
  <si>
    <t>услуга (ед.)</t>
  </si>
  <si>
    <t>мероприятие (ед.)</t>
  </si>
  <si>
    <t xml:space="preserve">мероприятие 
(ед.) </t>
  </si>
  <si>
    <t>Наименование показателя 
(ед. изм.)</t>
  </si>
  <si>
    <t>количество человек</t>
  </si>
  <si>
    <t>количество выпускников</t>
  </si>
  <si>
    <t>количество специалистов</t>
  </si>
  <si>
    <t>количество муниципальных ресурсных центров (ед.)</t>
  </si>
  <si>
    <t xml:space="preserve"> мероприятие (ед.)</t>
  </si>
  <si>
    <t>стипендиаты</t>
  </si>
  <si>
    <t>автотранспорт (ед.)</t>
  </si>
  <si>
    <t>количество семинаров-совещаний (ед.)</t>
  </si>
  <si>
    <t>мероприятия (ед.)</t>
  </si>
  <si>
    <t>слушатели</t>
  </si>
  <si>
    <t>Наименование мероприятия</t>
  </si>
  <si>
    <t>0710004040</t>
  </si>
  <si>
    <t>Цель госпрограммы: 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</t>
  </si>
  <si>
    <t>Задача 1 государственной программы: создание в системе дошкольного, общего и дополнительного образования детей условий для получения качественного образования, включая развитие и модернизацию базовой инфраструктуры и технологической образовательной среды государственных (муниципальных) образовательных организаций</t>
  </si>
  <si>
    <t>Подпрограмма 1 «Развитие дошкольного, общего и дополнительного образования детей»</t>
  </si>
  <si>
    <t>Цель подпрограммы 1: обеспечение равных возможностей и условий получения качественного образования и позитивной социализации детей независимо от их места жительства, состояния здоровья и социально-экономического положения их семей</t>
  </si>
  <si>
    <t>Задача 1 подпрограммы 1: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</si>
  <si>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</si>
  <si>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Задача 2 государственной программы: обеспечение равных возможностей для детей в получении качественного образования и позитивной социализации независимо от их места жительства, состояния здоровья и социально-экономического положения их семей</t>
  </si>
  <si>
    <t>Задача 4 подпрограммы 1: модернизация содержания дошкольного и общего образования в соответствии с требованиями ФГОС и законодательства в сфере образования, поддержка инновационных практик обучения и воспитания, повышение эффективности управления системой образования</t>
  </si>
  <si>
    <t>Задача 5 подпрограммы 1: обеспечение равного доступа детей к услугам, оказываемым дошкольными образовательными организациями, общеобразовательными организациями и организациями дополнительного образования</t>
  </si>
  <si>
    <t>Задача 6 подпрограммы 1: модернизация дополнительного образования, обеспечивающего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</si>
  <si>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Задача 4 государственной программы: развитие кадрового потенциала системы образования Новосибирской области</t>
  </si>
  <si>
    <t>Цель подпрограммы 2: обеспечение системы образования Новосибирской области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формированию и распространению инновационных педагогических практик обучения и развития детей</t>
  </si>
  <si>
    <t>Задача 1 подпрограммы 2: совершенствование региональной системы профессионального обучения и дополнительного профессионального образования в сфере педагогической деятельности, аттестации работников системы образования</t>
  </si>
  <si>
    <t>4.1. Совершенствование финансово-экономических механизмов профессиональной подготовки, повышения квалификации и переподготовки работников образования Новосибирской области</t>
  </si>
  <si>
    <t>Задача 2 подпрограммы 2: 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Новосибирской области</t>
  </si>
  <si>
    <t>Задача 5 государственной программы: создание условий для выявления и развития одаренных детей и учащейся молодежи, способствующих их профессиональному и личностному становлению</t>
  </si>
  <si>
    <t xml:space="preserve"> Цель подпрограммы 3: создание условий для выявления и развития одаренных детей и учащейся молодежи в Новосибирской области, оказание поддержки и сопровождение одаренных детей и талантливой учащейся молодежи, способствующих их профессиональному и личностному становлению</t>
  </si>
  <si>
    <t>Задача 1 подпрограммы 3: развитие инфраструктуры и материально-технической основы деятельности по выявлению, развитию, поддержке и сопровождению одаренных детей и талантливой учащейся молодежи в Новосибирской области</t>
  </si>
  <si>
    <t>5.1.Создание региональных ресурсных центров развития и поддержки молодых талантов</t>
  </si>
  <si>
    <t>5.2. Государственная поддержка реализации муниципальных программ по выявлению и развитию молодых талантов</t>
  </si>
  <si>
    <t>Задача 2 подпрограммы 3: совершенствование и реализация системы мероприятий, направленных на выявление и развитие способностей одаренных детей и талантливой учащейся молодежи в Новосибирской области</t>
  </si>
  <si>
    <t>5.3. Организация и проведение мероприятий в сфере образования, культуры, спорта, молодежной политики, направленных на выявление и развитие молодых талантов в разных сферах и на разных ступенях образования</t>
  </si>
  <si>
    <t>5.3.2. Организация и проведение областных мероприятий для одаренных детей деятельностного типа в системе общего и дополнительного образования (профильные смены, турниры, учебно-тренировочные сборы, школы – тренинги, слёты, конкурсы, фестивали, соревнования и др.)</t>
  </si>
  <si>
    <t>5.4. Участие одаренных детей и талантливой учащейся молодежи в мероприятиях всероссийского и международного уровней</t>
  </si>
  <si>
    <t>Задача 3 подпрограммы 3: развитие и реализация системы мер адресной поддержки и психолого-педагогического сопровождения одаренных детей и талантливой учащейся молодежи в Новосибирской области</t>
  </si>
  <si>
    <t>Задача 6 государственной программы: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</si>
  <si>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Подпрограмма 4 «Государственная поддержка развития образовательных организаций высшего образования, расположенных на территории Новосибирской области»</t>
  </si>
  <si>
    <t>Цель подпрограммы 4: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</si>
  <si>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1 подпрограммы 4: активизация интеграционных процессов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 Новосибирской области, научными организациями, промышленными предприятиями, общеобразовательными организациями Новосибирской области</t>
  </si>
  <si>
    <t>6.1. Организация взаимодействия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власти, научными организациями, промышленными предприятиями, общеобразовательными организациями в Новосибирской области</t>
  </si>
  <si>
    <t>Задача 2 подпрограммы 4: повышение качества подготовки высококвалифицированных кадров и обеспечение потребности Новосибирской области в кадрах с высшим образованием</t>
  </si>
  <si>
    <t>6.2. Создание на базе образовательных организаций высшего образования, расположенных на территории Новосибирской области, современной системы непрерывного образования, профессионального обучения и дополнительного профессионального образования высококвалифицированных кадров</t>
  </si>
  <si>
    <t>1.1.1. Строительство новых зданий, помещений, реконструкция существующих зданий, надстройка дополнительных помещений (этажей) в существующих зданиях, приобретение (выкуп) зданий, помещений для размещения детских садов</t>
  </si>
  <si>
    <t>5.4.1. Обеспечение участия победителей и призеров областных мероприятий, в том числе для детей с ОВЗ и детей-инвалидов, в системе общего и дополнительного образования во всероссийских и международных мероприятиях (олимпиады, конкурсы, соревнования, фестивали по интеллектуальным, творческим, спортивным и другим видам деятельности)</t>
  </si>
  <si>
    <t xml:space="preserve">5.1.1. Оснащение современным оборудованием региональных ресурсных центров развития и поддержки молодых талантов в системе общего и дополнительного образования </t>
  </si>
  <si>
    <t>Уважаемые коллеги, ячейки с желтым цетом необходимо проверить. После проверки или исправления просьба выделить синим цветом</t>
  </si>
  <si>
    <t>5.2.1. Предоставление субсидий на реализацию муниципальных проектов (программ) совершенствования системы выявления и поддержки одаренных детей и талантливой учащейся молодежи в Новосибирской области</t>
  </si>
  <si>
    <t xml:space="preserve">количество зданий (сооружений)
( ед.) </t>
  </si>
  <si>
    <t xml:space="preserve">2.10. Развитие системы психолого-педагогической, медико-социальной, информационной и научно-методической поддержки общеобразовательных и дошкольных образовательных организаций и педагогических работников, работающих с детьми-инвалидами и детьми с ОВЗ </t>
  </si>
  <si>
    <t>ГБОУ НСО ОЦО</t>
  </si>
  <si>
    <t xml:space="preserve">ГБУ ДПО НСО ОблЦИТ </t>
  </si>
  <si>
    <t>ГАУ ДО НСО ОЦРТДиЮ</t>
  </si>
  <si>
    <t>ГАУ ДПО НСО НИПКиПРО</t>
  </si>
  <si>
    <t>создание и обеспечение условий для проведения государственной итоговой аттестации в соответствии с требованиями</t>
  </si>
  <si>
    <t xml:space="preserve">формирование и финансовое обеспечение государственных (муниципальных) заданий на реализацию образовательных программ </t>
  </si>
  <si>
    <t>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 (исполнение государственного задания)</t>
  </si>
  <si>
    <t>будет обеспечена государственная поддержка реализации образовательных программ в негосударственных образовательных организациях на основе принципов нормативно-подушевого финансирования</t>
  </si>
  <si>
    <t>создание условий по обеспечению равных возможностей в доступности качественного образования</t>
  </si>
  <si>
    <t>обеспечение равных возможностей в доступности качественного образования</t>
  </si>
  <si>
    <t>будет создана безбарьерная образовательная среда, необходимая для обеспечения полноценной интеграции детей-инвалидов, которым показана такая возможность, в образовательный процесс; всем детям инвалидам и детям с ОВЗ, их родителям (законным представителям) будет обеспечена свобода выбора форм обучения, включая дистанционное и электронное обучение</t>
  </si>
  <si>
    <t>будут выполнены социальные обязательства со стороны государства по обеспечению социальных гарантий и льгот педагогическим работникам областных государственных и муниципальных образовательных организаций</t>
  </si>
  <si>
    <t>участие школьников, в том числе детей с ОВЗ и детей-нвалидов, в  мероприятиях международного и всероссийского уровней</t>
  </si>
  <si>
    <t>будет обеспечена финансовая и материальная поддержка талантливой молодежи в форме предоставления премий и стипендий за счет средств областного бюджета, а также наставников молодых талантов</t>
  </si>
  <si>
    <t>поощрение одаренных детей в сфере общего и дополнительного образования Новосибирской области. Постановление Губернатора Новосибирской области от 17.11.2008 № 467</t>
  </si>
  <si>
    <t xml:space="preserve">повышение эффективности работы с одаренными детьми </t>
  </si>
  <si>
    <t>создание условий для организованного проведения и организационно – методического сопровождения муниципального и регионального этапов всероссийской олимпиады школьников</t>
  </si>
  <si>
    <t>создание условий для выявления талантливых педагогов, распространение передового педагогического опыта</t>
  </si>
  <si>
    <t>повышение качества проводимых научных исследований и опытно-конструкторских работ образовательными организациями высшего образования, расположенными на территории Новосибирской области</t>
  </si>
  <si>
    <t>МОНиИП НСО федер</t>
  </si>
  <si>
    <t>124</t>
  </si>
  <si>
    <t>будут разработаны программы повышения квалификации и проведены курсы повышения квалификации; систематизация опыта Новосибирской области по проектированию внутренней системы оценки качества образования образовательной организации, подготовлены и опубликованы методические рекомендации</t>
  </si>
  <si>
    <t>Подпрограмма 3 «Выявление и поддержка одаренных детей и талантливой учащейся молодежи в Новосибирской области»</t>
  </si>
  <si>
    <t>5.4.2. Обеспечение участия одаренных детей и талантливой молодежи сферы культуры Новосибирской области во  всероссийских и международных творческих состязаниях</t>
  </si>
  <si>
    <t xml:space="preserve">участие делегации одаренных детей и талантливой молодежи Новосибирской области в Дельфийских играх России </t>
  </si>
  <si>
    <t>07100R0210</t>
  </si>
  <si>
    <t>оказание социальной поддержки педагогическим работникам при выходе на пенсию в соответствии с пунктами 3, 4 статьи 8 Закона Новосибирской области от 05.07.2013 №361-ОЗ «О регулировании отношений в сфере образования в Новосибирской области», постановлением Правительства Новосибирской области от 14.04.2014 №141-п «О порядке выплаты единовременного денежного пособия педагогическим работникам государственных образовательных организаций Новосибирской области и муниципальных образовательных организаций при увольнении в связи с выходом на трудовую пенсию по старости»</t>
  </si>
  <si>
    <t>выявление и творческое развитие талантливых детей и молодежи в сфере культуры с охватом мероприятиями не менее 900 человек (в год проведения)</t>
  </si>
  <si>
    <t>в том числе:</t>
  </si>
  <si>
    <t>1.1.2. Капитальный ремонт зданий, оснащение их необходимым оборудованием и инвентарем для размещения детских садов</t>
  </si>
  <si>
    <t>0703</t>
  </si>
  <si>
    <t>ГБУ НСО ОЦДК</t>
  </si>
  <si>
    <t>обеспечение функционирования системы мониторинга оценки образовательных результатов на региональном и муниципальном уровнях</t>
  </si>
  <si>
    <t>будут обеспечены современные условия предоставления общего образования в соответствии с ФГОС, с учетом прогнозируемого увеличения численности детей школьного возраста и задач сокращения практики обучения в 2 смены</t>
  </si>
  <si>
    <t xml:space="preserve">обеспечение государственной поддержки реализации образовательных программ в негосударственных дошкольных образовательных организациях на основе принципов нормативно-подушевого финансирования.
Обеспечение равных финансовых условий в получении дошкольного образования независимо от места обучения
</t>
  </si>
  <si>
    <t xml:space="preserve">обеспечение государственной поддержки реализации образовательных программ в негосударственных образовательных организациях на основе принципов нормативно-подушевого финансирования.
Обеспечение равных финансовых условий в получении общего образования независимо от места обучения
</t>
  </si>
  <si>
    <t>создание современных безопасных условий для  организации учебного процесса. Уменьшение количества  образовательных организаций, расположенных на территории Новосибирской области, не соответствующих требованиям технической безопасности</t>
  </si>
  <si>
    <t>региональный центр (ед.)</t>
  </si>
  <si>
    <t xml:space="preserve">количество мест (ед.)  </t>
  </si>
  <si>
    <t xml:space="preserve">количество мест (ед.) </t>
  </si>
  <si>
    <t xml:space="preserve">будут созданы необходимые условия для повышения качества образования, предоставления равных возможностей на получение качественного и доступного общего образования </t>
  </si>
  <si>
    <t>оснащение пунктов приема экзаменов оборудованием для проведения ЕГЭ. Создание условий для проведения государственной итоговой аттестации</t>
  </si>
  <si>
    <t xml:space="preserve">обеспечение питанием детей-сирот и детей, оставшихся без попечения родителей, лиц из числа детей-сирот и детей, оставшихся без попечения родителей, обучающихся в учреждениях, за счет средств областного бюджета Новосибирской области.
Обеспечение питанием на льготных условиях обучающихся, воспитанников областных государственных общеобразовательных учреждений из многодетных и малоимущих семей </t>
  </si>
  <si>
    <t>4.1.1. Предоставление субсидии на возмещение затрат по оказанию государственных образовательных услуг и прочих работ ГАУ ДПО НСО НИПКиПРО (государственное задание)</t>
  </si>
  <si>
    <t>812</t>
  </si>
  <si>
    <t>ГБУ НСО ОЦДК;
ГАУ ДПО НСО НИПКиПРО;
ГКУ НСО НИМРО;
ГБУ ДПО НСО ОблЦИТ;
ОМС Новосибирской области</t>
  </si>
  <si>
    <t>ШИБЦ (ед.)</t>
  </si>
  <si>
    <t>повышение уровня квалификации педагогических работников сферы культуры и искусства, качества профессиональной подготовки обучающихся, с охватом около 30 педагогов и 120 детей (в год проведения)</t>
  </si>
  <si>
    <t xml:space="preserve">мероприятие (ед.) </t>
  </si>
  <si>
    <t>Обеспечение равного доступа детей к услугам дошкольного образования.
Средняя заработная плата текущего года по педагогическим работникам дошкольных образовательных организаций  составит не менее 100% к средней заработной плате текущего года в общем образовании Новосибирской области</t>
  </si>
  <si>
    <t>Обеспечение равного доступа детей к услугам общего образования.
Средняя заработная плата по педагогическим работникам общеобразовательных организаций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</t>
  </si>
  <si>
    <t>обеспечение бесплатным питанием, одеждой, обувью, мягким и жестким инвентарем 100% детей с ограниченными возможностями здоровья, обучающихся в образовательных организациях, реализующих адаптированные общеобразовательные программы в образовательных организациях (дошкольные, общеобразовательные, санаторные и коррекционные организации)</t>
  </si>
  <si>
    <t>будет организовано взаимодействие всех уровней Областной методической службы в сфере образования Новосибирской области для оказания информационно-методической помощи указанным школам;  создан единый консультационно-методический центр в рамках Областной методической службы по вопросам эффективной организации и коррекции образовательной деятельности. Разработаны методические материалы  по реализации муниципальных программ  (проектов) поддержки школ с низкими результатами обучения и в школах, функционирующих в неблагоприятных социальных условиях, расположенных на территории Новосибирской области, с учетом типологизации, методического  пособия  для контроля психологического благополучия ребенка</t>
  </si>
  <si>
    <t>создание эффективных форм сотрудничества со СМИ по информационному сопровождению подпрограммы (публикации в сети Интернет, газетах и журналах)</t>
  </si>
  <si>
    <t>5.3.1. Организация и проведение Всероссийских, региональных и областных интеллектуальных, спортивных, спортивно-технических соревнований, конкурсов, фестивалей, конференций, олимпиад, акций в системе общего и дополнительного образования в Новосибирской области</t>
  </si>
  <si>
    <t xml:space="preserve"> премия (человек)</t>
  </si>
  <si>
    <t>ГКУ НСО НИМРО,
ГБУ НСО ОЦДК; 
ГБУ НСО ОблЦИТ;
ОМС Новосибирской области</t>
  </si>
  <si>
    <t>2019 год</t>
  </si>
  <si>
    <t>5.1.2. Оснащение и обеспечение реализации программ регионального ресурсного центра развития и поддержки молодых талантов в сфере культуры на базе ГАПОУ НСО «Новосибирский музыкальный колледж имени А.Ф. Мурова»</t>
  </si>
  <si>
    <t>министерство образования Новосибирской области</t>
  </si>
  <si>
    <t>министерство образования Новосибирской области во взаимодействии с ОМС Новосибирской области</t>
  </si>
  <si>
    <t>министерство образования Новосибирской области,
ГКУ НСО ЦРМТБО,
ГКУ НСО НИМРО</t>
  </si>
  <si>
    <t>министерство образования Новосибирской областии, 
ГАУ ДО НСО ОЦРТДиЮ</t>
  </si>
  <si>
    <t>министерство образования Новосибирской области, 
ГАУ ДО НСО ОЦРТДиЮ;
ГБУ ДО НСО «Автомотоцентр»</t>
  </si>
  <si>
    <t>министерство образования Новосибирской области,
ГАУ ДО НСО ОЦРТДиЮ</t>
  </si>
  <si>
    <t>ГАУ ДО НСО ОЦРТДиЮ,
ГБУ НСО ОЦДК</t>
  </si>
  <si>
    <t>образовательная организация (ед.)</t>
  </si>
  <si>
    <t>100-200</t>
  </si>
  <si>
    <t>человеко-часов</t>
  </si>
  <si>
    <t>5.1.3. Создание, оснащение современным оборудованием, обеспечение реализации образовательных программ детских технопарков, региональных ресурсных центров развития и поддержки молодых талантов, школьных предпринимательских компаний, STEM-центров, школьных бизнес-инкубаторов/IT-инкубаторов, школьных центров робототехники и /или прототипирования и др., расположенных на территории Новосибирской области</t>
  </si>
  <si>
    <t>10-30</t>
  </si>
  <si>
    <t>х</t>
  </si>
  <si>
    <t>5</t>
  </si>
  <si>
    <t>6</t>
  </si>
  <si>
    <t>01</t>
  </si>
  <si>
    <t>07</t>
  </si>
  <si>
    <t>02</t>
  </si>
  <si>
    <t>09</t>
  </si>
  <si>
    <t>ПР</t>
  </si>
  <si>
    <t>10</t>
  </si>
  <si>
    <t>03</t>
  </si>
  <si>
    <t>05</t>
  </si>
  <si>
    <t>04</t>
  </si>
  <si>
    <t>08</t>
  </si>
  <si>
    <t>Всего, в том числе:</t>
  </si>
  <si>
    <t>851</t>
  </si>
  <si>
    <t>создание условий для выявления талантливых педагогов дополнительного образования детей, распространение передового педагогического опыта</t>
  </si>
  <si>
    <t>сообщество (ед.)</t>
  </si>
  <si>
    <t>Значение показателя на
2019 год</t>
  </si>
  <si>
    <t>Значение показателя на очередной финансовый 2019 год (поквартально)</t>
  </si>
  <si>
    <t>Значение показателя на 2020 год</t>
  </si>
  <si>
    <t>Значение показателя на
2021 год</t>
  </si>
  <si>
    <t>отклонение 2019 года</t>
  </si>
  <si>
    <t>отклонение 2021</t>
  </si>
  <si>
    <t>1004</t>
  </si>
  <si>
    <t>0710470110</t>
  </si>
  <si>
    <t>0710520120</t>
  </si>
  <si>
    <t>0740103510</t>
  </si>
  <si>
    <t>07402R0660</t>
  </si>
  <si>
    <t>0740203510</t>
  </si>
  <si>
    <t>0710520130</t>
  </si>
  <si>
    <t>0710470120</t>
  </si>
  <si>
    <t>0710470140</t>
  </si>
  <si>
    <t>0710470849</t>
  </si>
  <si>
    <t>07107R0273</t>
  </si>
  <si>
    <t>07108R5380</t>
  </si>
  <si>
    <t>0710400640</t>
  </si>
  <si>
    <t>0720100650</t>
  </si>
  <si>
    <t>0730103550</t>
  </si>
  <si>
    <t>0730270550</t>
  </si>
  <si>
    <t>0730203550</t>
  </si>
  <si>
    <t>0730303550</t>
  </si>
  <si>
    <t>0730403550</t>
  </si>
  <si>
    <t>0730503550</t>
  </si>
  <si>
    <t>0730603550</t>
  </si>
  <si>
    <t>0730103679</t>
  </si>
  <si>
    <t>0730603679</t>
  </si>
  <si>
    <t>0730403679</t>
  </si>
  <si>
    <t>0730303679</t>
  </si>
  <si>
    <t>0711103420</t>
  </si>
  <si>
    <t>0710103420</t>
  </si>
  <si>
    <t>0710170490</t>
  </si>
  <si>
    <t>0710104040</t>
  </si>
  <si>
    <t>0711170920</t>
  </si>
  <si>
    <t>0710103470</t>
  </si>
  <si>
    <t>0710170380</t>
  </si>
  <si>
    <t>0710170820</t>
  </si>
  <si>
    <t>0710170920</t>
  </si>
  <si>
    <t>0710303470</t>
  </si>
  <si>
    <t>0710603470</t>
  </si>
  <si>
    <t>0710703480</t>
  </si>
  <si>
    <t>0710403589</t>
  </si>
  <si>
    <t>0710403349</t>
  </si>
  <si>
    <t>0710400660</t>
  </si>
  <si>
    <t>0710400620</t>
  </si>
  <si>
    <t>0710400630</t>
  </si>
  <si>
    <t>0710203470</t>
  </si>
  <si>
    <t xml:space="preserve">создание современных безопасных условий для  организации учебного процесса. Уменьшение количества  образовательных организаций, подведомственных Минобразования Новосибирской области, не соответствующих требованиям технической безопасности </t>
  </si>
  <si>
    <t>0711103920</t>
  </si>
  <si>
    <t>813</t>
  </si>
  <si>
    <t>07107R0272</t>
  </si>
  <si>
    <t>07109R5390</t>
  </si>
  <si>
    <t>0720203490</t>
  </si>
  <si>
    <t>0720303490</t>
  </si>
  <si>
    <t>2.9.3. Предоставление компенсации затрат на организацию обучения по основным общеобразовательным программам на дому родителям (законным представителям) детей-инвалидов</t>
  </si>
  <si>
    <t>Компенсация затрат на организацию обучения по основным общеобразовательным программам на дому родителям (законным представителям) детей - инвалидов предполагает обеспечение организации обучения детей-инвалидов по основным общеобразовательным программам на дому родителями (законными представителями) при невозможности создания специальных условий в организациях, осуществляющих образовательную деятельность, расположенных на территории Новосибирской области, по объективным причинам</t>
  </si>
  <si>
    <t>613</t>
  </si>
  <si>
    <t>072Е503970</t>
  </si>
  <si>
    <t>0740200660</t>
  </si>
  <si>
    <t>071P252322</t>
  </si>
  <si>
    <t>071P270490</t>
  </si>
  <si>
    <t>071P203420</t>
  </si>
  <si>
    <t>071F103420</t>
  </si>
  <si>
    <t>071F150211</t>
  </si>
  <si>
    <t>071P251591</t>
  </si>
  <si>
    <t>071P252321</t>
  </si>
  <si>
    <t>071P251592</t>
  </si>
  <si>
    <t>071F150212</t>
  </si>
  <si>
    <t>071E155200</t>
  </si>
  <si>
    <t>071E170490</t>
  </si>
  <si>
    <t>071F170490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</si>
  <si>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
</t>
  </si>
  <si>
    <t>министерство образования Новосибирской области
государственные образовательные организации  Новосибирской области,  подведомственные министерству образования Новосибирской области</t>
  </si>
  <si>
    <t xml:space="preserve">увеличение доли иностранных граждан в общей численности обучающихся образовательных организаций высшего образования, общего объема доходов образовательных организаций высшего образования от образовательной деятельности
</t>
  </si>
  <si>
    <t xml:space="preserve">создание необходимых условий для выявления, развития и поддержки молодых талантов по различным видам деятельности
</t>
  </si>
  <si>
    <t xml:space="preserve">создание современных материально-технических условий для выявления, развития, поддержки и сопровождения одаренных детей и талантливой учащейся молодежи </t>
  </si>
  <si>
    <t xml:space="preserve">реализация программ регионального ресурсного центра, дальнейшее совершенствование условий для выявления, развития, поддержки и сопровождения одаренных детей и талантливой учащейся молодежи в области культуры </t>
  </si>
  <si>
    <t xml:space="preserve">образовательным организациям, расположенным на территории Новосибирской области, по результатм отбора будут предоставлены за счет средств областного бюджета Новосибирской области гранты в форме субсидий на  реализацию проектов, направленных на оснащение образовательных организаций современным оборудованием и создание условий для профессиональной ориентации содержания общего образования
</t>
  </si>
  <si>
    <t xml:space="preserve">повышение эффективности работы с одаренными детьми
</t>
  </si>
  <si>
    <t xml:space="preserve">будет обеспечено развитие и совершенствование организации и проведения интеллектуальных, творческих и спортивных состязаний, проведение на регулярной основе олимпиад различного уровня
</t>
  </si>
  <si>
    <t>выявление одаренных школьников в различных видах интеллектуальной, творческой и спортивной деятельности с ежегодным охватом около 6,5 тысяч школьников</t>
  </si>
  <si>
    <t xml:space="preserve">организационное и финансовое обеспечение участия во всероссийских и международных олимпиадах, конкурсах, соревнованиях школьников и студентов и иных мероприятиях по выявлению молодых талантов
</t>
  </si>
  <si>
    <t xml:space="preserve">формирование положительного имиджа высшей школы Новосибирской области, привлечение к научно-исследовательской и инновационной работе талантливой учащейся молодежи. Постановление Правительства Новосибирской области от 30.12.2014 № 564-п
</t>
  </si>
  <si>
    <t>выполнение функций казёнными учреждениями, подведомственными Минобразования Новосибирской области</t>
  </si>
  <si>
    <t xml:space="preserve">повышение качества образования в школах с низкими результатами обучения и в школах, функционирующих в неблагоприятных социальных условиях.
Будет сокращен разрыв в образовательных результатах между обучающимися за счет повышения эффективности и качества работы школ с низкими образовательными результатами обучающихся
</t>
  </si>
  <si>
    <t xml:space="preserve">будут созданы условия для системной модернизации технологий и содержания обучения в соответствии с ФГОС по формированию предметных, метапредметных и личностных результатов в рамках обучения различным предметным областям с учетом требований ФГОС, в том числе для обучающихся с ОВЗ </t>
  </si>
  <si>
    <t xml:space="preserve"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
</t>
  </si>
  <si>
    <t xml:space="preserve">ГБУ ДПО НСО ОблЦИТ        </t>
  </si>
  <si>
    <t>0711003540</t>
  </si>
  <si>
    <t>предоставление школам с низкими результатами обучения и в школах, функционирующих в неблагоприятных социальных условиях, расположенных на территории Новосибирской области, субсидий для организации деятельности стажировочных площадок по выходу из проблемных зон в соответствии со сформировавшимися возможностями</t>
  </si>
  <si>
    <t xml:space="preserve">ГАУ ДПО НСО НИПКиПРО,
ГБУ ДПО НСО ОблЦИТ                          ГАУ ДПО НСО НИПКиПРО,
</t>
  </si>
  <si>
    <t>Минобразования Новосибирской области;
ОМС Новосибирской области
ГБУ ДПО НСО ОблЦИТ</t>
  </si>
  <si>
    <t>будет обеспечена возможность женщинам, проживающим на территории Новосибирской области, воспитывающих детей дошкольного возраста, совмещать трудовую деятельность с семейными обязанностями, в том числе за счет повышения доступности дошкольного образования для детей в возрасте до трех лет</t>
  </si>
  <si>
    <t>Подробный перечень планируемых к реализации мероприятий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на очередной 2019 год и плановый период 2020 и 2021 годов</t>
  </si>
  <si>
    <t>1.2. Региональный проект "Содействие занятости женщин – создание условий дошкольного образования для детей в возрасте до трех лет"</t>
  </si>
  <si>
    <t>1.2.1. Строительство новых зданий, помещений, реконструкция существующих зданий, приобретение (выкуп) зданий, помещений для размещения детских садов</t>
  </si>
  <si>
    <t>4.2. Разработка и реализация инновационных образовательных программ для руководителей органов управления образованием, государственных и муниципальных образовательных организаций, кадрового резерва</t>
  </si>
  <si>
    <t>07108R5381</t>
  </si>
  <si>
    <t>07108R5382</t>
  </si>
  <si>
    <t>министерство образования Новосибирской области; 
министерство строительства Новосибирской области;
ОМС Новосибирской области</t>
  </si>
  <si>
    <t>министерство образования Новосибирской области; ОМС Новосибирской области;
государственные образовательные организации Новосибирской области, подведомственные министерству образования Новосибирской области;
образовательные организации, расположенные на территории Новосибирской области</t>
  </si>
  <si>
    <t>министерство образования Новосибирской области;
ОМС Новосибирской области</t>
  </si>
  <si>
    <t>обеспечена возможность для непрерывного и планомерного повышения квалификации педагогических работников, в том числе на основе использования современных цифровых технологий (дистанционные образовательные технологии и электронные образовательные ресурсы), формирования и участия в профессиональных ассоциациях, программах обмена опытом и лучшими практиками, привлечения работодателей к дополнительному профессиональному образованию педагогических работников, в том числе в форме стажировок; создание автоматизированной системы для проведения аттестации педагогических работников Новосибирской области в целях установления им квалифициконных категорий</t>
  </si>
  <si>
    <t>Министертво культуры Новосибирской области             ГАПОУ НСО «Новосибирский музыкальный колледж имени А.Ф. Мурова»</t>
  </si>
  <si>
    <t>6.2.1. Переподготовка и повышение квалификации высококвалифицированных кадров в соответствии с Государственным планом подготовки управленческих кадров для организаций народного хозяйства Российской Федерации</t>
  </si>
  <si>
    <t>6.2.2. Субсидии государственным бюджетным и автономным учреждениям на финансовое обеспечение выполнения государственного задания на оказание государственных услуг (выполнение работ)</t>
  </si>
  <si>
    <t xml:space="preserve">6.2.3. Предоставление стипендий, премий, грантов студентам и аспирантам </t>
  </si>
  <si>
    <t>министерство образования Новосибирской области;
ОМС Новосибирской области;
государственные образовательные организации Новосибирской области, подведомственные министерству образования Новосибирской области;
муниципальные образовательные организации, расположенные на территории Новосибирской области</t>
  </si>
  <si>
    <t>министерство образования Новосибирской области;
ГКУ НСО НИМРО;
образовательные организации, расположенные на территории Новосибирской области;
ОМС Новосибирской области</t>
  </si>
  <si>
    <t>ГКУ НСО НИМРО;
образовательные организации, расположенные на территории Новосибирской области;
ОМС Новосибирской области</t>
  </si>
  <si>
    <t>министерство образования Новосибирской области;
ГКУ НСО НИМРО;
ОМС Новосибирской области;
образовательные организации, расположенные на территории Новосибирской области;</t>
  </si>
  <si>
    <t>министерство образования Новосибирской области; 
организации, подведомственные министерству образования Новосибирской области;
ГКУ НСО ЦРМТБО;
ГКУ НСО НИМРО;
ОМС Новосибирской области</t>
  </si>
  <si>
    <t xml:space="preserve">министерство образования Новосибирской области;
ГБОУ НСО ОЦО;
государственные (муниципальные) образовательные организации, расположенные на территории Новосибирской области;
ОМС Новосибирской области;
</t>
  </si>
  <si>
    <t>министерство образования Новосибирской области во взаимодействии с  ОМС Новосибирской области;
государственные (муниципальные) образовательные организации, расположенные на территории Новосибирской области;</t>
  </si>
  <si>
    <t>министерство образования Новосибирской области;
ГБУ НСО ОЦДК;
ГБОУ НСО ОЦО;
государственные (муниципальные) образовательные организации, расположенные на территории Новосибирской области;</t>
  </si>
  <si>
    <t>министерство образования Новосибирской области;
ГБУ НСО ОЦДК;
ГАУ ДПО НСО НИПКиПРО;
ГКУ НСО НИМРО;
ГБУ ДПО НСО ОблЦИТ;
ОМС Новосибирской области</t>
  </si>
  <si>
    <t>министерство образования Новосибирской области; 
ГАУ ДО НСО ОЦРТДиЮ;
ОМС Новосибирской области</t>
  </si>
  <si>
    <t xml:space="preserve">ГАУ ДО НСО ОЦРТДиЮ;
ОМС Новосибирской области
</t>
  </si>
  <si>
    <t xml:space="preserve">министерство образования Новосибирской области; 
ГАУ ДО НСО ОЦРТДиЮ;
</t>
  </si>
  <si>
    <t>министерство образования Новосибирской области;
ГКУ НСО ЦРМТБО</t>
  </si>
  <si>
    <t>автоматизированная система</t>
  </si>
  <si>
    <t xml:space="preserve">министерство образования Новосибирской области;
ОМС Новосибирской области;
государственные (муниципальные) образовательные организации Новосибирской области, расположенные на территории Новосибирской области
</t>
  </si>
  <si>
    <t>5.2.2. Мероприятия по освещению в СМИ позитивного опыта, результатов и достижений в работе с молодыми талантами (информационное сопровождение подпрограммы)</t>
  </si>
  <si>
    <t xml:space="preserve">министерство образования Новосибирской области; 
министерство культуры Новосибирской области;
организации, подведомственные министерству культуры;
ГАУ ДО НСО ОЦРТДиЮ;
ГБУ ДО НСО «Автомотоцентр»
</t>
  </si>
  <si>
    <t>министерство культуры Новосибирской области;
организации, подведомственные министерству культуры;</t>
  </si>
  <si>
    <t>министерство образования Новосибирской области,
 ГАУ ДО НСО ОЦРТДиЮ;
ГБУ  ДО НСО Автомотоцентр</t>
  </si>
  <si>
    <t>министерство образования Новосибирской области;
 ГАУ ДО НСО ОЦРТДиЮ</t>
  </si>
  <si>
    <t>министерство образования Новосибирской области; 
ГАУ ДО НСО ОЦРТДиЮ</t>
  </si>
  <si>
    <t>министерство культуры Новосибирской области;
организации, подведомственные министерству культуры Новосибирской области;</t>
  </si>
  <si>
    <t>министерство образования Новосибирской области; 
образовательные организации  высшего образования, расположенные на территории Новосибирской области</t>
  </si>
  <si>
    <t>6.1.2. Организация и проведение Универсиады среди студентов образовательных организаций высшего образования, расположенных на территории Новосибирской области</t>
  </si>
  <si>
    <t xml:space="preserve">министерство образования Новосибирской области; 
образовательные организации  высшего образования, расположенные на территории Новосибирской области
</t>
  </si>
  <si>
    <t>министерство образования Новосибирской области;
образовательные организации высшего образования, расположенные на территории Новосибирской области</t>
  </si>
  <si>
    <t xml:space="preserve">
министерство строительства Новосибирской области;
ОМС Новосибирской области</t>
  </si>
  <si>
    <t>МС НСО местн (прочие)</t>
  </si>
  <si>
    <t>Общепрограммное мероприятие 
1. Региональный проект "Цифровая образовательная среда"</t>
  </si>
  <si>
    <t>увеличится вклад образовательных организаций высшего образования, расположенных на территории Новосибирской области, в решение прикладных задач по заданиям организаций и органов власти.
Повысится включенность образовательных организаций высшего образования, расположенных на территории Новосибирской области, в решение задач социально-экономического развития региона</t>
  </si>
  <si>
    <t>будет обеспечена потребность экономики и социальной сферы Новосибирской области в кадрах высокой квалификации, в том числе по приоритетным направлениям модернизации и технологического развития.
Для всех студентов будет обеспечена возможность участвовать в исследованиях и разработках по специальности на старших курсах бакалавриата и при обучении на программах подготовки специалистов и магистров</t>
  </si>
  <si>
    <t xml:space="preserve">министерство образования Новосибирской области
</t>
  </si>
  <si>
    <t>будет проведено исследование среди родителей (законных представителей) обучающихся в школах с устойчиво низкими образовательными результатами, обработаны и проанализированы полученные результаты анкетирования родителей. Проведены семинары-вебинары по диагностике психологического неблагополучия детей и коррекции проблем их поведения. Организованы и проведены тренинги по устранению выявленных проблем</t>
  </si>
  <si>
    <t>ГБУ НСО ОЦДК;
ГКУ НСО НИМРО;
ГБУ НСО ОблЦИТ;
ГАУ ДПО НСО НИПКиПРО;
ОМС Новосибирской области</t>
  </si>
  <si>
    <t>ГАУ ДПО НСО НИПКиПРО;
ГКУ НСО НИМРО;
ГБУ НСО ОЦДК;
ГБУ НСО ОблЦИТ;
ОМС Новосибирской области</t>
  </si>
  <si>
    <t xml:space="preserve">ГБУ НСО ОЦДК;
ГАУ ДПО НСО НИПКиПРО;
ГКУ НСО НИМРО;
ГБУ ДПО НСО ОблЦИТ;
ОМС Новосибирской области
</t>
  </si>
  <si>
    <t>ГАУ ДПО НСО НИПКиПРО,
ГКУ НСО НИМРО,
ГБУ ДПО НСО ОблЦИТ,
ГБУ НСО ОЦДК;
министерство образования Новосибирской области</t>
  </si>
  <si>
    <t>Минобразования Новосибирской области;
ГКУ НСО НИМРО;
ГБУ НСО ОЦДК;                                    
ГАУ ДПО НСО НИПКиПРО</t>
  </si>
  <si>
    <t>Минобразования Новосибирской области;
ГБУ ДПО НСО ОблЦИТ;
ГАУ ДПО НСО НИПКиПРО;
ГКУ НСО НИМРО</t>
  </si>
  <si>
    <t>Минобразования Новосибирской области; 
ГКУ НСО НИМРО;
ГАУ ДПО НСО НИПКиПРО;
ГБУ ДПО НСО ОблЦИТ;
ОМС Новосибирской области</t>
  </si>
  <si>
    <t>Задача 3 государственной программы: Формирование условий для активного включения обучающихся в социальную и экономическую жизнь общества, популяризации здорового образа жизни, развития нравственных и духовных ценностей, занятий творчеством, развития системы профессиональной ориентации, повышения активности школьников в освоении и получении новых знаний</t>
  </si>
  <si>
    <t xml:space="preserve">мероприятие
(ед. изм.) </t>
  </si>
  <si>
    <t>министерство образования Новосибирской области;
ГАУ ДПО НСО НИПКиПРО;
государственные (муниципальные) образовательные организации, расположенные на территории Новосибирской области</t>
  </si>
  <si>
    <t>министерство образования Новосибирской области;
ГАУ ДПО НСО НИПКиПРО</t>
  </si>
  <si>
    <t xml:space="preserve">министерство образования Новосибирской области; 
ГАУ ДПО НСО НИПКиПРО;
ГКУ НСО НИМРО;
ГБУ ДПО НСО ОблЦИТ
</t>
  </si>
  <si>
    <t>министерство образования Новосибирской области;
ГБУ ДПО НСО ОблЦИТ;
ГКУ НСО НИМРО;
ГАУ ДПО НСО НИПКиПРО</t>
  </si>
  <si>
    <t>в 2019 году будет создана автоматизированная система (АС) для проведения аттестации педагогических работников Новосибирской области в целях установления им квалифициконных категорий. Финансовые средства на 2020-2021 предполагается выделять на обеспечение технической поддержки АС и разработку (доработку существующих) модулей (при необходимости)</t>
  </si>
  <si>
    <t>министерство образования Новосибирской области;
министерство культуры Новосибирской области;
ГАПОУ НСО НМК им. А.Ф.Мурова;
ГБУ НСО «Центр молодежного творчества»;
государственные (муниципальные) образовательные организации Новосибирской области, расположенные на территории Новосибирской области;
ГАУ ДО НСО ОЦРТДиЮ</t>
  </si>
  <si>
    <t xml:space="preserve">министерство образования Новосибирской области; 
ГАУ ДО НСО ОЦРТДиЮ;
министерство культуры Новосибирской области;
организации, подведомственные министерству культуры;
</t>
  </si>
  <si>
    <t xml:space="preserve">министерство образования Новосибирской области;
ГАУ ДО НСО ОЦРТДиЮ
</t>
  </si>
  <si>
    <t xml:space="preserve"> Наименование показателя 
(ед. изм.)</t>
  </si>
  <si>
    <t xml:space="preserve">Наименование показателя (ед.)  </t>
  </si>
  <si>
    <t>министерство образования Новосибирской области;
ОМС Новосибирской области;
государственные (муниципальные) образовательные организации, расположенные на территории Новосибирской области;
государственные организации Новосибирской области, подведомственные министерству образования Новосибирской области</t>
  </si>
  <si>
    <t>будут созданы необходимые условия для выявления, развития и поддержки молодых талантов в муниципальных районах и городских округах Новосибирской области по различным видам деятельности.
Создание и (или) открытие (ежегодно)  региональных и муниципальных ресурсных центров развития и поддержки одаренных детей и талантливой учащейся молодежи в рамках предоставляемых  субсидий на реализацию муниципальных проектов (программ) совершенствования системы выявления и поддержки одаренных детей и талантливой учащейся молодежи в Новосибирской области. В период 2019-2020 годов планируется открытие 7 ресурсных центров</t>
  </si>
  <si>
    <t>1.1. Строительство, приобретение (выкуп),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</si>
  <si>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будут созданы дополнительные места для детей, в том числе в возрасте до трех лет в организациях и у индивидуальных предпринимателей, осуществляющих образовательную деятельность по образовательным программам дошкольного образования и присмотру и уходу</t>
  </si>
  <si>
    <t>улучшение материально-технической базы общеобразовательных организаций в целях улучшения качества школьного питания.</t>
  </si>
  <si>
    <t xml:space="preserve">будет проведена процедура оценки ИКТ-компетентности обучающихся 8 и 9 классов 60 образовательных организаций, расположенных на территории Новосибирской области; </t>
  </si>
  <si>
    <t>Наименование показателя (ед.)</t>
  </si>
  <si>
    <t>создание условий для повышения компетентности родителей обучающихся в вопросах образования и воспитания, в том числе для раннего развития детей в возрасте до трех лет путем предоставления до 2024 года не менее 45,0 тыс.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</si>
  <si>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ОПМ 1.2. Создание центров цифрового образования  детей "IT-куб" 
</t>
  </si>
  <si>
    <t>5.3.3. Организация и проведение Губернаторской Ёлки для обучающихся НСО.</t>
  </si>
  <si>
    <t>5.3.4. Проведение областных, межрегиональных, всероссийских и международных  мероприятий для детей и молодежи  в сфере культуры на территории Новосибирской области</t>
  </si>
  <si>
    <t>5.4.6. Организация и проведение  Губернаторского приема "Золотые надежды России"</t>
  </si>
  <si>
    <t>5.4.4. Обеспечение участия одаренных детей и учащейся молодежи Новосибирской области в сфере образования в международных мероприятиях</t>
  </si>
  <si>
    <t xml:space="preserve">
 ГАУ ДО НСО ОЦРТДиЮ</t>
  </si>
  <si>
    <t>Участие одаренных детей и талантливой учащейся молодежи  Новосибирской области в мероприятиях международного уровня (с охватом около 20 детей и молодежи в год проведения)</t>
  </si>
  <si>
    <t>поощрение одаренных детей и талантливой учащейся молодежи в Новосибирской области, достигших высоких результатов, с охватом около 81 молодых талантов (в год проведения)</t>
  </si>
  <si>
    <t>поощрение одаренных детей и талантливой учащейся молодежи в Новосибирской области, достигших высоких результатов, с охватом около 150 молодых талантов (в год проведения)</t>
  </si>
  <si>
    <t>поощрение одаренных детей и талантливой учащейся молодежи в Новосибирской области, достигших высоких результатов, с охватом около 400 молодых талантов (в год проведения)</t>
  </si>
  <si>
    <t>выявление, развитие и сопровождение одаренных школьников в различных видах деятельности с ежегодным охватом около 1 тысяч школьников</t>
  </si>
  <si>
    <t xml:space="preserve">выявление, развитие и сопровождение одаренных школьников в различных видах деятельности с ежегодным охватом около 2,5 тысяч школьников
</t>
  </si>
  <si>
    <t xml:space="preserve">будут созданы новые дополнительные места в действующих образовательных организациях и условия для детей дошкольного возраста и обеспечены современные условия предоставления дошкольного образования детей, в соответствии с ФГОС. </t>
  </si>
  <si>
    <t>участие одаренных детей и талантливой учащейся молодежи в мероприятиях всероссийского уровня (с охватом около 130 детей и молодежи в год проведения)</t>
  </si>
  <si>
    <t>будет внедрена целевая модель развития региональной системы дополнительного образования детей, созданы региональный модельный центр дополнительного образования детей и муниципальные опорные центры.
Подготовка комплекта документов (заявки) в 2019 году для участия в конкурсном отборе, проводимом Министерством просвещения Российской Федерации в рамках реализации Федерального проекта "Успех каждого ребенка"</t>
  </si>
  <si>
    <t>072E503170</t>
  </si>
  <si>
    <t>072E503970</t>
  </si>
  <si>
    <t xml:space="preserve"> ГАУ ДО НСО ОЦРТДиЮ</t>
  </si>
  <si>
    <t>071Е303190</t>
  </si>
  <si>
    <t>повышение престижа педагогического труда. Поощрение осуществляется в соответствии с главой 2 статьи 5 части 11 Закона Новосибирской области от 05.07.2013 №361-ОЗ "О регулировании отношений в сфере образования в Новосибирской области", постановлением Правительства Новосибирской области от 14.04.2014 №140-п "Об учреждении премии "Лучший педагогический работник Новосибирской области", постановлением Правительства Новосибирской области от 12.09.2011 №399-п "Об учреждении премии "Почетный работник образования Новосибирской области"
повышение уровня профессионального мастерства работников образования, популяризация лучших образцов педагогической деятельности, в соответствии с Законом Новосибирской области от 05.07.2013 №361-ОЗ "О регулировании отношений в сфере образования в Новосибирской области", постановлением администрации Новосибирской области от 20.03.2010 №98-па "Об учреждении премий Правительства Новосибирской области победителю и пяти лауреатам областного конкурса "Учитель года"</t>
  </si>
  <si>
    <t>074E503220</t>
  </si>
  <si>
    <t>министерство образования Новосибирской области, 
ГАУ НСО АРИС</t>
  </si>
  <si>
    <t xml:space="preserve">министерство образования Новосибирской области;
ГАУ ДПО НСО НИПКиПРО;
ГКУ НСО НИМРО;
ГБУ ДПО НСО ОблЦИТ, 
ГАУ НСО АРИС
</t>
  </si>
  <si>
    <t>073E251890</t>
  </si>
  <si>
    <t>071Е200640</t>
  </si>
  <si>
    <t>премия</t>
  </si>
  <si>
    <t>премия (ед.)</t>
  </si>
  <si>
    <t>073Е603210</t>
  </si>
  <si>
    <t xml:space="preserve">    </t>
  </si>
  <si>
    <t xml:space="preserve">количество зданий (сооружений) ( ед.) </t>
  </si>
  <si>
    <t>5.4.7. Организация и проведение  "Бала первоклассника"</t>
  </si>
  <si>
    <t>центр (ед.)</t>
  </si>
  <si>
    <t>МОНиИП НСО внебюджет</t>
  </si>
  <si>
    <t>модель</t>
  </si>
  <si>
    <t>ОПМ всего</t>
  </si>
  <si>
    <t>проведение социально-значимых мероприятий с педагогическими работниками</t>
  </si>
  <si>
    <t>Будет внедрена национальная система учительского роста педагогических работников</t>
  </si>
  <si>
    <t>Будет осуществлена поддержка молодежи, мотивированной к освоению педагогической профессии, вовлечение в различные формы сопровождения в первые три года работы</t>
  </si>
  <si>
    <t>Повышена квалификация педагогических работников</t>
  </si>
  <si>
    <t>Будет проведена церемония награждения  победителей и лауреатов областного конкурса «Учитель года»</t>
  </si>
  <si>
    <t>Будут созданы условия для проведения государственной итоговой аттестации. Будет улучшена материально-техническая база общеобразовательных организаций в целях улучшения качества школьного питания</t>
  </si>
  <si>
    <t xml:space="preserve">министерство образования Новосибирской области;                 ГКУ НСО ЦРМТБО;                              ГАУ ДПО НСО НИПКиПРО
ОМС Новосибирской области
</t>
  </si>
  <si>
    <t>министерство образования Новосибирской области;                  ГБУ НСО ОЦДК;
ГАУ ДПО НСО НИПКиПРО;
ОМС Новосибирской области</t>
  </si>
  <si>
    <t>центры (ед.)</t>
  </si>
  <si>
    <t>будут реализованы мероприятия регионального проекта "Цифровая образовательная среда": обновлена материально-техническая база для внедрения целевой модели цифровой образовательной среды в 402 общеобразовательных организациях и профессиональных образовательных организациях; созданы 2 центра цифрового образования  детей "IT-куб"</t>
  </si>
  <si>
    <t>5.5. Региональный проект "Успех каждого ребенка"</t>
  </si>
  <si>
    <t xml:space="preserve">5.5.1. Создание центра выявления и поддержки одаренных детей </t>
  </si>
  <si>
    <t>071E251730</t>
  </si>
  <si>
    <t>071E252470</t>
  </si>
  <si>
    <t>1.3. Региональный проект "Жилье"</t>
  </si>
  <si>
    <t>1.4.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</si>
  <si>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>1.4.1. Строительство новых зданий, помещений, реконструкция существующих зданий, 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</si>
  <si>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 xml:space="preserve">1.4.3. Замена оконных блоков и ремонт кровель в муниципальных образовательных организациях в Новосибирской области </t>
  </si>
  <si>
    <t>1.5. Региональный проект "Современная школа"</t>
  </si>
  <si>
    <t>1.5.1. Строительство новых зданий, помещений, реконструкция существующих зданий,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</si>
  <si>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>1.6. Модернизация технологической и материально-технической оснащенности государственных и муниципальных образовательных организаций и иных организаций, обеспечивающих функционирование системы образования Новосибирской области</t>
  </si>
  <si>
    <t>1.6.1. Приобретение оборудования, программного обеспечения, лицензий для оснащения ППЭ (пункт проведения экзамена) при проведении  ЕГЭ</t>
  </si>
  <si>
    <t>1.6.2. Реализация проектов, направленных на повышение качества и совершенствование школьного питания</t>
  </si>
  <si>
    <t>1.7. Региональный проект "Жилье"</t>
  </si>
  <si>
    <t>5.6. Поддержка и поощрение молодых талантов и специалистов, работающих с ними</t>
  </si>
  <si>
    <t>5.6.1. Премия Губернатора Новосибирской области для поддержки одарённых детей и молодёжи</t>
  </si>
  <si>
    <t>5.6.2. Адресная финансовая поддержка (по результатам конкурсного отбора) участия талантливой студенческой молодежи образовательных организаций высшего образования, расположенных на территории Новосибирской области, в международных мероприятиях (форумы, олимпиады, конференции, конкурсы, фестивали)</t>
  </si>
  <si>
    <t>5.7. Поддержка образовательных организаций, обеспечивающих психолого-педагогическое, информационное и научно-методическое сопровождение одаренных детей</t>
  </si>
  <si>
    <t>5.7.2. Проведение мастер-классов и обучающих семинаров по видам искусств для одаренных детей и их преподавателей ведущими специалистами Новосибирской области, России, зарубежных стран</t>
  </si>
  <si>
    <t>5.7.3. Обеспечение организационно – методического сопровождения муниципального и регионального этапов всероссийской олимпиады школьников</t>
  </si>
  <si>
    <t>5.7.4 Повышение квалификации педагогических работников и наставников образовательных учреждений в системе общего и дополнительного образования по работе с одаренными детьми и талантливой учащейся молодежью в Новосибирской области</t>
  </si>
  <si>
    <t>5.7.5. Организация и проведение областного конкурса авторских образовательных программ по работе с одаренными обучающимися педагогов дополнительного образования детей</t>
  </si>
  <si>
    <t>5.8. Региональный проект «Молодые профессионалы (Повышение конкурентоспособности профессионального образования)»</t>
  </si>
  <si>
    <t>5.8.1. Поддержка студентов для участия в международных конференциях, семинарах, конкурсах</t>
  </si>
  <si>
    <t>1.5.2. Создание материально-технической базы для реализации основных и дополнительных общеобразовательных программ цифрового и гуманитарного профиля в общеобразовательных отрганизациях, расположенных в сельской местности и малых городах</t>
  </si>
  <si>
    <t>1.5.3. Поддержка образования для детей с ограниченными возможностями здоровья.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</si>
  <si>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количество организаций (ед.)</t>
  </si>
  <si>
    <t>количество центров (ед.)</t>
  </si>
  <si>
    <t>Общепрограммное мероприятие 
2. Региональный проект "Поддержка семей, имеющих детей"</t>
  </si>
  <si>
    <t xml:space="preserve">заявка (ед.)  </t>
  </si>
  <si>
    <t>ОПМ 2.1. Оказание психолого-педагогической информационно-просветительской, методической и консультативной помощи родителям (законным представителям) детей</t>
  </si>
  <si>
    <t xml:space="preserve">реализация данного мероприятия будет осуществляться с 2020 года по результатам участия в конкурсных отборах, проводимых Министерством просвещения Российской Федерации в рамках реализации Федерального проекта "Поддержка семей, имеющих детей"
</t>
  </si>
  <si>
    <t>министерство образования Новосибирской области;
ГАУ ДПО НСО НИПКиПРО;
ОМС Новосибирской области</t>
  </si>
  <si>
    <t>стипендии</t>
  </si>
  <si>
    <t>6.1.1. Организация и проведение международных коммуникативных мероприятий в интересах развития отраслей экономики и социальной сферы. (II Студенческий форум стран ШОС, посвященный продвижению российского высшего образования и поддержке русского языка за рубежом)</t>
  </si>
  <si>
    <t>в ГБОУ НСО ОЦО будут созданы условия для обучения детей - инвалидов с использованием дистанционных образовательных технологий, организовано повышение квалификации педагогических работников, осуществлено методическое и организационно- техническое сопровождение образования детей-инвалидов</t>
  </si>
  <si>
    <t>министерство образования Новосибирской области;
министерство культуры Новосибирской области;
организации, подведомственные министерству культуры Новосибирской области;
ГАУ ДО НСО ОЦРТДиЮ;
ГБУ НСО ОЦДК;
ГАУ ДПО НСО НИПКиПРО</t>
  </si>
  <si>
    <t>070Е303190</t>
  </si>
  <si>
    <t xml:space="preserve">5.5.2. Создание ключевых центров дополнительного образования детей, в том числе центра, реализующего дополнительные общеобразовательные программы, в организации, осуществляющей образовательную деятельность по образовательным программам высшего образования </t>
  </si>
  <si>
    <t>5.5.3. Создание новых мест дополнительного образования детей</t>
  </si>
  <si>
    <t>Будет внедрена национальная система учительского роста педагогических работников.
 В период 2021-2022 годов будут созданы 5 центров непрерывного повышения профессионального мастерства педагогических работников и центр оценки профессионального мастерства и квалификации педагогов Новосибирской области.</t>
  </si>
  <si>
    <t>В 2020 году будет создан детский технопарк «Кванториум».
Подготовка комплекта документов (заявки) в 2019 году для участия в конкурсном отборе, проводимом Министерством просвещения Российской Федерации</t>
  </si>
  <si>
    <t>будет обновляться специальный раздел  НООС (интернет-портал), страницы на сайте стажировочной площадки и сайтах подведомственных Минобразования Новосибирской области организаций для информационного сопровождения реализации мероприятия 2.7.</t>
  </si>
  <si>
    <t>1.7.1. Строительство новых зданий, помещений, реконструкция существующих зданий, 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</si>
  <si>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>2.3.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</si>
  <si>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>2.3.1. Оказание услуг по сопровождению и доставке контрольных измерительных материалов для проведения единого государственного экзамена в пункты проведения экзамена в Новосибирской области</t>
  </si>
  <si>
    <t>2.3.2. Организация проведения независимой оценки качества условий осуществления образовательной деятельности организациями, расположенными на территории муниципальных образований Новосибирской области</t>
  </si>
  <si>
    <t>2.6. Финансовое обеспечение деятельности учреждений (государственных и муниципальных заданий, смет казенных организаций, предоставление мер социальной поддержки детей)</t>
  </si>
  <si>
    <t>2.6.1. Предоставление субвенции на реализацию основных общеобразовательных программ дошкольного образования в муниципальных образовательных организациях</t>
  </si>
  <si>
    <t>2.6.2. Предоставление субвенции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</si>
  <si>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2.6.3. Предоставление субвенции на реализацию основных общеобразовательных программ</t>
  </si>
  <si>
    <t>2.6.4. Предоставление субвенции на социальную поддержку отдельных категорий детей, обучающихся в образовательных организациях (дошкольные, общеобразовательные, санаторные и коррекционные организации)</t>
  </si>
  <si>
    <t>2.6.5. Предоставление субсидии на возмещение затрат: общеобразовательные организации – дошкольные образовательные организации, общеобразовательные организации (программы начального общего образования, неполные программы среднего общего образования, школы-интернаты; организации по внешкольной работе с детьми; учреждения, обеспечивающие предоставление услуг в сфере образования (государственное задание)</t>
  </si>
  <si>
    <t>2.6.6. Обеспечение выполнения функций казёнными учреждениями</t>
  </si>
  <si>
    <t>2.6.7. Реализация мер государственной поддержки обучающихся общеобразовательных учреждений, подведомственных Минобразования Новосибирской области</t>
  </si>
  <si>
    <t>2.7. Государственная поддержка негосударственных организаций, реализующих программы дошкольного и общего образования в соответствии с  федеральными государственными образовательными стандартами</t>
  </si>
  <si>
    <t>2.7.1. Предоставление субсидий частным образовательным организациям на реализацию основных общеобразовательных программ в дошкольных учреждениях</t>
  </si>
  <si>
    <t>2.7.2. Предоставление субсидий частным образовательным организациям на реализацию основных общеобразовательных программ</t>
  </si>
  <si>
    <t>2.8. Обеспечение инфраструктурной доступности качественных образовательных услуг</t>
  </si>
  <si>
    <t>2.8.1. Приобретение автотранспорта для  обеспечения перевозки обучающихся в образовательные организации, расположенные на территории Новосибирской области, и обеспечения деятельности государственных организаций Новосибирской области, подведомственных Минобразования Новосибирской области</t>
  </si>
  <si>
    <t>2.9. Развитие вариативных форм организации образования детей с ограниченными возможностями здоровья и детей-инвалидов</t>
  </si>
  <si>
    <t>2.9.1. Приобретение специализированного оборудования и программного обеспечения для организации обучения детей с ОВЗ и детей-инвалидов с использованием дистанционных образовательных технологий</t>
  </si>
  <si>
    <t>2.9.2. Создание в дошкольных образовательных, 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</si>
  <si>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2.11.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распространение их результатов</t>
  </si>
  <si>
    <t>2.11.1. Совершенствование организационно-управленческих механизмов в школах с низкими результатами обучения и в школах, функционирующих в неблагоприятных социальных условиях</t>
  </si>
  <si>
    <t xml:space="preserve"> 2.11.2. Информационная поддержка школ с низкими результатами обучения и школ, функционирующих в неблагоприятных социальных условиях, расположенных на территории Новосибирской области</t>
  </si>
  <si>
    <t>2.11.3. Разработка и внедрение информационно-методических механизмов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</si>
  <si>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2.11.4. Мониторинг образовательных организаций, расположенных на территории Новосибирской области, для идентификации группы школ с низкими результатами обучения и в школах, функционирующих в неблагоприятных социальных условиях</t>
  </si>
  <si>
    <t>2.11.5.Повышение квалификации кадрового состава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</si>
  <si>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2.11.6. Организация деятельности стажировочных площадок школ с низкими образовательными результатами и функционирующих в сложных социальных условиях по выходу из проблемных зон в соответствии со сформировавшимися возможностями</t>
  </si>
  <si>
    <t>2.12.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</si>
  <si>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>2.12.1. Модернизация содержания и технологий формирования предметных, личностных результатов</t>
  </si>
  <si>
    <t>2.12.2. Модернизация организационно-технологической инфраструктуры и обновление фондов школьных библиотек</t>
  </si>
  <si>
    <t>0740303510</t>
  </si>
  <si>
    <t>областной бюджет, тыс.руб</t>
  </si>
  <si>
    <t>2.12.3. Информационно-методическая поддержка мероприятий ГПРО</t>
  </si>
  <si>
    <t>2.12.4. Повышение квалификации по формированию метапредметных компетенций при реализации ФГОС, в том числе ФГОС ОВЗ</t>
  </si>
  <si>
    <t>2.12.5. Проведение курсов повышения квалификации по формированию школьной системы оценки образовательных достижений обучающихся в рамках ФГОС</t>
  </si>
  <si>
    <t>2.12.6. Создание сетевых сообществ по учебным предметам и предметным областям</t>
  </si>
  <si>
    <t>2.13. Региональный проект "Поддержка семей, имеющих детей"</t>
  </si>
  <si>
    <t>2.14. Региональный проект "Успех каждого ребенка"</t>
  </si>
  <si>
    <t xml:space="preserve">2.14.1. Формирование современных управленческих решений и организационно-экономических механизмов в системе дополнительного образования детей </t>
  </si>
  <si>
    <t>2.14.1.1. Внедрение целевой модели развития региональных систем дополнительного образования детей</t>
  </si>
  <si>
    <t xml:space="preserve">2.14.3. Создание мобильных технопарков «Кванториум» </t>
  </si>
  <si>
    <t>4.3. Региональный проект "Учитель будущего"</t>
  </si>
  <si>
    <t>4.2.1. Обеспечение проведения семинаров-совещаний с руководителями органов управления образованием муниципальных райнов и городских округов Новосибирской области</t>
  </si>
  <si>
    <t xml:space="preserve">министерство образования Новосибирской области;
ГАУ ДПО НСО НИПКиПРО;
ГКУ НСО НИМРО;
ГБУ ДПО НСО ОблЦИТ;
</t>
  </si>
  <si>
    <t>4.3.1. Повышение квалификации педагогических работников, в том числе на основе использования современных цифровых технологий, формирования и участия в профессиональных ассоциациях, программах обмена опытом и лучшими практиками, привлечения работодателей к дополнительному профессиональному образованию педагогических работников, в том числе в форме стажировок</t>
  </si>
  <si>
    <t>4.4. Обеспечение социальных гарантий и льгот педагогическим работникам государственных и муниципальных образовательных организаций Новосибирской области и приравненным к ним лицам</t>
  </si>
  <si>
    <t>4.4.1. Выплата единовременного денежного пособия в трехкратном размере среднемесячной заработной платы педагогическим работникам государственных образовательных организаций Новосибирской области и муниципальных образовательных организаций, имеющим стаж педагогической деятельности не менее 25 лет, при увольнении в связи с выходом на страховую пенсию по старости</t>
  </si>
  <si>
    <t>4.5. Выявление, поощрение и распространение лучших практик и образцов деятельности образовательных организаций и педагогов Новосибирской области</t>
  </si>
  <si>
    <t>4.5.1. Организация и проведение церемонии награждения  победителей и лауреатов областного конкурса «Учитель года»</t>
  </si>
  <si>
    <t>4.6. Региональный проект "Учитель будущего"</t>
  </si>
  <si>
    <t>4.6.1. Введение национальной системы учительского роста педагогических работников</t>
  </si>
  <si>
    <t>4.6.1.1. Совершенствование процедуры аттестации педагогических работников Новосибирской области</t>
  </si>
  <si>
    <t xml:space="preserve">4.6.1.2. Проведение регионального этапа и организация участия во Всероссийском этапе конкурса педагогов дополнительного образования детей «Сердце отдаю детям»
</t>
  </si>
  <si>
    <t>4.6.1.3. Поощрение лучших работников образования: 
- премия «Лучший педагогический работник Новосибирской области»;
- премия «Почетный работник образования Новосибирской области»
- награждение победителей и  лауреатов областного конкурса «Учитель года»</t>
  </si>
  <si>
    <t>4.6.2. Выявление и поддержка молодежи, мотивированной к освоению педагогической профессии, вовлечение в различные формы сопровождения в первые три года работы</t>
  </si>
  <si>
    <t>4.6.2.1. Государственная поддержка молодых специалистов-выпускников  ФГБОУ ВО «Новосибирский государственный педагогический университет»</t>
  </si>
  <si>
    <t>4.6.3. Создание центров непрерывного повышения профессионального мастерства педагогических работников и центра оценки профессионального мастерства и квалификации педагогов Новосибирской области</t>
  </si>
  <si>
    <t>Задача 3 подпрограммы 4: развитие научной, инновационной и предпринимательской деятельности в образовательных организациях высшего образования, расположенных на территории Новосибирской области</t>
  </si>
  <si>
    <t>6.3. Региональный проект "Учитель будущего"</t>
  </si>
  <si>
    <t>6.3.1. Выявление и поддержка молодежи, мотивированной к освоению педагогической профессии, вовлечение в различные формы сопровождения в первые три года работы</t>
  </si>
  <si>
    <t>6.4. Создание на базе образовательных организаций высшего образования, расположенных на территории Новосибирской области, научной и инновационной инфраструктуры</t>
  </si>
  <si>
    <t>при условии получения финансирования из федерального бюджета на 2020-2021 годы будет обновлена материально-техническая база для внедрения целевой модели цифровой образовательной среды в 402 общеобразовательных организациях и профессиональных образовательных организациях;
 в 2019 году подготовка комплекта документов (заявки) для участия в конкурсном отборе, проводимом Министерством просвещения Российской Федерации в рамках реализации Федерального проекта "Цифровая образовательная среда"</t>
  </si>
  <si>
    <t xml:space="preserve">при условии получения финансирования из федерального бюджета на 2020-2021 годы будут созданы 2 центра цифрового образования  детей "IT-куб";
 в 2019 году подготовка комплекта документов (заявки )для участия в конкурсном отборе, проводимом Министерством просвещения Российской Федерации в рамках реализации Федерального проекта "Цифровая образовательная среда".
</t>
  </si>
  <si>
    <t>1.3.1. Строительство новых зданий, помещений, реконструкция существующих зданий, приобретение (выкуп) зданий, помещений для размещения детских садов</t>
  </si>
  <si>
    <t xml:space="preserve">наименование показателя (ед.) </t>
  </si>
  <si>
    <t>будут реализованы мероприятия регионального проекта "Современная школа": строительство новых школ, создание центров образования цифрового и гуманитарного профилей "Точка роста", обновление материально-техническая базы в  организациях, осуществляющих образовательную деятельность исключительно по адаптированным основным общеобразовательным программам, будут обеспечены современные условия предоставления общего образования в соответствии с ФГОС</t>
  </si>
  <si>
    <t xml:space="preserve">в целях обеспечения современные условия предоставления общего образования в соответствии с ФГОС будут построены 2 новые школы </t>
  </si>
  <si>
    <t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ФГОС.                                                                  В 2019 году будут открыты 4 детских сада.                 Реализация данного мероприятия начиная с 2020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федеральными исполнительными органами государственной власти Российской Федерации.</t>
  </si>
  <si>
    <t>при условии получения финансирования из федерального бюджета в 2020-2021 годах будут созданы 118 центров образования цифрового и гуманитарного профилей "Точка роста";
в 2019 году подготовка заявки для участия в конкурсном отборе, проводимом Министерством просвещения Российской Федерации в рамках реализации Федерального проекта "Современная школа"</t>
  </si>
  <si>
    <t>при условии получения финансирования из федерального бюджета в 2020-2021 годах будет обновлена материально-техническая базы в 4 организациях, осуществляющих образовательную деятельность исключительно по адаптированным основным общеобразовательным программам;
в 2019 году подготовка заявки для участия в конкурсном отборе, проводимом Министерством просвещения Российской Федерации в рамках реализации Федерального проекта "Современная школа"</t>
  </si>
  <si>
    <t>сейф-пакеты, (ед.)</t>
  </si>
  <si>
    <t>образовательные организации, (ед.)</t>
  </si>
  <si>
    <t>3.2. Организация допризывной подготовки граждан к военной службе</t>
  </si>
  <si>
    <t>3.2.1. Организация и проведение областной Спартакиады среди учащейся и допризывной молодежи в рамках спортивно-технического комплекса «Готов к труду и обороне»</t>
  </si>
  <si>
    <t>Финансовое обеспечение реализации основного мероприятия осуществляется в рамках основной деятельности образовательных организаций высшего образования, расположенных на территории Новосибирской области (федеральной формы собственности)</t>
  </si>
  <si>
    <t xml:space="preserve">Количество организаций (ед.)  </t>
  </si>
  <si>
    <t>будут созданы новые дополнительные места для детей дошкольного возраста на территории новых жилых массивов</t>
  </si>
  <si>
    <t>в 2019 году будет построен один детский сад; финансовые средства 2020 года будут распределены на вводимые объекты с учетом итогов участия министерства образования Новосибирской области в конкурсных отборах, проводимых федеральными исполнительными органами государственной власти Российской Федерации</t>
  </si>
  <si>
    <t>министерство образования Новосибирской области; 
министерство строительства Новосибирской области                 во взаимодействии с ОМС Новосибирской области             ГКУ НСО ЦРМТБО;                              ГАУ ДПО НСО НИПКиПРО;      ГБУ НСО ОЦДК</t>
  </si>
  <si>
    <t xml:space="preserve">в целях обеспечения современных условий предоставления общего образования в соответствии с ФГОС, с учетом задач сокращения практики обучения в 2 смены  будут созданы новые дополнительные места общего образования на территории новых жилых массивов. 
</t>
  </si>
  <si>
    <t xml:space="preserve">финасирование в 2019 году предусмотрено для начала строительства 3 новых школ; финансирование 2020 года предусмотрено на завершение строительсва этих школ. 
</t>
  </si>
  <si>
    <t>Наименование показателя (ед. изм.)</t>
  </si>
  <si>
    <t xml:space="preserve">2.14.2. Создание детского технопарка «Кванториум» </t>
  </si>
  <si>
    <t>технопарк (ед.)</t>
  </si>
  <si>
    <t>в рамках государственного задания ГАУ ДПО НСО НИПКиПРО будет обеспечена подготовка, переподготовки и повышения квалификации педагогических и управленческих кадров для системы образования в соответствии с требованиями федеральных государственных образовательных стандартов и профессиональных стандартов педагогов</t>
  </si>
  <si>
    <t>при условии выделения федеральных средств в 2020 году будет создан центр, реализующий дополнительные общеобразовательные программы, в организации, осуществляющей образовательную деятельность по образовательным программам высшего образования, в том числе участвующий в создании научных и научно-образовательных центров мирового уровня и обеспечивающий деятельность центров компетенций Национальной технологической инициативы</t>
  </si>
  <si>
    <t>места (ед.)</t>
  </si>
  <si>
    <t>Будут созданы новые места дополнительного образования детей (количество мест будет уточнено по итогам результатов конкурсного отбора). Подготовка комплекта документов (заявки) в 2019 году для участия в конкурсном отборе, проводимом Министерством просвещения Российской Федерации в рамках реализации Федерального проекта "Успех каждого ребенка"</t>
  </si>
  <si>
    <t>3.2.2. Организация и проведение областного конкурса между муниципальными образованиями Новосибирской области на лучшую подготовку граждан Российской Федерации к военной службе</t>
  </si>
  <si>
    <t xml:space="preserve">выявление и пропаганда лучшего опыта по организации работы на лучшую подготовку граждан Российской Федерции к военной службе (все муниципальные районы и городские округа Новосибирской области-35) </t>
  </si>
  <si>
    <t>количество зданий (сооружений) ( ед.)</t>
  </si>
  <si>
    <t>Оказание услуг по сбору, обобщению и анализу информации об удовлетворённости качеством условий осуществления образовательной деятельности родителей (законных представителей) школ и детских садов Новосибирской области.
Оказание услуг по проведению обследования официальных сайтов детских садов и школ Новосибирской области 
и анализа информации по результатам мероприятий, проведённых в рамках независимой оценки качества условий осуществления образовательной деятельности организаций, осуществляющих образовательную деятельность по основным общеобразовательным программам</t>
  </si>
  <si>
    <t xml:space="preserve">в период 2019-2021 годов будут выплачено 450 стипендий студентам вузов  </t>
  </si>
  <si>
    <t>будет обеспечена подготовка, переподготовка и повышение квалификации педагогических и управленческих кадров для системы образования</t>
  </si>
  <si>
    <t>будет осуществлена поддержка молодежи, мотивированной к освоению педагогической профессии, вовлечение в различные формы сопровождения в первые три года работы</t>
  </si>
  <si>
    <t>Наименование показателя (ед.изм)</t>
  </si>
  <si>
    <t>в период 2019-2021 годов 21-му студенту будет выплачена премия в размере 50,0 тыс. рублей (адресная финансовая поддержка талантливой учащейся молодежи - обучающимся образовательных организаций высшего образования, расположенных на территории Новосибирской области, для представления научной работы или студенческого проекта на международных мероприятиях)</t>
  </si>
  <si>
    <t>участие студентов в международных конференциях, семинарах, конкурсах</t>
  </si>
  <si>
    <t>при условии выделения федеральных средств в 2020 году будут созданы 1 центр непрерывного повышения профессионального мастерства педагогических работников и 1 центр оценки профессионального мастерства и квалификации педагогов Новосибирской области; в 2021 году - 1 центр непрерывного повышения профессионального мастерства педагогических работников. Подготовка комплекта документов (заявки) в 2019 году для участия в конкурсном отборе, проводимом Министерством просвещения Российской Федерации в рамках реализации Федерального проекта "Учитель будущего"</t>
  </si>
  <si>
    <t>6.4.1. Оказание организационно-методической поддержки образовательным организациям высшего образования, расположенным на территории Новосибирской области, по созданию объектов научной и инновационной инфраструктуры</t>
  </si>
  <si>
    <t>будут созданы условия для повышения конкурентоспособности образовательных организаций высшего образования, расположенных на территории Новосибирской области, на российском и международном уровнях, повысится привлекательность научно-образовательного комплекса Новосибирской области для активной талантливой молодежи. Реализация мероприятия осуществляется за счет собственных средств образовательных организации высшего образования, расположенных на территории Новосибирской области</t>
  </si>
  <si>
    <t>В 2020-2021 будут созданы 4 мобильных технопарка «Кванториум» для детей, проживающих в сельской местности и малых городах Новосибирской области – структурное подразделение стационарного детского технопарка "Кванториум".
Подготовка комплекта документов (заявки) в 2019 году для участия в конкурсном отборе, проводимом Министерством просвещения Российской Федерации</t>
  </si>
  <si>
    <t>в период 2019-2021 годов единовременной выплатой будут ежегодно поддержаны 26 молодых специалистов-выпускников  ФГБОУ ВО «НГПУ», в соответствии с главой 4, статьи 13 части 1 Закона Новосибирской области от 05.07.2013 №361-ОЗ «О регулировании отношений в сфере образования в Новосибирской области», постановлением администрации Новосибирской области от 31.05.2005 №22 «О дополнительных мерах по государственной поддержке молодых специалистов - выпускников Новосибирского государственного педагогического университета» (государственная поддержка носит заявительный характер)</t>
  </si>
  <si>
    <t>в 2019 году предусмотрены расходы, связанные с внедрением целевой модели развития региональной системы дополнительного образования детей, в 2020 году будет внедрена целевая модель развития региональной системы дополнительного образования детей, в 2021 году предусмотрены расходы на обеспечение функционирования этой целевой модели</t>
  </si>
  <si>
    <t>министерство образования Новосибирской области; организации, подведомственные министерству образования Новосибирской области</t>
  </si>
  <si>
    <t>министерство образования Новосибирской области;      ОМС Новосибирской области</t>
  </si>
  <si>
    <t>министерство образования Новосибирской области;     ОМС Новосибирской области</t>
  </si>
  <si>
    <t>в 4 дошкольных ообразовательных организациях, 3 общеообразовательных организациях и 1 организации дополнительного образования детей будут созданы условия  для получения детьми-инвалидами качественного образования: средства направляются на создание в образовательных организациях условий архитектурной доступности объектов и приобретение специализированного оборудования для работы специалистов психолого-педагогического, медицинского и социального сопровождения образования детей-инвалидов</t>
  </si>
  <si>
    <t>будет организовано проведение стажировки для  педагогов из школ с низкими образовательными результатами, проведены курсы повышения квалификации для руководителей и их заместителей, для учителей-предметников, проведен межрегиональный семинар по теме «Поддержка школ, находящихся в сложных условиях: первые результаты и проблемы»; 
будут включены 30% школ с низкими образовательными результатами в проекты региональной общественной Ассоциации участников педагогических конкурсов;
организованы и проведены семинары и проведены вебинары для специалистов органов управления образованием, директоров и учителей школ с низкими образовательными результатами</t>
  </si>
  <si>
    <t>Финансовое обеспечение основного мероприятия осуществляется в рамках основной деятельности 
государственных организаций Новосибирской области, подведомственных министерству образования Новосибирской области, осуществляющих деятельность по программам дополнительного профессионального образования</t>
  </si>
  <si>
    <t>субсидия АРИС, ед.</t>
  </si>
  <si>
    <t>повышение уровня знаний о современном управлении и экономике руководителей высшего и среднего звена организаций Новосибирской области (в рамках "Президентской программы").
Реализация данного мероприятия в период 2020-2021 годов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федеральными исполнительными органами государственной власти Российской Федерации, численность слушателей приведена справочно</t>
  </si>
  <si>
    <t xml:space="preserve">мероприятие* (ед.) </t>
  </si>
  <si>
    <t>количество семинаров-совещаний* (ед.)</t>
  </si>
  <si>
    <t>формирование новых управленческих компетенций у руководителей органов управления образованием муниципальных районов и городских округов Новосибирской области;                                          *значение не указывается, количество семинаров-совещаний определяется в планах работы государственных организаций Новосибирской области, подведомственных министерству образования Новосибирской области, и зависит от конкретной ситуации</t>
  </si>
  <si>
    <t>организационно-методическая поддержка  позволит образовательным организациям высшего образования, расположенным на территории Новосибирской области, создавать объекты научной и инновационной инфраструктуры за счет привлеченных средств федерального бюджета и инвесторов, что создаст необходимую среду для появления научных и инновационных разработок: информирование  образовательных организаций высшего образования через проведение совещаний, рассылку информационных писем, привлечение их к участию в различных форумах, фестивалях;                                                                      *значение не указано, количество мероприятий зависит от конкретной ситуации</t>
  </si>
  <si>
    <t xml:space="preserve">ОПМ 1.1. Внедрение целевой модели цифровой образовательной среды в общеобразовательных организациях и профессиональных образовательных организациях
</t>
  </si>
  <si>
    <t>1.4.2. Проведение ремонтных работ в зданиях и сооружениях в образовательных организациях Новосибирской области,  государственных организациях, подведомственных Минобразования Новосибирской области, с целью повышения их технической безопасности, а также оснащение их необходимым оборудованием и инвентарем</t>
  </si>
  <si>
    <t>Обеспечение равного доступа детей к услугам общего образования. 
Средняя заработная плата по педагогическим работникам, реализующим общеобразовательные программы в общеобразовательных организациях,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
Средняя заработная плата по педагогическим работникам, реализующим дошкольные программы в общеобразовательных организациях, составит не менее 100 % от средней заработной платы текущего года в общем образовании Новосибирской области.
Адаптация и получение общего образования детей-инвалидов и детей с ОВЗ</t>
  </si>
  <si>
    <t>будут заключены партнёрские договоры школ с низкими результатами и школ, функционирующих в неблагоприятных социальных условиях, со школами региона, показывающими высокие результаты; проведена летняя школа (тематической профильной сессии) на базе СибУПК по профильным предметам и технологиям для обучающихся школ с низкими образовательными результатами и функционирующих в сложных социальных условиях</t>
  </si>
  <si>
    <t xml:space="preserve">будет проведена идентификация группы школ с низкими результатами обучения и школ, функционирующих в сложных социальных условиях – во всех школах региона, анализ условий, в которых функционирует школа, и выделение школ «группы риска», которые нуждаются в поддержке;
будет проведена типологизация и группировка школ по общим признакам, с определением социальных последствий для региона; проведен мониторинг реализации проектов развития школ и муниципальных «дорожных карт»;
будет проведена экспертиза основных образовательных программ в 50% выделенных школ; скорректирован инструментарий для процедуры диагностики профессиональных компетенций руководителей школ, проведена диагностика руководителей выделенной группы школ.
</t>
  </si>
  <si>
    <t>будут разработаны программы повышения квалификации и проведены курсы повышения квалификации, в том числе по  реализации адаптированных образовательных программ для детей с ограниченными возможностями здоровья;
будет проведена закупка оборудования, необходимого для реализации адаптированных образовательных программ для детей с ограниченными возможностями здоровья</t>
  </si>
  <si>
    <t>будут апробированы пилотные проекты обновления содержания и технологий дополнительного образования в целях формирования банка лучших дополнительных общеобразовательных программ, в том числе для детей с особыми потребностями (дети-сироты и дети, оставшиеся без попечения родителей, дети-инвалиды, дети, находящиеся в трудной жизненной ситуации);
разработаны инновационные программы подготовки и повышения квалификации педагогов и руководителей в системе дополнительного образования для использования на территории Новосибирской области</t>
  </si>
  <si>
    <t xml:space="preserve">оказание услуг психолого-педагогической, информационно-просветительской, методической и консультативной помощи родителям (законным представителям) детей, </t>
  </si>
  <si>
    <t>2.13.1. Оказание психолого-педагогической, информационно-просветительской, методической и консультативной помощи родителям (законным представителям) детей</t>
  </si>
  <si>
    <t>в период с 2019 по 2021 годы ГБУ НСО ОЦДК будет оказано 16,5 тыс. услуг психолого-педагогической, информационно-просветительской, методической и консультативной помощи родителям (законным представителям) детей</t>
  </si>
  <si>
    <t>обеспечение для детей в возрасте от 5 до 18 лет доступных для каждого и качественных условий для воспитания гармонично развитой и социально ответственной личности путем увеличения охвата дополнительным образованием до 76 % от общего числа детей, обновления содержания и методов дополнительного образования детей, развития кадрового потенциала и модернизации инфраструктуры системы дополнительного образования детей</t>
  </si>
  <si>
    <t>будет обеспечено проведение мероприятий по содействию патриотическому воспитанию обучающихся граждан Российской Федерации, проживающих на территории Новосибирской области</t>
  </si>
  <si>
    <t>популяризация здорового образа жизни, подготовка к несению воинской службы в армии обучающихся граждан Российской Федерации из Новосибирской области допризывного возраста. Планируемый охват не менее 200 чел.ежегодно</t>
  </si>
  <si>
    <t>будут реализованы мероприятия по подготовке, переподготовке и повышению квалификации руководителей органов управления образованием, руководителей государственных и муниципальных образовательных организаций.
Реализация мероприятия осуществляется в том числе за счет государственного задания ГАУ ДПО НСО НИПКиПРО</t>
  </si>
  <si>
    <t>министерство образования Новосибирской области; 
государственные (муниципальные) образовательные организации Новосибирской области, расположенные на территории Новосибирской области;
ОМС Новосибирской области;
ГАУ ДО НСО ОЦРТДиЮ;
ГБУ ДПО НСО ОблЦИТ</t>
  </si>
  <si>
    <t>министерство образования Новосибирской области; 
министерство культуры Новосибирской области;
организации, подведомственные министерству культуры;
ГАУ ДО НСО ОЦРТДиЮ</t>
  </si>
  <si>
    <t xml:space="preserve">
ГАУ ДО НСО ОЦРТДиЮ</t>
  </si>
  <si>
    <t>министерство культуры Новосибирской области;
организации, подведомственные министерству культуры</t>
  </si>
  <si>
    <t xml:space="preserve">
 ГАУ ДО НСО ОЦРТДиЮ
</t>
  </si>
  <si>
    <t>5.4.5. Организация и проведение Церемонии награждения победителей и призеров регионального и заключительного этапов ВсОШ</t>
  </si>
  <si>
    <t>5.4.8. Обеспечение участия одаренных детей Новосибирской области в мероприятиях  Президентской Ёлки в городе Москве</t>
  </si>
  <si>
    <t>обеспечение для детей в возрасте от 5 до 18 лет доступных для каждого и качественных условий для воспитания гармонично развитой и социально ответственной личности путем увеличения охвата дополнительным образованием до 76 % от общего числа детей, обновления содержания и методов дополнительного образования детей, развития кадрового потенциала и модернизации инфраструктуры системы дополнительного образования детей; ранняя профориентация детей (циклы открытых уроков «Проектория», «Уроки настоящего», реализация проекта «Билет в будущее»)</t>
  </si>
  <si>
    <t>в 2019 году средства предусмотрены на функционирование  регионального центра выявления, поддержки и развития способностей и талантов у детей и молодежи «Альтаир»; в 2020 году центр "Альтаир" будет приведен в соответствие целевой модели, утвержденной Минпросвещения России; в 2021 году средства будут направлены на обеспечение функционирования центра "Альтаир": проведение семинаров, курсов повышения квалификации для педагогов области по специфике работы с одаренными и высокомотивированными детьми, реализация образовательных программ по направлениям «Наука», «Спорт», «Искусство»</t>
  </si>
  <si>
    <t xml:space="preserve">раазработка положения, календарного плана, состава судейской коллегии. Организация работы и оплата судейской коллегии. Организация и проведение мероприятий Универсиады (открытие, закрытие, оплата мастер-классов, оператора, фотографа). Аренда оборудованных помещений и зданий. Обеспечение спортивным инвентраем и оборудованием, медицинским сопровождением и питьевой водой, формой. Реклама, размещение информации о проведении и результатах. Призовой фонд. Изготовление дипломов, грамот, медалей, кубков, организация церемонии гаграждения победителей. </t>
  </si>
  <si>
    <t>министерство образования Новосибирской области; 
ОМС Новосибирской области</t>
  </si>
  <si>
    <t>будут оснащены 20 школьных ШИБЦ оборудованием (рабочее место библиотекаря, беспроводной WI-FI, МФУ, рабочие места читателей и планшетные компьютеры); расширена сеть базовых школ, в которых созданы ЩИБЦ, до 77</t>
  </si>
  <si>
    <t xml:space="preserve">обеспечение исполнения фунций ГАУ НСО АРИС; предоставление мер социальной поддержки  граждан из числа обучающихся в вузах Новосибирской области, заключивших договоры на целевое обучение
 </t>
  </si>
  <si>
    <t>5.4.3. Обеспечение участия одаренных детей и учащейся молодежи Новосибирской области в сфере образования во всероссийских и межрегиональных мероприятиях</t>
  </si>
  <si>
    <t>«Таблица № 3</t>
  </si>
  <si>
    <t>Применяемые сокращения:
ФГОС - федеральный государтсвенный образовательный стандарт;
ОМС - органы местного самоуправления;
ПНПО - приоритетный национальный проект образование;
ОВЗ - ограниченные возможности здоровья;
СМИ - средства массовой информации;
ГПРО -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образования»»;
НООС - Интернет-портал "Новосибирская открытая образовательная сеть";
ИБЦ - информационно-библиотечный центр;
ФГОС ОВЗ - федеральный государственный образовательный стандарт для обучающихся с ограниченными возможностями здоровья;
ППЭ - пункт проведения экзамена;
РЦОИ - региональный центр обработки информации;
ЕГЭ - единый государственный экзамен;
ГАУ ДО НСО ОЦРТДиЮ -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-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ГБОУ ДО НСО ДТТУМ - государственное бюджетное учреждение дополнительного образования Новосибирской области "Дом технического творчества и учащейся молодежи";
ГБОУ ДО НСО ЦКУМ - государственное бюджетное учреждение дополнительного образования Новосибирской области "Центр культуры учащейся молодежи";
ГБОУ ДПО НСО - государственное бюджетное образовательное учреждение дополнительного профессионального образования Новосибирской области;
ГБОУ НСО - государственное бюджетное образовательное учреждение Новосибирской области;
ГБОУ НСО ОЦО - государственное бюджетное общеобразовательное учреждение Новосибирской области "Областной центр образования";
ГБУ ДО НСО "Автомотоцентр" -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-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ОЦДК - 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консультирования";
ГКУ НСО НИМРО - государственное казенное учреждение Новосибирской области "Новосибирский институт мониторинга и развития образования";
ГКУ НСО ЦРМТБО - государственное казенное учреждение Новосибирской области "Центр развития материально-технической базы образования";
ФГБОУ ВО НГПУ - федеральное государственное образовательное учреждение высшего образования Новосибирский государственный педагогический университет;
СУНЦ НГУ - специализированный учебно-научный центр Новосибирского государственного университета;
ГАПОУ НСО НМУ им А.Ф. Мурова -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ГБУ НСО - государственное бюджетное учреждение Новосибирской области;
ГАУ ДПО НСО - государственное автономное учреждение дополнительного профессионального образования Новосибирской области;
ГАУ ВО - государственное автономное учреждение высшего образования;
ГАУК - государственное автономное учреждение культуры;
ГАПОУ - государственное автономное профессиональное образовательное учреждение
ГАУ НСО АРИС - государственное автономное учреждение  Новосибирской области "Арис".».</t>
  </si>
  <si>
    <t>к приказу министерства образования</t>
  </si>
  <si>
    <t>Новосибирской области</t>
  </si>
  <si>
    <t>от __________ № _______</t>
  </si>
  <si>
    <t>Приложение № 2</t>
  </si>
  <si>
    <t>5.7.1. Организация, проведение и участие в региональных, всероссийских и международных семинарах, форумах, выставках, фестивалях, конференциях, образовательных проектах,  конкурсах и олимпиадах по актуальным проблемам работы с одаренными детьми и талантливой молодежью,
организация обучения вожатых по дополнительным общеобразовательным программам</t>
  </si>
  <si>
    <t xml:space="preserve"> В 2019 году организация и участие не менее, чем в 34 региональных, всероссийских и международных семинарах, форумах, выставках, фестивалях, конференциях, образовательных проектах,  конкурсах и олимпиадах по актуальным проблемам работы с одаренными детьми и талантливой молодежью.</t>
  </si>
  <si>
    <t>ГКУ НСО ЦРМТБО</t>
  </si>
  <si>
    <t>мера социальной  поддержки педагогических работников Новосибирской области, в части предоставления новогодних подарков для детей педагогических и иных работников государственных образовательных организаций Новосибирской области и муниципальных образовательных организаций, расположенных на территории Новосибирской области, в возрасте от 0 до 14 лет</t>
  </si>
  <si>
    <t>4.4.2. Приобретение новогодних подарков для детей педагогических и иных работников государственных образовательных организаций Новосибирской области, государственных организаций, осуществляющих обучение, подведомственных Минобразования Новосибирской области, и муниципальных образовательных организаций, расположенных на территории Новосибирской области, в возрасте от 0 до 14 лет</t>
  </si>
  <si>
    <t>071P25159F</t>
  </si>
  <si>
    <t>071Е203180</t>
  </si>
  <si>
    <t>071E203180</t>
  </si>
  <si>
    <t>4.6.1.4. Проведение международного двухдневного семинара для педагогических и руководящих работников образовательных организаций Новосибирской области</t>
  </si>
  <si>
    <t xml:space="preserve"> Проведение семинара по теме «Апгрейд 45 минут или каким должен быть урок в 21 веке», в рамках создания условий для выявления талантливых педагогов, распространение передового педагогического опыта.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</si>
</sst>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trike/>
      <sz val="1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7" fillId="0" borderId="0"/>
  </cellStyleXfs>
  <cellXfs count="353">
    <xf numFmtId="0" fontId="0" fillId="0" borderId="0" xfId="0"/>
    <xf numFmtId="166" fontId="2" fillId="2" borderId="1" xfId="0" applyNumberFormat="1" applyFont="1" applyFill="1" applyBorder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horizontal="right" vertical="center"/>
    </xf>
    <xf numFmtId="165" fontId="2" fillId="2" borderId="1" xfId="0" applyNumberFormat="1" applyFont="1" applyFill="1" applyBorder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165" fontId="2" fillId="2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Protection="1">
      <protection locked="0"/>
    </xf>
    <xf numFmtId="4" fontId="2" fillId="2" borderId="0" xfId="0" applyNumberFormat="1" applyFont="1" applyFill="1"/>
    <xf numFmtId="0" fontId="5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164" fontId="2" fillId="2" borderId="0" xfId="0" applyNumberFormat="1" applyFont="1" applyFill="1" applyAlignment="1" applyProtection="1">
      <alignment horizontal="center" vertical="center" wrapText="1"/>
    </xf>
    <xf numFmtId="0" fontId="5" fillId="2" borderId="5" xfId="0" applyFont="1" applyFill="1" applyBorder="1" applyProtection="1"/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Protection="1"/>
    <xf numFmtId="164" fontId="2" fillId="2" borderId="1" xfId="0" applyNumberFormat="1" applyFont="1" applyFill="1" applyBorder="1" applyAlignment="1">
      <alignment wrapText="1"/>
    </xf>
    <xf numFmtId="164" fontId="2" fillId="2" borderId="0" xfId="0" applyNumberFormat="1" applyFont="1" applyFill="1" applyProtection="1"/>
    <xf numFmtId="0" fontId="2" fillId="2" borderId="1" xfId="0" applyFont="1" applyFill="1" applyBorder="1"/>
    <xf numFmtId="0" fontId="2" fillId="2" borderId="10" xfId="0" applyFont="1" applyFill="1" applyBorder="1" applyAlignment="1" applyProtection="1">
      <alignment horizontal="center" vertical="center"/>
    </xf>
    <xf numFmtId="164" fontId="2" fillId="2" borderId="4" xfId="0" applyNumberFormat="1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 wrapText="1"/>
    </xf>
    <xf numFmtId="4" fontId="2" fillId="3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166" fontId="2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>
      <alignment wrapText="1"/>
    </xf>
    <xf numFmtId="0" fontId="2" fillId="0" borderId="1" xfId="0" applyFont="1" applyFill="1" applyBorder="1" applyAlignment="1" applyProtection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165" fontId="11" fillId="2" borderId="1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164" fontId="14" fillId="0" borderId="1" xfId="0" applyNumberFormat="1" applyFont="1" applyFill="1" applyBorder="1" applyAlignment="1" applyProtection="1">
      <alignment horizontal="right" vertical="center"/>
    </xf>
    <xf numFmtId="0" fontId="2" fillId="4" borderId="0" xfId="0" applyFont="1" applyFill="1"/>
    <xf numFmtId="3" fontId="5" fillId="2" borderId="1" xfId="0" applyNumberFormat="1" applyFont="1" applyFill="1" applyBorder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1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Protection="1"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</xf>
    <xf numFmtId="3" fontId="2" fillId="5" borderId="2" xfId="0" applyNumberFormat="1" applyFont="1" applyFill="1" applyBorder="1" applyAlignment="1" applyProtection="1">
      <alignment vertical="center"/>
    </xf>
    <xf numFmtId="0" fontId="2" fillId="5" borderId="0" xfId="0" applyFont="1" applyFill="1" applyProtection="1">
      <protection locked="0"/>
    </xf>
    <xf numFmtId="0" fontId="2" fillId="5" borderId="0" xfId="0" applyFont="1" applyFill="1"/>
    <xf numFmtId="0" fontId="2" fillId="5" borderId="4" xfId="0" applyFont="1" applyFill="1" applyBorder="1" applyAlignment="1" applyProtection="1">
      <alignment vertical="center" wrapText="1"/>
    </xf>
    <xf numFmtId="0" fontId="2" fillId="5" borderId="6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49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4" fontId="14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right" vertical="center"/>
    </xf>
    <xf numFmtId="3" fontId="2" fillId="5" borderId="2" xfId="0" applyNumberFormat="1" applyFont="1" applyFill="1" applyBorder="1" applyAlignment="1" applyProtection="1">
      <alignment horizontal="right" vertical="center"/>
    </xf>
    <xf numFmtId="166" fontId="2" fillId="2" borderId="1" xfId="0" applyNumberFormat="1" applyFont="1" applyFill="1" applyBorder="1" applyAlignment="1" applyProtection="1">
      <alignment horizontal="righ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 applyProtection="1">
      <alignment horizontal="right" vertical="center" wrapText="1"/>
    </xf>
    <xf numFmtId="165" fontId="2" fillId="0" borderId="1" xfId="0" applyNumberFormat="1" applyFont="1" applyFill="1" applyBorder="1" applyAlignment="1" applyProtection="1">
      <alignment horizontal="right" vertical="center"/>
    </xf>
    <xf numFmtId="4" fontId="2" fillId="3" borderId="1" xfId="0" applyNumberFormat="1" applyFont="1" applyFill="1" applyBorder="1" applyAlignment="1" applyProtection="1">
      <alignment horizontal="right" vertical="center"/>
    </xf>
    <xf numFmtId="164" fontId="2" fillId="2" borderId="0" xfId="0" applyNumberFormat="1" applyFont="1" applyFill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right" vertical="center" wrapText="1"/>
    </xf>
    <xf numFmtId="165" fontId="11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0" borderId="1" xfId="0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</xf>
    <xf numFmtId="1" fontId="2" fillId="2" borderId="6" xfId="0" applyNumberFormat="1" applyFont="1" applyFill="1" applyBorder="1" applyAlignment="1" applyProtection="1">
      <alignment vertical="center" wrapText="1"/>
    </xf>
    <xf numFmtId="1" fontId="2" fillId="2" borderId="6" xfId="0" applyNumberFormat="1" applyFont="1" applyFill="1" applyBorder="1" applyAlignment="1" applyProtection="1">
      <alignment horizontal="left" vertical="center" wrapText="1"/>
    </xf>
    <xf numFmtId="1" fontId="11" fillId="2" borderId="1" xfId="0" applyNumberFormat="1" applyFont="1" applyFill="1" applyBorder="1" applyAlignment="1" applyProtection="1">
      <alignment vertical="center"/>
    </xf>
    <xf numFmtId="0" fontId="16" fillId="2" borderId="0" xfId="0" applyFont="1" applyFill="1"/>
    <xf numFmtId="11" fontId="2" fillId="2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right" vertical="center"/>
    </xf>
    <xf numFmtId="0" fontId="10" fillId="5" borderId="1" xfId="0" applyFont="1" applyFill="1" applyBorder="1" applyAlignment="1" applyProtection="1">
      <alignment horizontal="center" vertical="center"/>
    </xf>
    <xf numFmtId="49" fontId="10" fillId="5" borderId="1" xfId="0" applyNumberFormat="1" applyFont="1" applyFill="1" applyBorder="1" applyAlignment="1" applyProtection="1">
      <alignment horizontal="center" vertical="center"/>
    </xf>
    <xf numFmtId="49" fontId="10" fillId="5" borderId="1" xfId="0" applyNumberFormat="1" applyFont="1" applyFill="1" applyBorder="1" applyAlignment="1" applyProtection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164" fontId="2" fillId="2" borderId="2" xfId="0" applyNumberFormat="1" applyFont="1" applyFill="1" applyBorder="1" applyAlignment="1" applyProtection="1">
      <alignment horizontal="right" vertical="center"/>
    </xf>
    <xf numFmtId="4" fontId="2" fillId="2" borderId="0" xfId="0" applyNumberFormat="1" applyFont="1" applyFill="1" applyBorder="1"/>
    <xf numFmtId="164" fontId="2" fillId="3" borderId="1" xfId="0" applyNumberFormat="1" applyFont="1" applyFill="1" applyBorder="1" applyAlignment="1" applyProtection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right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wrapText="1"/>
    </xf>
    <xf numFmtId="0" fontId="5" fillId="2" borderId="12" xfId="0" applyFont="1" applyFill="1" applyBorder="1" applyAlignment="1" applyProtection="1">
      <alignment horizontal="right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3" fontId="2" fillId="5" borderId="2" xfId="0" applyNumberFormat="1" applyFont="1" applyFill="1" applyBorder="1" applyAlignment="1" applyProtection="1">
      <alignment horizontal="center" vertical="center" wrapText="1"/>
    </xf>
    <xf numFmtId="3" fontId="2" fillId="5" borderId="3" xfId="0" applyNumberFormat="1" applyFont="1" applyFill="1" applyBorder="1" applyAlignment="1" applyProtection="1">
      <alignment horizontal="center" vertical="center" wrapText="1"/>
    </xf>
    <xf numFmtId="3" fontId="2" fillId="5" borderId="4" xfId="0" applyNumberFormat="1" applyFont="1" applyFill="1" applyBorder="1" applyAlignment="1" applyProtection="1">
      <alignment horizontal="center" vertical="center" wrapText="1"/>
    </xf>
    <xf numFmtId="3" fontId="2" fillId="5" borderId="2" xfId="0" applyNumberFormat="1" applyFont="1" applyFill="1" applyBorder="1" applyAlignment="1" applyProtection="1">
      <alignment horizontal="center" vertical="center"/>
    </xf>
    <xf numFmtId="3" fontId="2" fillId="5" borderId="3" xfId="0" applyNumberFormat="1" applyFont="1" applyFill="1" applyBorder="1" applyAlignment="1" applyProtection="1">
      <alignment horizontal="center" vertical="center"/>
    </xf>
    <xf numFmtId="3" fontId="2" fillId="5" borderId="4" xfId="0" applyNumberFormat="1" applyFont="1" applyFill="1" applyBorder="1" applyAlignment="1" applyProtection="1">
      <alignment horizontal="center" vertical="center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 wrapText="1"/>
    </xf>
    <xf numFmtId="164" fontId="2" fillId="2" borderId="7" xfId="0" applyNumberFormat="1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top" wrapText="1"/>
    </xf>
    <xf numFmtId="164" fontId="2" fillId="2" borderId="6" xfId="0" applyNumberFormat="1" applyFont="1" applyFill="1" applyBorder="1" applyAlignment="1" applyProtection="1">
      <alignment horizontal="center" vertical="top"/>
    </xf>
    <xf numFmtId="164" fontId="2" fillId="2" borderId="7" xfId="0" applyNumberFormat="1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colors>
    <mruColors>
      <color rgb="FFCCECFF"/>
      <color rgb="FFFFFFCC"/>
      <color rgb="FFCCFFCC"/>
      <color rgb="FFFFCCCC"/>
      <color rgb="FF3366FF"/>
      <color rgb="FFFF99FF"/>
      <color rgb="FF00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80;&#1082;&#1086;&#1074;&#1072;/&#1043;&#1055;%20&#1054;&#1073;&#1088;&#1072;&#1079;&#1086;&#1074;&#1072;&#1085;&#1080;&#1077;/&#1088;&#1077;&#1076;.&#1087;&#1086;&#1076;%20388-&#1054;&#1047;/&#1044;&#1086;&#1088;&#1072;&#1073;&#1086;&#1090;&#1082;&#1072;%20&#1087;&#1086;&#1089;&#1083;&#1077;%20&#1052;&#1069;&#1056;/18-09-2019/&#1058;&#1072;&#1073;&#1083;&#1080;&#1094;&#1072;_3_&#1055;&#1051;&#1040;&#1053;&#1040;%20&#1056;&#1045;&#1040;&#1051;&#1048;&#1047;&#1040;&#1062;&#1048;&#1048;_2019-2021_18-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83">
          <cell r="H83">
            <v>3986808.8999999994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pageSetUpPr fitToPage="1"/>
  </sheetPr>
  <dimension ref="A1:X1442"/>
  <sheetViews>
    <sheetView tabSelected="1" view="pageBreakPreview" topLeftCell="A109" zoomScale="80" zoomScaleNormal="100" zoomScaleSheetLayoutView="80" workbookViewId="0">
      <selection activeCell="J99" sqref="J99"/>
    </sheetView>
  </sheetViews>
  <sheetFormatPr defaultColWidth="9.109375" defaultRowHeight="13.2" outlineLevelRow="1" x14ac:dyDescent="0.25"/>
  <cols>
    <col min="1" max="1" width="32" style="31" customWidth="1"/>
    <col min="2" max="2" width="24.5546875" style="31" customWidth="1"/>
    <col min="3" max="3" width="12" style="32" customWidth="1"/>
    <col min="4" max="4" width="8.5546875" style="33" customWidth="1"/>
    <col min="5" max="5" width="8" style="33" customWidth="1"/>
    <col min="6" max="6" width="14.44140625" style="33" customWidth="1"/>
    <col min="7" max="7" width="7.109375" style="203" customWidth="1"/>
    <col min="8" max="8" width="14.88671875" style="182" customWidth="1"/>
    <col min="9" max="9" width="16.44140625" style="182" bestFit="1" customWidth="1"/>
    <col min="10" max="10" width="16.5546875" style="182" bestFit="1" customWidth="1"/>
    <col min="11" max="11" width="15.88671875" style="182" bestFit="1" customWidth="1"/>
    <col min="12" max="12" width="16.44140625" style="182" bestFit="1" customWidth="1"/>
    <col min="13" max="13" width="16" style="182" customWidth="1"/>
    <col min="14" max="14" width="15" style="182" customWidth="1"/>
    <col min="15" max="15" width="28.44140625" style="34" customWidth="1"/>
    <col min="16" max="16" width="46.5546875" style="35" customWidth="1"/>
    <col min="17" max="17" width="38.44140625" style="31" hidden="1" customWidth="1"/>
    <col min="18" max="18" width="0.109375" style="31" hidden="1" customWidth="1"/>
    <col min="19" max="19" width="15.33203125" style="31" customWidth="1"/>
    <col min="20" max="20" width="11.109375" style="31" customWidth="1"/>
    <col min="21" max="16384" width="9.109375" style="31"/>
  </cols>
  <sheetData>
    <row r="1" spans="1:18" ht="18" x14ac:dyDescent="0.25">
      <c r="P1" s="184" t="s">
        <v>652</v>
      </c>
    </row>
    <row r="2" spans="1:18" ht="18" x14ac:dyDescent="0.25">
      <c r="P2" s="184" t="s">
        <v>649</v>
      </c>
    </row>
    <row r="3" spans="1:18" ht="18" x14ac:dyDescent="0.25">
      <c r="P3" s="184" t="s">
        <v>650</v>
      </c>
    </row>
    <row r="4" spans="1:18" ht="9.75" customHeight="1" x14ac:dyDescent="0.25">
      <c r="P4" s="184"/>
    </row>
    <row r="5" spans="1:18" ht="21" customHeight="1" x14ac:dyDescent="0.35">
      <c r="P5" s="185" t="s">
        <v>651</v>
      </c>
    </row>
    <row r="6" spans="1:18" ht="28.5" customHeight="1" x14ac:dyDescent="0.25">
      <c r="A6" s="16"/>
      <c r="B6" s="16"/>
      <c r="C6" s="17"/>
      <c r="D6" s="18"/>
      <c r="E6" s="18"/>
      <c r="F6" s="18"/>
      <c r="G6" s="204"/>
      <c r="H6" s="170"/>
      <c r="I6" s="170"/>
      <c r="J6" s="170"/>
      <c r="K6" s="170"/>
      <c r="L6" s="170"/>
      <c r="M6" s="170"/>
      <c r="N6" s="170"/>
      <c r="O6" s="20"/>
      <c r="P6" s="21" t="s">
        <v>647</v>
      </c>
    </row>
    <row r="7" spans="1:18" ht="14.4" customHeight="1" x14ac:dyDescent="0.3">
      <c r="A7" s="278" t="s">
        <v>341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</row>
    <row r="8" spans="1:18" ht="10.5" customHeight="1" x14ac:dyDescent="0.3">
      <c r="A8" s="22"/>
      <c r="B8" s="16"/>
      <c r="C8" s="17"/>
      <c r="D8" s="18"/>
      <c r="E8" s="18"/>
      <c r="F8" s="18"/>
      <c r="G8" s="204"/>
      <c r="H8" s="279"/>
      <c r="I8" s="279"/>
      <c r="J8" s="279"/>
      <c r="K8" s="279"/>
      <c r="L8" s="279"/>
      <c r="M8" s="279"/>
      <c r="N8" s="279"/>
      <c r="O8" s="20"/>
      <c r="P8" s="23"/>
    </row>
    <row r="9" spans="1:18" s="35" customFormat="1" ht="46.5" customHeight="1" x14ac:dyDescent="0.3">
      <c r="A9" s="268" t="s">
        <v>117</v>
      </c>
      <c r="B9" s="268" t="s">
        <v>0</v>
      </c>
      <c r="C9" s="268" t="s">
        <v>33</v>
      </c>
      <c r="D9" s="268"/>
      <c r="E9" s="268"/>
      <c r="F9" s="268"/>
      <c r="G9" s="268"/>
      <c r="H9" s="280" t="s">
        <v>246</v>
      </c>
      <c r="I9" s="268" t="s">
        <v>247</v>
      </c>
      <c r="J9" s="268"/>
      <c r="K9" s="268"/>
      <c r="L9" s="268"/>
      <c r="M9" s="242" t="s">
        <v>248</v>
      </c>
      <c r="N9" s="242" t="s">
        <v>249</v>
      </c>
      <c r="O9" s="268" t="s">
        <v>1</v>
      </c>
      <c r="P9" s="268" t="s">
        <v>2</v>
      </c>
      <c r="Q9" s="262" t="s">
        <v>154</v>
      </c>
      <c r="R9" s="263"/>
    </row>
    <row r="10" spans="1:18" s="35" customFormat="1" x14ac:dyDescent="0.3">
      <c r="A10" s="268"/>
      <c r="B10" s="268"/>
      <c r="C10" s="68" t="s">
        <v>3</v>
      </c>
      <c r="D10" s="6" t="s">
        <v>443</v>
      </c>
      <c r="E10" s="6" t="s">
        <v>236</v>
      </c>
      <c r="F10" s="6" t="s">
        <v>4</v>
      </c>
      <c r="G10" s="13" t="s">
        <v>5</v>
      </c>
      <c r="H10" s="281"/>
      <c r="I10" s="169" t="s">
        <v>68</v>
      </c>
      <c r="J10" s="169" t="s">
        <v>69</v>
      </c>
      <c r="K10" s="169" t="s">
        <v>70</v>
      </c>
      <c r="L10" s="169" t="s">
        <v>71</v>
      </c>
      <c r="M10" s="244"/>
      <c r="N10" s="244"/>
      <c r="O10" s="268"/>
      <c r="P10" s="268"/>
      <c r="Q10" s="262"/>
      <c r="R10" s="263"/>
    </row>
    <row r="11" spans="1:18" ht="13.35" customHeight="1" x14ac:dyDescent="0.25">
      <c r="A11" s="68">
        <v>1</v>
      </c>
      <c r="B11" s="68">
        <v>2</v>
      </c>
      <c r="C11" s="4">
        <v>3</v>
      </c>
      <c r="D11" s="5">
        <v>4</v>
      </c>
      <c r="E11" s="5" t="s">
        <v>230</v>
      </c>
      <c r="F11" s="5" t="s">
        <v>231</v>
      </c>
      <c r="G11" s="12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75">
        <v>15</v>
      </c>
      <c r="P11" s="68">
        <v>16</v>
      </c>
      <c r="Q11" s="36"/>
      <c r="R11" s="36"/>
    </row>
    <row r="12" spans="1:18" x14ac:dyDescent="0.25">
      <c r="A12" s="264" t="s">
        <v>119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36"/>
      <c r="R12" s="36"/>
    </row>
    <row r="13" spans="1:18" ht="33" customHeight="1" x14ac:dyDescent="0.25">
      <c r="A13" s="238" t="s">
        <v>383</v>
      </c>
      <c r="B13" s="164" t="s">
        <v>406</v>
      </c>
      <c r="C13" s="4"/>
      <c r="D13" s="4"/>
      <c r="E13" s="4"/>
      <c r="F13" s="4"/>
      <c r="G13" s="12"/>
      <c r="H13" s="7" t="s">
        <v>51</v>
      </c>
      <c r="I13" s="7" t="s">
        <v>51</v>
      </c>
      <c r="J13" s="7" t="s">
        <v>51</v>
      </c>
      <c r="K13" s="7" t="s">
        <v>51</v>
      </c>
      <c r="L13" s="7" t="s">
        <v>51</v>
      </c>
      <c r="M13" s="7" t="s">
        <v>51</v>
      </c>
      <c r="N13" s="7" t="s">
        <v>51</v>
      </c>
      <c r="O13" s="242" t="s">
        <v>407</v>
      </c>
      <c r="P13" s="242" t="s">
        <v>459</v>
      </c>
      <c r="Q13" s="36"/>
      <c r="R13" s="36"/>
    </row>
    <row r="14" spans="1:18" ht="26.4" x14ac:dyDescent="0.25">
      <c r="A14" s="239"/>
      <c r="B14" s="71" t="s">
        <v>93</v>
      </c>
      <c r="C14" s="4"/>
      <c r="D14" s="4"/>
      <c r="E14" s="4"/>
      <c r="F14" s="4"/>
      <c r="G14" s="12"/>
      <c r="H14" s="7" t="s">
        <v>51</v>
      </c>
      <c r="I14" s="56" t="s">
        <v>229</v>
      </c>
      <c r="J14" s="56" t="s">
        <v>229</v>
      </c>
      <c r="K14" s="56" t="s">
        <v>229</v>
      </c>
      <c r="L14" s="56" t="s">
        <v>229</v>
      </c>
      <c r="M14" s="7" t="s">
        <v>51</v>
      </c>
      <c r="N14" s="7" t="s">
        <v>51</v>
      </c>
      <c r="O14" s="243"/>
      <c r="P14" s="243"/>
      <c r="Q14" s="36"/>
      <c r="R14" s="36"/>
    </row>
    <row r="15" spans="1:18" x14ac:dyDescent="0.25">
      <c r="A15" s="239"/>
      <c r="B15" s="72" t="s">
        <v>74</v>
      </c>
      <c r="C15" s="4"/>
      <c r="D15" s="4"/>
      <c r="E15" s="4"/>
      <c r="F15" s="4"/>
      <c r="G15" s="12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243"/>
      <c r="P15" s="243"/>
      <c r="Q15" s="36"/>
      <c r="R15" s="36"/>
    </row>
    <row r="16" spans="1:18" x14ac:dyDescent="0.25">
      <c r="A16" s="239"/>
      <c r="B16" s="76" t="s">
        <v>16</v>
      </c>
      <c r="C16" s="7" t="s">
        <v>229</v>
      </c>
      <c r="D16" s="28" t="s">
        <v>229</v>
      </c>
      <c r="E16" s="28" t="s">
        <v>229</v>
      </c>
      <c r="F16" s="28" t="s">
        <v>229</v>
      </c>
      <c r="G16" s="205" t="s">
        <v>229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243"/>
      <c r="P16" s="243"/>
      <c r="Q16" s="36"/>
      <c r="R16" s="36"/>
    </row>
    <row r="17" spans="1:18" x14ac:dyDescent="0.25">
      <c r="A17" s="239"/>
      <c r="B17" s="70" t="s">
        <v>14</v>
      </c>
      <c r="C17" s="7" t="s">
        <v>229</v>
      </c>
      <c r="D17" s="28" t="s">
        <v>229</v>
      </c>
      <c r="E17" s="28" t="s">
        <v>229</v>
      </c>
      <c r="F17" s="28" t="s">
        <v>229</v>
      </c>
      <c r="G17" s="205" t="s">
        <v>229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243"/>
      <c r="P17" s="243"/>
      <c r="Q17" s="36"/>
      <c r="R17" s="36"/>
    </row>
    <row r="18" spans="1:18" x14ac:dyDescent="0.25">
      <c r="A18" s="239"/>
      <c r="B18" s="73" t="s">
        <v>15</v>
      </c>
      <c r="C18" s="7" t="s">
        <v>229</v>
      </c>
      <c r="D18" s="28" t="s">
        <v>229</v>
      </c>
      <c r="E18" s="28" t="s">
        <v>229</v>
      </c>
      <c r="F18" s="28" t="s">
        <v>229</v>
      </c>
      <c r="G18" s="205" t="s">
        <v>229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243"/>
      <c r="P18" s="243"/>
      <c r="Q18" s="36"/>
      <c r="R18" s="36"/>
    </row>
    <row r="19" spans="1:18" ht="66" customHeight="1" x14ac:dyDescent="0.25">
      <c r="A19" s="240"/>
      <c r="B19" s="73" t="s">
        <v>12</v>
      </c>
      <c r="C19" s="7" t="s">
        <v>229</v>
      </c>
      <c r="D19" s="28" t="s">
        <v>229</v>
      </c>
      <c r="E19" s="28" t="s">
        <v>229</v>
      </c>
      <c r="F19" s="28" t="s">
        <v>229</v>
      </c>
      <c r="G19" s="205" t="s">
        <v>229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244"/>
      <c r="P19" s="244"/>
      <c r="Q19" s="36"/>
      <c r="R19" s="36"/>
    </row>
    <row r="20" spans="1:18" ht="31.5" customHeight="1" x14ac:dyDescent="0.25">
      <c r="A20" s="235" t="s">
        <v>619</v>
      </c>
      <c r="B20" s="164" t="s">
        <v>578</v>
      </c>
      <c r="C20" s="61"/>
      <c r="D20" s="62"/>
      <c r="E20" s="62"/>
      <c r="F20" s="62"/>
      <c r="G20" s="206"/>
      <c r="H20" s="7" t="s">
        <v>51</v>
      </c>
      <c r="I20" s="7" t="s">
        <v>51</v>
      </c>
      <c r="J20" s="7" t="s">
        <v>51</v>
      </c>
      <c r="K20" s="7" t="s">
        <v>51</v>
      </c>
      <c r="L20" s="7" t="s">
        <v>51</v>
      </c>
      <c r="M20" s="63">
        <v>101</v>
      </c>
      <c r="N20" s="63">
        <v>301</v>
      </c>
      <c r="O20" s="245" t="s">
        <v>407</v>
      </c>
      <c r="P20" s="245" t="s">
        <v>564</v>
      </c>
      <c r="Q20" s="36"/>
      <c r="R20" s="36"/>
    </row>
    <row r="21" spans="1:18" ht="26.4" x14ac:dyDescent="0.25">
      <c r="A21" s="237"/>
      <c r="B21" s="74" t="s">
        <v>93</v>
      </c>
      <c r="C21" s="61"/>
      <c r="D21" s="62"/>
      <c r="E21" s="62"/>
      <c r="F21" s="62"/>
      <c r="G21" s="206"/>
      <c r="H21" s="7" t="s">
        <v>51</v>
      </c>
      <c r="I21" s="9" t="s">
        <v>229</v>
      </c>
      <c r="J21" s="9" t="s">
        <v>229</v>
      </c>
      <c r="K21" s="9" t="s">
        <v>229</v>
      </c>
      <c r="L21" s="9" t="s">
        <v>229</v>
      </c>
      <c r="M21" s="9">
        <v>0</v>
      </c>
      <c r="N21" s="9">
        <v>0</v>
      </c>
      <c r="O21" s="246"/>
      <c r="P21" s="246"/>
      <c r="Q21" s="36"/>
      <c r="R21" s="36"/>
    </row>
    <row r="22" spans="1:18" x14ac:dyDescent="0.25">
      <c r="A22" s="237"/>
      <c r="B22" s="67" t="s">
        <v>74</v>
      </c>
      <c r="C22" s="61"/>
      <c r="D22" s="62"/>
      <c r="E22" s="62"/>
      <c r="F22" s="62"/>
      <c r="G22" s="206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246"/>
      <c r="P22" s="246"/>
      <c r="Q22" s="36"/>
      <c r="R22" s="36"/>
    </row>
    <row r="23" spans="1:18" x14ac:dyDescent="0.25">
      <c r="A23" s="237"/>
      <c r="B23" s="64" t="s">
        <v>16</v>
      </c>
      <c r="C23" s="61" t="s">
        <v>229</v>
      </c>
      <c r="D23" s="62" t="s">
        <v>229</v>
      </c>
      <c r="E23" s="62" t="s">
        <v>229</v>
      </c>
      <c r="F23" s="62" t="s">
        <v>229</v>
      </c>
      <c r="G23" s="206" t="s">
        <v>229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246"/>
      <c r="P23" s="246"/>
      <c r="Q23" s="36"/>
      <c r="R23" s="36"/>
    </row>
    <row r="24" spans="1:18" x14ac:dyDescent="0.25">
      <c r="A24" s="237"/>
      <c r="B24" s="66" t="s">
        <v>14</v>
      </c>
      <c r="C24" s="61" t="s">
        <v>229</v>
      </c>
      <c r="D24" s="62" t="s">
        <v>229</v>
      </c>
      <c r="E24" s="62" t="s">
        <v>229</v>
      </c>
      <c r="F24" s="62" t="s">
        <v>229</v>
      </c>
      <c r="G24" s="206" t="s">
        <v>229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246"/>
      <c r="P24" s="246"/>
      <c r="Q24" s="36"/>
      <c r="R24" s="36"/>
    </row>
    <row r="25" spans="1:18" x14ac:dyDescent="0.25">
      <c r="A25" s="237"/>
      <c r="B25" s="74" t="s">
        <v>9</v>
      </c>
      <c r="C25" s="61" t="s">
        <v>229</v>
      </c>
      <c r="D25" s="62" t="s">
        <v>229</v>
      </c>
      <c r="E25" s="62" t="s">
        <v>229</v>
      </c>
      <c r="F25" s="62" t="s">
        <v>229</v>
      </c>
      <c r="G25" s="206" t="s">
        <v>229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246"/>
      <c r="P25" s="246"/>
      <c r="Q25" s="36"/>
      <c r="R25" s="36"/>
    </row>
    <row r="26" spans="1:18" ht="68.25" customHeight="1" x14ac:dyDescent="0.25">
      <c r="A26" s="236"/>
      <c r="B26" s="74" t="s">
        <v>10</v>
      </c>
      <c r="C26" s="61" t="s">
        <v>229</v>
      </c>
      <c r="D26" s="62" t="s">
        <v>229</v>
      </c>
      <c r="E26" s="62" t="s">
        <v>229</v>
      </c>
      <c r="F26" s="62" t="s">
        <v>229</v>
      </c>
      <c r="G26" s="206" t="s">
        <v>229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247"/>
      <c r="P26" s="247"/>
      <c r="Q26" s="36"/>
      <c r="R26" s="36"/>
    </row>
    <row r="27" spans="1:18" ht="20.25" customHeight="1" x14ac:dyDescent="0.25">
      <c r="A27" s="235" t="s">
        <v>415</v>
      </c>
      <c r="B27" s="130" t="s">
        <v>458</v>
      </c>
      <c r="C27" s="61"/>
      <c r="D27" s="62"/>
      <c r="E27" s="62"/>
      <c r="F27" s="62"/>
      <c r="G27" s="206"/>
      <c r="H27" s="127" t="s">
        <v>51</v>
      </c>
      <c r="I27" s="127" t="s">
        <v>51</v>
      </c>
      <c r="J27" s="127" t="s">
        <v>51</v>
      </c>
      <c r="K27" s="127" t="s">
        <v>51</v>
      </c>
      <c r="L27" s="127" t="s">
        <v>51</v>
      </c>
      <c r="M27" s="63">
        <v>1</v>
      </c>
      <c r="N27" s="63">
        <v>1</v>
      </c>
      <c r="O27" s="245" t="s">
        <v>407</v>
      </c>
      <c r="P27" s="245" t="s">
        <v>565</v>
      </c>
      <c r="Q27" s="36"/>
      <c r="R27" s="36"/>
    </row>
    <row r="28" spans="1:18" ht="41.25" customHeight="1" x14ac:dyDescent="0.25">
      <c r="A28" s="237"/>
      <c r="B28" s="74" t="s">
        <v>93</v>
      </c>
      <c r="C28" s="61"/>
      <c r="D28" s="62"/>
      <c r="E28" s="62"/>
      <c r="F28" s="62"/>
      <c r="G28" s="206"/>
      <c r="H28" s="127" t="s">
        <v>51</v>
      </c>
      <c r="I28" s="9" t="s">
        <v>229</v>
      </c>
      <c r="J28" s="9" t="s">
        <v>229</v>
      </c>
      <c r="K28" s="9" t="s">
        <v>229</v>
      </c>
      <c r="L28" s="9" t="s">
        <v>229</v>
      </c>
      <c r="M28" s="9">
        <v>0</v>
      </c>
      <c r="N28" s="9">
        <v>0</v>
      </c>
      <c r="O28" s="246"/>
      <c r="P28" s="246"/>
      <c r="Q28" s="36"/>
      <c r="R28" s="36"/>
    </row>
    <row r="29" spans="1:18" x14ac:dyDescent="0.25">
      <c r="A29" s="237"/>
      <c r="B29" s="67" t="s">
        <v>74</v>
      </c>
      <c r="C29" s="61"/>
      <c r="D29" s="62"/>
      <c r="E29" s="62"/>
      <c r="F29" s="62"/>
      <c r="G29" s="206"/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246"/>
      <c r="P29" s="246"/>
      <c r="Q29" s="36"/>
      <c r="R29" s="36"/>
    </row>
    <row r="30" spans="1:18" x14ac:dyDescent="0.25">
      <c r="A30" s="237"/>
      <c r="B30" s="64" t="s">
        <v>16</v>
      </c>
      <c r="C30" s="61" t="s">
        <v>229</v>
      </c>
      <c r="D30" s="62" t="s">
        <v>229</v>
      </c>
      <c r="E30" s="62" t="s">
        <v>229</v>
      </c>
      <c r="F30" s="62" t="s">
        <v>229</v>
      </c>
      <c r="G30" s="206" t="s">
        <v>229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246"/>
      <c r="P30" s="246"/>
      <c r="Q30" s="36"/>
      <c r="R30" s="36"/>
    </row>
    <row r="31" spans="1:18" x14ac:dyDescent="0.25">
      <c r="A31" s="237"/>
      <c r="B31" s="66" t="s">
        <v>14</v>
      </c>
      <c r="C31" s="61" t="s">
        <v>229</v>
      </c>
      <c r="D31" s="62" t="s">
        <v>229</v>
      </c>
      <c r="E31" s="62" t="s">
        <v>229</v>
      </c>
      <c r="F31" s="62" t="s">
        <v>229</v>
      </c>
      <c r="G31" s="206" t="s">
        <v>229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246"/>
      <c r="P31" s="246"/>
      <c r="Q31" s="36"/>
      <c r="R31" s="36"/>
    </row>
    <row r="32" spans="1:18" x14ac:dyDescent="0.25">
      <c r="A32" s="237"/>
      <c r="B32" s="74" t="s">
        <v>9</v>
      </c>
      <c r="C32" s="61" t="s">
        <v>229</v>
      </c>
      <c r="D32" s="62" t="s">
        <v>229</v>
      </c>
      <c r="E32" s="62" t="s">
        <v>229</v>
      </c>
      <c r="F32" s="62" t="s">
        <v>229</v>
      </c>
      <c r="G32" s="206" t="s">
        <v>229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246"/>
      <c r="P32" s="246"/>
      <c r="Q32" s="36"/>
      <c r="R32" s="36"/>
    </row>
    <row r="33" spans="1:24" ht="93" customHeight="1" x14ac:dyDescent="0.25">
      <c r="A33" s="236"/>
      <c r="B33" s="74" t="s">
        <v>10</v>
      </c>
      <c r="C33" s="61" t="s">
        <v>229</v>
      </c>
      <c r="D33" s="62" t="s">
        <v>229</v>
      </c>
      <c r="E33" s="62" t="s">
        <v>229</v>
      </c>
      <c r="F33" s="62" t="s">
        <v>229</v>
      </c>
      <c r="G33" s="206" t="s">
        <v>229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247"/>
      <c r="P33" s="247"/>
      <c r="Q33" s="36"/>
      <c r="R33" s="36"/>
    </row>
    <row r="34" spans="1:24" s="154" customFormat="1" ht="26.4" hidden="1" x14ac:dyDescent="0.25">
      <c r="A34" s="293" t="s">
        <v>488</v>
      </c>
      <c r="B34" s="149" t="s">
        <v>93</v>
      </c>
      <c r="C34" s="150"/>
      <c r="D34" s="151"/>
      <c r="E34" s="151"/>
      <c r="F34" s="151"/>
      <c r="G34" s="207"/>
      <c r="H34" s="171"/>
      <c r="I34" s="171"/>
      <c r="J34" s="171"/>
      <c r="K34" s="171"/>
      <c r="L34" s="171"/>
      <c r="M34" s="171"/>
      <c r="N34" s="171"/>
      <c r="O34" s="342" t="s">
        <v>189</v>
      </c>
      <c r="P34" s="339" t="s">
        <v>414</v>
      </c>
      <c r="Q34" s="152"/>
      <c r="R34" s="152"/>
      <c r="S34" s="153"/>
      <c r="T34" s="153"/>
      <c r="U34" s="153"/>
      <c r="V34" s="153"/>
      <c r="W34" s="153"/>
      <c r="X34" s="153"/>
    </row>
    <row r="35" spans="1:24" s="154" customFormat="1" hidden="1" x14ac:dyDescent="0.25">
      <c r="A35" s="297"/>
      <c r="B35" s="155" t="s">
        <v>74</v>
      </c>
      <c r="C35" s="150"/>
      <c r="D35" s="151"/>
      <c r="E35" s="151"/>
      <c r="F35" s="151"/>
      <c r="G35" s="207"/>
      <c r="H35" s="171"/>
      <c r="I35" s="171"/>
      <c r="J35" s="171"/>
      <c r="K35" s="171"/>
      <c r="L35" s="171"/>
      <c r="M35" s="171"/>
      <c r="N35" s="171"/>
      <c r="O35" s="343"/>
      <c r="P35" s="340"/>
      <c r="Q35" s="152"/>
      <c r="R35" s="152"/>
      <c r="S35" s="153"/>
      <c r="T35" s="153"/>
      <c r="U35" s="153"/>
      <c r="V35" s="153"/>
      <c r="W35" s="153"/>
      <c r="X35" s="153"/>
    </row>
    <row r="36" spans="1:24" s="154" customFormat="1" hidden="1" x14ac:dyDescent="0.25">
      <c r="A36" s="297"/>
      <c r="B36" s="156" t="s">
        <v>16</v>
      </c>
      <c r="C36" s="157">
        <v>136</v>
      </c>
      <c r="D36" s="151" t="s">
        <v>233</v>
      </c>
      <c r="E36" s="158" t="s">
        <v>235</v>
      </c>
      <c r="F36" s="158" t="s">
        <v>497</v>
      </c>
      <c r="G36" s="208">
        <v>611</v>
      </c>
      <c r="H36" s="171"/>
      <c r="I36" s="171"/>
      <c r="J36" s="171"/>
      <c r="K36" s="171"/>
      <c r="L36" s="171"/>
      <c r="M36" s="171"/>
      <c r="N36" s="171"/>
      <c r="O36" s="343"/>
      <c r="P36" s="340"/>
      <c r="Q36" s="152"/>
      <c r="R36" s="152"/>
      <c r="S36" s="153"/>
      <c r="T36" s="153"/>
      <c r="U36" s="153"/>
      <c r="V36" s="153"/>
      <c r="W36" s="153"/>
      <c r="X36" s="153"/>
    </row>
    <row r="37" spans="1:24" s="154" customFormat="1" hidden="1" x14ac:dyDescent="0.25">
      <c r="A37" s="297"/>
      <c r="B37" s="159" t="s">
        <v>14</v>
      </c>
      <c r="C37" s="150" t="s">
        <v>229</v>
      </c>
      <c r="D37" s="151" t="s">
        <v>229</v>
      </c>
      <c r="E37" s="151" t="s">
        <v>229</v>
      </c>
      <c r="F37" s="151" t="s">
        <v>229</v>
      </c>
      <c r="G37" s="207" t="s">
        <v>229</v>
      </c>
      <c r="H37" s="171"/>
      <c r="I37" s="171"/>
      <c r="J37" s="171"/>
      <c r="K37" s="171"/>
      <c r="L37" s="171"/>
      <c r="M37" s="171"/>
      <c r="N37" s="171"/>
      <c r="O37" s="343"/>
      <c r="P37" s="340"/>
      <c r="Q37" s="152"/>
      <c r="R37" s="152"/>
      <c r="S37" s="153"/>
      <c r="T37" s="153"/>
      <c r="U37" s="153"/>
      <c r="V37" s="153"/>
      <c r="W37" s="153"/>
      <c r="X37" s="153"/>
    </row>
    <row r="38" spans="1:24" s="154" customFormat="1" hidden="1" x14ac:dyDescent="0.25">
      <c r="A38" s="297"/>
      <c r="B38" s="149" t="s">
        <v>9</v>
      </c>
      <c r="C38" s="150" t="s">
        <v>229</v>
      </c>
      <c r="D38" s="151" t="s">
        <v>229</v>
      </c>
      <c r="E38" s="151" t="s">
        <v>229</v>
      </c>
      <c r="F38" s="151" t="s">
        <v>229</v>
      </c>
      <c r="G38" s="207" t="s">
        <v>229</v>
      </c>
      <c r="H38" s="171"/>
      <c r="I38" s="171"/>
      <c r="J38" s="171"/>
      <c r="K38" s="171"/>
      <c r="L38" s="171"/>
      <c r="M38" s="171"/>
      <c r="N38" s="171"/>
      <c r="O38" s="343"/>
      <c r="P38" s="340"/>
      <c r="Q38" s="152"/>
      <c r="R38" s="152"/>
      <c r="S38" s="153"/>
      <c r="T38" s="153"/>
      <c r="U38" s="153"/>
      <c r="V38" s="153"/>
      <c r="W38" s="153"/>
      <c r="X38" s="153"/>
    </row>
    <row r="39" spans="1:24" s="154" customFormat="1" ht="53.25" hidden="1" customHeight="1" x14ac:dyDescent="0.25">
      <c r="A39" s="294"/>
      <c r="B39" s="160" t="s">
        <v>12</v>
      </c>
      <c r="C39" s="150" t="s">
        <v>229</v>
      </c>
      <c r="D39" s="151" t="s">
        <v>229</v>
      </c>
      <c r="E39" s="151" t="s">
        <v>229</v>
      </c>
      <c r="F39" s="151" t="s">
        <v>229</v>
      </c>
      <c r="G39" s="207" t="s">
        <v>229</v>
      </c>
      <c r="H39" s="171">
        <v>0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0</v>
      </c>
      <c r="O39" s="344"/>
      <c r="P39" s="341"/>
      <c r="Q39" s="152">
        <v>0</v>
      </c>
      <c r="R39" s="152">
        <v>0</v>
      </c>
      <c r="S39" s="153"/>
      <c r="T39" s="153"/>
      <c r="U39" s="153"/>
      <c r="V39" s="153"/>
      <c r="W39" s="153"/>
      <c r="X39" s="153"/>
    </row>
    <row r="40" spans="1:24" s="154" customFormat="1" ht="12.75" hidden="1" customHeight="1" x14ac:dyDescent="0.25">
      <c r="A40" s="293" t="s">
        <v>490</v>
      </c>
      <c r="B40" s="149" t="s">
        <v>489</v>
      </c>
      <c r="C40" s="150"/>
      <c r="D40" s="151"/>
      <c r="E40" s="151"/>
      <c r="F40" s="151"/>
      <c r="G40" s="207"/>
      <c r="H40" s="171"/>
      <c r="I40" s="171"/>
      <c r="J40" s="171"/>
      <c r="K40" s="171"/>
      <c r="L40" s="171"/>
      <c r="M40" s="171"/>
      <c r="N40" s="171"/>
      <c r="O40" s="298" t="s">
        <v>189</v>
      </c>
      <c r="P40" s="298" t="s">
        <v>491</v>
      </c>
      <c r="Q40" s="152"/>
      <c r="R40" s="152"/>
      <c r="S40" s="153"/>
      <c r="T40" s="153"/>
      <c r="U40" s="153"/>
      <c r="V40" s="153"/>
      <c r="W40" s="153"/>
      <c r="X40" s="153"/>
    </row>
    <row r="41" spans="1:24" s="154" customFormat="1" ht="26.4" hidden="1" x14ac:dyDescent="0.25">
      <c r="A41" s="297"/>
      <c r="B41" s="149" t="s">
        <v>93</v>
      </c>
      <c r="C41" s="150"/>
      <c r="D41" s="151"/>
      <c r="E41" s="151"/>
      <c r="F41" s="151"/>
      <c r="G41" s="207"/>
      <c r="H41" s="171"/>
      <c r="I41" s="171"/>
      <c r="J41" s="171"/>
      <c r="K41" s="171"/>
      <c r="L41" s="171"/>
      <c r="M41" s="171"/>
      <c r="N41" s="171"/>
      <c r="O41" s="299"/>
      <c r="P41" s="299"/>
      <c r="Q41" s="152"/>
      <c r="R41" s="152"/>
      <c r="S41" s="153"/>
      <c r="T41" s="153"/>
      <c r="U41" s="153"/>
      <c r="V41" s="153"/>
      <c r="W41" s="153"/>
      <c r="X41" s="153"/>
    </row>
    <row r="42" spans="1:24" s="154" customFormat="1" hidden="1" x14ac:dyDescent="0.25">
      <c r="A42" s="297"/>
      <c r="B42" s="155" t="s">
        <v>74</v>
      </c>
      <c r="C42" s="150"/>
      <c r="D42" s="151"/>
      <c r="E42" s="151"/>
      <c r="F42" s="151"/>
      <c r="G42" s="207"/>
      <c r="H42" s="171"/>
      <c r="I42" s="171"/>
      <c r="J42" s="171"/>
      <c r="K42" s="171"/>
      <c r="L42" s="171"/>
      <c r="M42" s="171"/>
      <c r="N42" s="171"/>
      <c r="O42" s="299"/>
      <c r="P42" s="299"/>
      <c r="Q42" s="152"/>
      <c r="R42" s="152"/>
      <c r="S42" s="153"/>
      <c r="T42" s="153"/>
      <c r="U42" s="153"/>
      <c r="V42" s="153"/>
      <c r="W42" s="153"/>
      <c r="X42" s="153"/>
    </row>
    <row r="43" spans="1:24" s="154" customFormat="1" hidden="1" x14ac:dyDescent="0.25">
      <c r="A43" s="297"/>
      <c r="B43" s="156" t="s">
        <v>16</v>
      </c>
      <c r="C43" s="157">
        <v>136</v>
      </c>
      <c r="D43" s="151" t="s">
        <v>233</v>
      </c>
      <c r="E43" s="158" t="s">
        <v>235</v>
      </c>
      <c r="F43" s="158" t="s">
        <v>497</v>
      </c>
      <c r="G43" s="208">
        <v>611</v>
      </c>
      <c r="H43" s="171"/>
      <c r="I43" s="171"/>
      <c r="J43" s="171"/>
      <c r="K43" s="171"/>
      <c r="L43" s="171"/>
      <c r="M43" s="171"/>
      <c r="N43" s="171"/>
      <c r="O43" s="299"/>
      <c r="P43" s="299"/>
      <c r="Q43" s="152"/>
      <c r="R43" s="152"/>
      <c r="S43" s="153"/>
      <c r="T43" s="153"/>
      <c r="U43" s="153"/>
      <c r="V43" s="153"/>
      <c r="W43" s="153"/>
      <c r="X43" s="153"/>
    </row>
    <row r="44" spans="1:24" s="154" customFormat="1" hidden="1" x14ac:dyDescent="0.25">
      <c r="A44" s="297"/>
      <c r="B44" s="159" t="s">
        <v>14</v>
      </c>
      <c r="C44" s="150" t="s">
        <v>229</v>
      </c>
      <c r="D44" s="151" t="s">
        <v>229</v>
      </c>
      <c r="E44" s="151" t="s">
        <v>229</v>
      </c>
      <c r="F44" s="151" t="s">
        <v>229</v>
      </c>
      <c r="G44" s="207" t="s">
        <v>229</v>
      </c>
      <c r="H44" s="171"/>
      <c r="I44" s="171"/>
      <c r="J44" s="171"/>
      <c r="K44" s="171"/>
      <c r="L44" s="171"/>
      <c r="M44" s="171"/>
      <c r="N44" s="171"/>
      <c r="O44" s="299"/>
      <c r="P44" s="299"/>
      <c r="Q44" s="152"/>
      <c r="R44" s="152"/>
      <c r="S44" s="153"/>
      <c r="T44" s="153"/>
      <c r="U44" s="153"/>
      <c r="V44" s="153"/>
      <c r="W44" s="153"/>
      <c r="X44" s="153"/>
    </row>
    <row r="45" spans="1:24" s="154" customFormat="1" hidden="1" x14ac:dyDescent="0.25">
      <c r="A45" s="297"/>
      <c r="B45" s="149" t="s">
        <v>9</v>
      </c>
      <c r="C45" s="150" t="s">
        <v>229</v>
      </c>
      <c r="D45" s="151" t="s">
        <v>229</v>
      </c>
      <c r="E45" s="151" t="s">
        <v>229</v>
      </c>
      <c r="F45" s="151" t="s">
        <v>229</v>
      </c>
      <c r="G45" s="207" t="s">
        <v>229</v>
      </c>
      <c r="H45" s="171"/>
      <c r="I45" s="171"/>
      <c r="J45" s="171"/>
      <c r="K45" s="171"/>
      <c r="L45" s="171"/>
      <c r="M45" s="171"/>
      <c r="N45" s="171"/>
      <c r="O45" s="299"/>
      <c r="P45" s="299"/>
      <c r="Q45" s="152"/>
      <c r="R45" s="152"/>
      <c r="S45" s="153"/>
      <c r="T45" s="153"/>
      <c r="U45" s="153"/>
      <c r="V45" s="153"/>
      <c r="W45" s="153"/>
      <c r="X45" s="153"/>
    </row>
    <row r="46" spans="1:24" s="154" customFormat="1" ht="24" hidden="1" customHeight="1" x14ac:dyDescent="0.25">
      <c r="A46" s="294"/>
      <c r="B46" s="149" t="s">
        <v>10</v>
      </c>
      <c r="C46" s="150" t="s">
        <v>229</v>
      </c>
      <c r="D46" s="151" t="s">
        <v>229</v>
      </c>
      <c r="E46" s="151" t="s">
        <v>229</v>
      </c>
      <c r="F46" s="151" t="s">
        <v>229</v>
      </c>
      <c r="G46" s="207" t="s">
        <v>229</v>
      </c>
      <c r="H46" s="171"/>
      <c r="I46" s="171"/>
      <c r="J46" s="171"/>
      <c r="K46" s="171"/>
      <c r="L46" s="171"/>
      <c r="M46" s="171"/>
      <c r="N46" s="171"/>
      <c r="O46" s="300"/>
      <c r="P46" s="300"/>
      <c r="Q46" s="152"/>
      <c r="R46" s="152"/>
      <c r="S46" s="153"/>
      <c r="T46" s="153"/>
      <c r="U46" s="153"/>
      <c r="V46" s="153"/>
      <c r="W46" s="153"/>
      <c r="X46" s="153"/>
    </row>
    <row r="47" spans="1:24" ht="20.25" customHeight="1" x14ac:dyDescent="0.25">
      <c r="A47" s="275" t="s">
        <v>120</v>
      </c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7"/>
    </row>
    <row r="48" spans="1:24" ht="17.25" customHeight="1" x14ac:dyDescent="0.25">
      <c r="A48" s="265" t="s">
        <v>121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</row>
    <row r="49" spans="1:16" ht="19.5" customHeight="1" x14ac:dyDescent="0.25">
      <c r="A49" s="265" t="s">
        <v>122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</row>
    <row r="50" spans="1:16" ht="20.25" customHeight="1" x14ac:dyDescent="0.25">
      <c r="A50" s="265" t="s">
        <v>123</v>
      </c>
      <c r="B50" s="266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</row>
    <row r="51" spans="1:16" x14ac:dyDescent="0.25">
      <c r="A51" s="258" t="s">
        <v>409</v>
      </c>
      <c r="B51" s="115" t="s">
        <v>196</v>
      </c>
      <c r="C51" s="110"/>
      <c r="D51" s="118"/>
      <c r="E51" s="118"/>
      <c r="F51" s="118"/>
      <c r="G51" s="209"/>
      <c r="H51" s="63">
        <f t="shared" ref="H51:N51" si="0">H63+H73</f>
        <v>2467</v>
      </c>
      <c r="I51" s="63">
        <f t="shared" si="0"/>
        <v>0</v>
      </c>
      <c r="J51" s="63">
        <f t="shared" si="0"/>
        <v>0</v>
      </c>
      <c r="K51" s="63">
        <f t="shared" si="0"/>
        <v>0</v>
      </c>
      <c r="L51" s="63">
        <f t="shared" si="0"/>
        <v>2467</v>
      </c>
      <c r="M51" s="63">
        <f t="shared" si="0"/>
        <v>1625</v>
      </c>
      <c r="N51" s="63">
        <f t="shared" si="0"/>
        <v>1625</v>
      </c>
      <c r="O51" s="267" t="s">
        <v>347</v>
      </c>
      <c r="P51" s="270" t="s">
        <v>319</v>
      </c>
    </row>
    <row r="52" spans="1:16" ht="26.4" x14ac:dyDescent="0.25">
      <c r="A52" s="258"/>
      <c r="B52" s="115" t="s">
        <v>93</v>
      </c>
      <c r="C52" s="119"/>
      <c r="D52" s="55"/>
      <c r="E52" s="55"/>
      <c r="F52" s="55"/>
      <c r="G52" s="91"/>
      <c r="H52" s="56">
        <f>ROUND(H53/H51,1)</f>
        <v>222.6</v>
      </c>
      <c r="I52" s="56" t="s">
        <v>229</v>
      </c>
      <c r="J52" s="56" t="s">
        <v>229</v>
      </c>
      <c r="K52" s="56" t="s">
        <v>229</v>
      </c>
      <c r="L52" s="56" t="s">
        <v>229</v>
      </c>
      <c r="M52" s="56">
        <f>ROUND(M53/M51,1)</f>
        <v>208.8</v>
      </c>
      <c r="N52" s="56">
        <f>ROUND(N53/N51,1)</f>
        <v>208.8</v>
      </c>
      <c r="O52" s="267"/>
      <c r="P52" s="271"/>
    </row>
    <row r="53" spans="1:16" x14ac:dyDescent="0.25">
      <c r="A53" s="241"/>
      <c r="B53" s="116" t="s">
        <v>74</v>
      </c>
      <c r="C53" s="54"/>
      <c r="D53" s="55"/>
      <c r="E53" s="55"/>
      <c r="F53" s="112"/>
      <c r="G53" s="91"/>
      <c r="H53" s="56">
        <f t="shared" ref="H53:N53" si="1">SUM(H54:H62)</f>
        <v>549196.35920999991</v>
      </c>
      <c r="I53" s="56">
        <f t="shared" si="1"/>
        <v>207.09299999999999</v>
      </c>
      <c r="J53" s="56">
        <f t="shared" si="1"/>
        <v>73833.743210000001</v>
      </c>
      <c r="K53" s="56">
        <f t="shared" si="1"/>
        <v>315423.86499999999</v>
      </c>
      <c r="L53" s="56">
        <f t="shared" si="1"/>
        <v>159731.658</v>
      </c>
      <c r="M53" s="56">
        <f t="shared" si="1"/>
        <v>339380</v>
      </c>
      <c r="N53" s="56">
        <f t="shared" si="1"/>
        <v>339380</v>
      </c>
      <c r="O53" s="267"/>
      <c r="P53" s="271"/>
    </row>
    <row r="54" spans="1:16" x14ac:dyDescent="0.25">
      <c r="A54" s="241"/>
      <c r="B54" s="241" t="s">
        <v>16</v>
      </c>
      <c r="C54" s="4">
        <f t="shared" ref="C54:N55" si="2">C66</f>
        <v>124</v>
      </c>
      <c r="D54" s="4" t="str">
        <f t="shared" si="2"/>
        <v>07</v>
      </c>
      <c r="E54" s="4" t="str">
        <f t="shared" si="2"/>
        <v>01</v>
      </c>
      <c r="F54" s="4" t="str">
        <f t="shared" si="2"/>
        <v>0711103420</v>
      </c>
      <c r="G54" s="12" t="str">
        <f t="shared" si="2"/>
        <v>414</v>
      </c>
      <c r="H54" s="9">
        <f>H66</f>
        <v>75262.000209999998</v>
      </c>
      <c r="I54" s="9">
        <f>I66</f>
        <v>207.09299999999999</v>
      </c>
      <c r="J54" s="9">
        <f>J66</f>
        <v>26588.643209999998</v>
      </c>
      <c r="K54" s="9">
        <f>K66</f>
        <v>48076.106</v>
      </c>
      <c r="L54" s="9">
        <f>L66</f>
        <v>390.15800000000002</v>
      </c>
      <c r="M54" s="9">
        <f t="shared" si="2"/>
        <v>0</v>
      </c>
      <c r="N54" s="9">
        <f t="shared" si="2"/>
        <v>0</v>
      </c>
      <c r="O54" s="268"/>
      <c r="P54" s="272"/>
    </row>
    <row r="55" spans="1:16" x14ac:dyDescent="0.25">
      <c r="A55" s="241"/>
      <c r="B55" s="241"/>
      <c r="C55" s="4">
        <v>124</v>
      </c>
      <c r="D55" s="6" t="s">
        <v>233</v>
      </c>
      <c r="E55" s="5" t="s">
        <v>232</v>
      </c>
      <c r="F55" s="5" t="str">
        <f>F67</f>
        <v>0710170490</v>
      </c>
      <c r="G55" s="12" t="str">
        <f t="shared" si="2"/>
        <v>851</v>
      </c>
      <c r="H55" s="9">
        <f t="shared" si="2"/>
        <v>5000</v>
      </c>
      <c r="I55" s="9">
        <f t="shared" si="2"/>
        <v>0</v>
      </c>
      <c r="J55" s="9">
        <f t="shared" si="2"/>
        <v>0</v>
      </c>
      <c r="K55" s="9">
        <f t="shared" si="2"/>
        <v>0</v>
      </c>
      <c r="L55" s="9">
        <f t="shared" si="2"/>
        <v>5000</v>
      </c>
      <c r="M55" s="9">
        <f t="shared" si="2"/>
        <v>0</v>
      </c>
      <c r="N55" s="9">
        <f t="shared" si="2"/>
        <v>0</v>
      </c>
      <c r="O55" s="268"/>
      <c r="P55" s="272"/>
    </row>
    <row r="56" spans="1:16" ht="26.25" customHeight="1" x14ac:dyDescent="0.25">
      <c r="A56" s="241"/>
      <c r="B56" s="269"/>
      <c r="C56" s="54">
        <f>C68</f>
        <v>136</v>
      </c>
      <c r="D56" s="54" t="str">
        <f t="shared" ref="D56:N56" si="3">D68</f>
        <v>07</v>
      </c>
      <c r="E56" s="54" t="str">
        <f t="shared" si="3"/>
        <v>01</v>
      </c>
      <c r="F56" s="54" t="str">
        <f t="shared" si="3"/>
        <v>0711170920</v>
      </c>
      <c r="G56" s="91" t="str">
        <f t="shared" si="3"/>
        <v>522</v>
      </c>
      <c r="H56" s="56">
        <f t="shared" si="3"/>
        <v>118672.25899999999</v>
      </c>
      <c r="I56" s="56">
        <f t="shared" si="3"/>
        <v>0</v>
      </c>
      <c r="J56" s="56">
        <f t="shared" si="3"/>
        <v>47245.1</v>
      </c>
      <c r="K56" s="56">
        <f t="shared" si="3"/>
        <v>71427.159</v>
      </c>
      <c r="L56" s="56">
        <f t="shared" si="3"/>
        <v>0</v>
      </c>
      <c r="M56" s="56">
        <f t="shared" si="3"/>
        <v>0</v>
      </c>
      <c r="N56" s="56">
        <f t="shared" si="3"/>
        <v>0</v>
      </c>
      <c r="O56" s="267"/>
      <c r="P56" s="271"/>
    </row>
    <row r="57" spans="1:16" x14ac:dyDescent="0.25">
      <c r="A57" s="241"/>
      <c r="B57" s="269"/>
      <c r="C57" s="54">
        <f t="shared" ref="C57:N58" si="4">C78</f>
        <v>136</v>
      </c>
      <c r="D57" s="54" t="str">
        <f t="shared" si="4"/>
        <v>07</v>
      </c>
      <c r="E57" s="54" t="str">
        <f t="shared" si="4"/>
        <v>01</v>
      </c>
      <c r="F57" s="54" t="str">
        <f t="shared" si="4"/>
        <v>0711170920</v>
      </c>
      <c r="G57" s="91" t="str">
        <f t="shared" si="4"/>
        <v>521</v>
      </c>
      <c r="H57" s="56">
        <f t="shared" si="4"/>
        <v>288382.3</v>
      </c>
      <c r="I57" s="56">
        <f t="shared" si="4"/>
        <v>0</v>
      </c>
      <c r="J57" s="56">
        <f t="shared" si="4"/>
        <v>0</v>
      </c>
      <c r="K57" s="56">
        <f t="shared" si="4"/>
        <v>189682.8</v>
      </c>
      <c r="L57" s="56">
        <f t="shared" si="4"/>
        <v>98699.5</v>
      </c>
      <c r="M57" s="56">
        <f t="shared" si="4"/>
        <v>275600</v>
      </c>
      <c r="N57" s="56">
        <f t="shared" si="4"/>
        <v>275600</v>
      </c>
      <c r="O57" s="267"/>
      <c r="P57" s="271"/>
    </row>
    <row r="58" spans="1:16" x14ac:dyDescent="0.25">
      <c r="A58" s="241"/>
      <c r="B58" s="269"/>
      <c r="C58" s="54">
        <f>C79</f>
        <v>136</v>
      </c>
      <c r="D58" s="54" t="str">
        <f t="shared" si="4"/>
        <v>07</v>
      </c>
      <c r="E58" s="54" t="str">
        <f t="shared" si="4"/>
        <v>01</v>
      </c>
      <c r="F58" s="54" t="str">
        <f t="shared" si="4"/>
        <v>0711103920</v>
      </c>
      <c r="G58" s="91" t="str">
        <f t="shared" si="4"/>
        <v>813</v>
      </c>
      <c r="H58" s="56">
        <f t="shared" si="4"/>
        <v>50000</v>
      </c>
      <c r="I58" s="56">
        <f t="shared" si="4"/>
        <v>0</v>
      </c>
      <c r="J58" s="56">
        <f t="shared" si="4"/>
        <v>0</v>
      </c>
      <c r="K58" s="56">
        <f t="shared" si="4"/>
        <v>0</v>
      </c>
      <c r="L58" s="56">
        <f t="shared" si="4"/>
        <v>50000</v>
      </c>
      <c r="M58" s="56">
        <f t="shared" si="4"/>
        <v>50000</v>
      </c>
      <c r="N58" s="56">
        <f t="shared" si="4"/>
        <v>50000</v>
      </c>
      <c r="O58" s="267"/>
      <c r="P58" s="271"/>
    </row>
    <row r="59" spans="1:16" x14ac:dyDescent="0.25">
      <c r="A59" s="241"/>
      <c r="B59" s="114" t="s">
        <v>14</v>
      </c>
      <c r="C59" s="54"/>
      <c r="D59" s="54"/>
      <c r="E59" s="54"/>
      <c r="F59" s="54"/>
      <c r="G59" s="91"/>
      <c r="H59" s="56">
        <f>H69+H80</f>
        <v>0</v>
      </c>
      <c r="I59" s="56">
        <f t="shared" ref="I59:N59" si="5">I69+I80</f>
        <v>0</v>
      </c>
      <c r="J59" s="56">
        <f t="shared" si="5"/>
        <v>0</v>
      </c>
      <c r="K59" s="56">
        <f t="shared" si="5"/>
        <v>0</v>
      </c>
      <c r="L59" s="56">
        <f t="shared" si="5"/>
        <v>0</v>
      </c>
      <c r="M59" s="56">
        <f t="shared" si="5"/>
        <v>0</v>
      </c>
      <c r="N59" s="56">
        <f t="shared" si="5"/>
        <v>0</v>
      </c>
      <c r="O59" s="267"/>
      <c r="P59" s="271"/>
    </row>
    <row r="60" spans="1:16" x14ac:dyDescent="0.25">
      <c r="A60" s="241"/>
      <c r="B60" s="241" t="s">
        <v>9</v>
      </c>
      <c r="C60" s="4">
        <f>C71</f>
        <v>124</v>
      </c>
      <c r="D60" s="4" t="str">
        <f>D71</f>
        <v>07</v>
      </c>
      <c r="E60" s="4" t="str">
        <f>E71</f>
        <v>01</v>
      </c>
      <c r="F60" s="4"/>
      <c r="G60" s="12"/>
      <c r="H60" s="9">
        <f>H71+H81</f>
        <v>263.2</v>
      </c>
      <c r="I60" s="9">
        <f t="shared" ref="I60:N60" si="6">I71+I81</f>
        <v>0</v>
      </c>
      <c r="J60" s="9">
        <f t="shared" si="6"/>
        <v>0</v>
      </c>
      <c r="K60" s="9">
        <f t="shared" si="6"/>
        <v>0</v>
      </c>
      <c r="L60" s="9">
        <f t="shared" si="6"/>
        <v>263.2</v>
      </c>
      <c r="M60" s="9">
        <f t="shared" si="6"/>
        <v>0</v>
      </c>
      <c r="N60" s="9">
        <f t="shared" si="6"/>
        <v>0</v>
      </c>
      <c r="O60" s="268"/>
      <c r="P60" s="272"/>
    </row>
    <row r="61" spans="1:16" x14ac:dyDescent="0.25">
      <c r="A61" s="241"/>
      <c r="B61" s="269"/>
      <c r="C61" s="54">
        <v>136</v>
      </c>
      <c r="D61" s="54"/>
      <c r="E61" s="54"/>
      <c r="F61" s="54"/>
      <c r="G61" s="91"/>
      <c r="H61" s="56">
        <f t="shared" ref="H61:N61" si="7">H70+H82</f>
        <v>11616.6</v>
      </c>
      <c r="I61" s="56">
        <f t="shared" si="7"/>
        <v>0</v>
      </c>
      <c r="J61" s="56">
        <f t="shared" si="7"/>
        <v>0</v>
      </c>
      <c r="K61" s="56">
        <f t="shared" si="7"/>
        <v>6237.8</v>
      </c>
      <c r="L61" s="56">
        <f t="shared" si="7"/>
        <v>5378.7999999999993</v>
      </c>
      <c r="M61" s="56">
        <f t="shared" si="7"/>
        <v>13780</v>
      </c>
      <c r="N61" s="56">
        <f t="shared" si="7"/>
        <v>13780</v>
      </c>
      <c r="O61" s="267"/>
      <c r="P61" s="271"/>
    </row>
    <row r="62" spans="1:16" x14ac:dyDescent="0.25">
      <c r="A62" s="241"/>
      <c r="B62" s="115" t="s">
        <v>10</v>
      </c>
      <c r="C62" s="54"/>
      <c r="D62" s="55"/>
      <c r="E62" s="55"/>
      <c r="F62" s="55"/>
      <c r="G62" s="91"/>
      <c r="H62" s="56">
        <f t="shared" ref="H62:N62" si="8">H72+H83</f>
        <v>0</v>
      </c>
      <c r="I62" s="56">
        <f t="shared" si="8"/>
        <v>0</v>
      </c>
      <c r="J62" s="56">
        <f t="shared" si="8"/>
        <v>0</v>
      </c>
      <c r="K62" s="56">
        <f t="shared" si="8"/>
        <v>0</v>
      </c>
      <c r="L62" s="56">
        <f t="shared" si="8"/>
        <v>0</v>
      </c>
      <c r="M62" s="56">
        <f t="shared" si="8"/>
        <v>0</v>
      </c>
      <c r="N62" s="56">
        <f t="shared" si="8"/>
        <v>0</v>
      </c>
      <c r="O62" s="267"/>
      <c r="P62" s="273"/>
    </row>
    <row r="63" spans="1:16" x14ac:dyDescent="0.25">
      <c r="A63" s="241" t="s">
        <v>151</v>
      </c>
      <c r="B63" s="71" t="s">
        <v>197</v>
      </c>
      <c r="C63" s="4"/>
      <c r="D63" s="5"/>
      <c r="E63" s="5"/>
      <c r="F63" s="5"/>
      <c r="G63" s="12"/>
      <c r="H63" s="56">
        <v>320</v>
      </c>
      <c r="I63" s="56">
        <v>0</v>
      </c>
      <c r="J63" s="56">
        <v>0</v>
      </c>
      <c r="K63" s="56">
        <v>0</v>
      </c>
      <c r="L63" s="56">
        <v>320</v>
      </c>
      <c r="M63" s="56">
        <v>0</v>
      </c>
      <c r="N63" s="56">
        <v>0</v>
      </c>
      <c r="O63" s="268" t="s">
        <v>347</v>
      </c>
      <c r="P63" s="242" t="s">
        <v>570</v>
      </c>
    </row>
    <row r="64" spans="1:16" ht="26.4" x14ac:dyDescent="0.25">
      <c r="A64" s="241"/>
      <c r="B64" s="71" t="s">
        <v>6</v>
      </c>
      <c r="C64" s="4"/>
      <c r="D64" s="5"/>
      <c r="E64" s="5"/>
      <c r="F64" s="5"/>
      <c r="G64" s="12"/>
      <c r="H64" s="56">
        <f>ROUND(H65/H63,1)</f>
        <v>630.70000000000005</v>
      </c>
      <c r="I64" s="56" t="s">
        <v>229</v>
      </c>
      <c r="J64" s="56" t="s">
        <v>229</v>
      </c>
      <c r="K64" s="56" t="s">
        <v>229</v>
      </c>
      <c r="L64" s="56" t="s">
        <v>229</v>
      </c>
      <c r="M64" s="56">
        <v>0</v>
      </c>
      <c r="N64" s="56">
        <v>0</v>
      </c>
      <c r="O64" s="268"/>
      <c r="P64" s="243"/>
    </row>
    <row r="65" spans="1:16" x14ac:dyDescent="0.25">
      <c r="A65" s="241"/>
      <c r="B65" s="71" t="s">
        <v>75</v>
      </c>
      <c r="C65" s="4"/>
      <c r="D65" s="5"/>
      <c r="E65" s="5"/>
      <c r="F65" s="5"/>
      <c r="G65" s="12"/>
      <c r="H65" s="56">
        <f t="shared" ref="H65:N65" si="9">SUM(H66:H72)</f>
        <v>201810.05921000001</v>
      </c>
      <c r="I65" s="56">
        <f t="shared" si="9"/>
        <v>207.09299999999999</v>
      </c>
      <c r="J65" s="56">
        <f t="shared" si="9"/>
        <v>73833.743210000001</v>
      </c>
      <c r="K65" s="56">
        <f t="shared" si="9"/>
        <v>119503.265</v>
      </c>
      <c r="L65" s="56">
        <f t="shared" si="9"/>
        <v>8265.9580000000005</v>
      </c>
      <c r="M65" s="56">
        <f t="shared" si="9"/>
        <v>0</v>
      </c>
      <c r="N65" s="56">
        <f t="shared" si="9"/>
        <v>0</v>
      </c>
      <c r="O65" s="268"/>
      <c r="P65" s="243"/>
    </row>
    <row r="66" spans="1:16" x14ac:dyDescent="0.25">
      <c r="A66" s="241"/>
      <c r="B66" s="241" t="s">
        <v>7</v>
      </c>
      <c r="C66" s="4">
        <v>124</v>
      </c>
      <c r="D66" s="6" t="s">
        <v>233</v>
      </c>
      <c r="E66" s="5" t="s">
        <v>232</v>
      </c>
      <c r="F66" s="6" t="s">
        <v>277</v>
      </c>
      <c r="G66" s="13" t="s">
        <v>50</v>
      </c>
      <c r="H66" s="9">
        <f>I66+J66+K66+L66</f>
        <v>75262.000209999998</v>
      </c>
      <c r="I66" s="9">
        <v>207.09299999999999</v>
      </c>
      <c r="J66" s="9">
        <v>26588.643209999998</v>
      </c>
      <c r="K66" s="9">
        <v>48076.106</v>
      </c>
      <c r="L66" s="9">
        <v>390.15800000000002</v>
      </c>
      <c r="M66" s="9">
        <v>0</v>
      </c>
      <c r="N66" s="9">
        <v>0</v>
      </c>
      <c r="O66" s="268"/>
      <c r="P66" s="243"/>
    </row>
    <row r="67" spans="1:16" x14ac:dyDescent="0.25">
      <c r="A67" s="241"/>
      <c r="B67" s="241"/>
      <c r="C67" s="4">
        <v>124</v>
      </c>
      <c r="D67" s="6" t="s">
        <v>233</v>
      </c>
      <c r="E67" s="5" t="s">
        <v>232</v>
      </c>
      <c r="F67" s="6" t="s">
        <v>279</v>
      </c>
      <c r="G67" s="13" t="s">
        <v>243</v>
      </c>
      <c r="H67" s="9">
        <f>I67+J67+K67+L67</f>
        <v>5000</v>
      </c>
      <c r="I67" s="9">
        <v>0</v>
      </c>
      <c r="J67" s="9">
        <v>0</v>
      </c>
      <c r="K67" s="9">
        <v>0</v>
      </c>
      <c r="L67" s="9">
        <v>5000</v>
      </c>
      <c r="M67" s="9">
        <v>0</v>
      </c>
      <c r="N67" s="9">
        <v>0</v>
      </c>
      <c r="O67" s="268"/>
      <c r="P67" s="243"/>
    </row>
    <row r="68" spans="1:16" ht="12.75" customHeight="1" x14ac:dyDescent="0.25">
      <c r="A68" s="274"/>
      <c r="B68" s="241"/>
      <c r="C68" s="4">
        <v>136</v>
      </c>
      <c r="D68" s="6" t="s">
        <v>233</v>
      </c>
      <c r="E68" s="5" t="s">
        <v>232</v>
      </c>
      <c r="F68" s="6" t="s">
        <v>281</v>
      </c>
      <c r="G68" s="13" t="s">
        <v>49</v>
      </c>
      <c r="H68" s="56">
        <f>I68+J68+K68+L68</f>
        <v>118672.25899999999</v>
      </c>
      <c r="I68" s="56">
        <v>0</v>
      </c>
      <c r="J68" s="56">
        <v>47245.1</v>
      </c>
      <c r="K68" s="56">
        <v>71427.159</v>
      </c>
      <c r="L68" s="56">
        <v>0</v>
      </c>
      <c r="M68" s="56">
        <v>0</v>
      </c>
      <c r="N68" s="56">
        <v>0</v>
      </c>
      <c r="O68" s="268"/>
      <c r="P68" s="243"/>
    </row>
    <row r="69" spans="1:16" x14ac:dyDescent="0.25">
      <c r="A69" s="241"/>
      <c r="B69" s="70" t="s">
        <v>14</v>
      </c>
      <c r="C69" s="4"/>
      <c r="D69" s="6"/>
      <c r="E69" s="5"/>
      <c r="F69" s="6"/>
      <c r="G69" s="13"/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268"/>
      <c r="P69" s="243"/>
    </row>
    <row r="70" spans="1:16" x14ac:dyDescent="0.25">
      <c r="A70" s="274"/>
      <c r="B70" s="241" t="s">
        <v>9</v>
      </c>
      <c r="C70" s="4">
        <v>136</v>
      </c>
      <c r="D70" s="5" t="s">
        <v>233</v>
      </c>
      <c r="E70" s="5" t="s">
        <v>232</v>
      </c>
      <c r="F70" s="6"/>
      <c r="G70" s="12"/>
      <c r="H70" s="56">
        <f>I70+J70+K70+L70</f>
        <v>2612.6</v>
      </c>
      <c r="I70" s="56">
        <v>0</v>
      </c>
      <c r="J70" s="56">
        <v>0</v>
      </c>
      <c r="K70" s="56">
        <v>0</v>
      </c>
      <c r="L70" s="56">
        <v>2612.6</v>
      </c>
      <c r="M70" s="56">
        <v>0</v>
      </c>
      <c r="N70" s="56">
        <v>0</v>
      </c>
      <c r="O70" s="268"/>
      <c r="P70" s="243"/>
    </row>
    <row r="71" spans="1:16" ht="12.75" customHeight="1" x14ac:dyDescent="0.25">
      <c r="A71" s="241"/>
      <c r="B71" s="241"/>
      <c r="C71" s="4">
        <v>124</v>
      </c>
      <c r="D71" s="5" t="s">
        <v>233</v>
      </c>
      <c r="E71" s="5" t="s">
        <v>232</v>
      </c>
      <c r="F71" s="5"/>
      <c r="G71" s="12"/>
      <c r="H71" s="9">
        <f>I71+J71+K71+L71</f>
        <v>263.2</v>
      </c>
      <c r="I71" s="9">
        <v>0</v>
      </c>
      <c r="J71" s="9">
        <v>0</v>
      </c>
      <c r="K71" s="9">
        <v>0</v>
      </c>
      <c r="L71" s="9">
        <v>263.2</v>
      </c>
      <c r="M71" s="9">
        <v>0</v>
      </c>
      <c r="N71" s="9">
        <v>0</v>
      </c>
      <c r="O71" s="268"/>
      <c r="P71" s="243"/>
    </row>
    <row r="72" spans="1:16" ht="78.75" customHeight="1" x14ac:dyDescent="0.25">
      <c r="A72" s="241"/>
      <c r="B72" s="71" t="s">
        <v>10</v>
      </c>
      <c r="C72" s="4"/>
      <c r="D72" s="5"/>
      <c r="E72" s="5"/>
      <c r="F72" s="5"/>
      <c r="G72" s="12"/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268"/>
      <c r="P72" s="244"/>
    </row>
    <row r="73" spans="1:16" ht="12.75" customHeight="1" x14ac:dyDescent="0.25">
      <c r="A73" s="241" t="s">
        <v>187</v>
      </c>
      <c r="B73" s="196" t="s">
        <v>197</v>
      </c>
      <c r="C73" s="4"/>
      <c r="D73" s="5"/>
      <c r="E73" s="5"/>
      <c r="F73" s="5"/>
      <c r="G73" s="12"/>
      <c r="H73" s="56">
        <v>2147</v>
      </c>
      <c r="I73" s="56">
        <v>0</v>
      </c>
      <c r="J73" s="56">
        <v>0</v>
      </c>
      <c r="K73" s="56">
        <v>0</v>
      </c>
      <c r="L73" s="56">
        <v>2147</v>
      </c>
      <c r="M73" s="56">
        <v>1625</v>
      </c>
      <c r="N73" s="56">
        <v>1625</v>
      </c>
      <c r="O73" s="268" t="s">
        <v>643</v>
      </c>
      <c r="P73" s="245" t="s">
        <v>427</v>
      </c>
    </row>
    <row r="74" spans="1:16" ht="26.4" x14ac:dyDescent="0.25">
      <c r="A74" s="241"/>
      <c r="B74" s="196" t="s">
        <v>6</v>
      </c>
      <c r="C74" s="4"/>
      <c r="D74" s="5"/>
      <c r="E74" s="5"/>
      <c r="F74" s="5"/>
      <c r="G74" s="12"/>
      <c r="H74" s="56">
        <f>H75/H73</f>
        <v>161.80079180251514</v>
      </c>
      <c r="I74" s="56" t="s">
        <v>229</v>
      </c>
      <c r="J74" s="56" t="s">
        <v>229</v>
      </c>
      <c r="K74" s="56" t="s">
        <v>229</v>
      </c>
      <c r="L74" s="56" t="s">
        <v>229</v>
      </c>
      <c r="M74" s="56">
        <f>ROUND(M75/M73,1)</f>
        <v>208.8</v>
      </c>
      <c r="N74" s="56">
        <f>ROUND(N75/N73,1)</f>
        <v>208.8</v>
      </c>
      <c r="O74" s="268"/>
      <c r="P74" s="246"/>
    </row>
    <row r="75" spans="1:16" x14ac:dyDescent="0.25">
      <c r="A75" s="241"/>
      <c r="B75" s="196" t="s">
        <v>75</v>
      </c>
      <c r="C75" s="4"/>
      <c r="D75" s="5"/>
      <c r="E75" s="5"/>
      <c r="F75" s="5"/>
      <c r="G75" s="12"/>
      <c r="H75" s="56">
        <f t="shared" ref="H75:N75" si="10">SUM(H76:H83)</f>
        <v>347386.3</v>
      </c>
      <c r="I75" s="56">
        <f t="shared" si="10"/>
        <v>0</v>
      </c>
      <c r="J75" s="56">
        <f t="shared" si="10"/>
        <v>0</v>
      </c>
      <c r="K75" s="56">
        <f t="shared" si="10"/>
        <v>195920.59999999998</v>
      </c>
      <c r="L75" s="56">
        <f t="shared" si="10"/>
        <v>151465.70000000001</v>
      </c>
      <c r="M75" s="56">
        <f t="shared" si="10"/>
        <v>339380</v>
      </c>
      <c r="N75" s="56">
        <f t="shared" si="10"/>
        <v>339380</v>
      </c>
      <c r="O75" s="268"/>
      <c r="P75" s="246"/>
    </row>
    <row r="76" spans="1:16" ht="13.35" hidden="1" customHeight="1" x14ac:dyDescent="0.25">
      <c r="A76" s="241"/>
      <c r="B76" s="238" t="s">
        <v>7</v>
      </c>
      <c r="C76" s="4">
        <v>124</v>
      </c>
      <c r="D76" s="5" t="s">
        <v>233</v>
      </c>
      <c r="E76" s="5" t="s">
        <v>232</v>
      </c>
      <c r="F76" s="6" t="s">
        <v>118</v>
      </c>
      <c r="G76" s="13" t="s">
        <v>50</v>
      </c>
      <c r="H76" s="9">
        <f t="shared" ref="H76:H82" si="11">I76+J76+K76+L76</f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268"/>
      <c r="P76" s="243"/>
    </row>
    <row r="77" spans="1:16" ht="13.35" hidden="1" customHeight="1" x14ac:dyDescent="0.25">
      <c r="A77" s="241"/>
      <c r="B77" s="239"/>
      <c r="C77" s="4">
        <v>124</v>
      </c>
      <c r="D77" s="5" t="s">
        <v>233</v>
      </c>
      <c r="E77" s="5" t="s">
        <v>232</v>
      </c>
      <c r="F77" s="6" t="s">
        <v>183</v>
      </c>
      <c r="G77" s="13" t="s">
        <v>50</v>
      </c>
      <c r="H77" s="9">
        <f t="shared" si="11"/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268"/>
      <c r="P77" s="243"/>
    </row>
    <row r="78" spans="1:16" ht="13.35" customHeight="1" x14ac:dyDescent="0.25">
      <c r="A78" s="241"/>
      <c r="B78" s="239"/>
      <c r="C78" s="4">
        <v>136</v>
      </c>
      <c r="D78" s="5" t="s">
        <v>233</v>
      </c>
      <c r="E78" s="5" t="s">
        <v>232</v>
      </c>
      <c r="F78" s="6" t="s">
        <v>281</v>
      </c>
      <c r="G78" s="13" t="s">
        <v>48</v>
      </c>
      <c r="H78" s="56">
        <f t="shared" si="11"/>
        <v>288382.3</v>
      </c>
      <c r="I78" s="56">
        <v>0</v>
      </c>
      <c r="J78" s="56">
        <v>0</v>
      </c>
      <c r="K78" s="56">
        <v>189682.8</v>
      </c>
      <c r="L78" s="56">
        <v>98699.5</v>
      </c>
      <c r="M78" s="9">
        <v>275600</v>
      </c>
      <c r="N78" s="56">
        <v>275600</v>
      </c>
      <c r="O78" s="268"/>
      <c r="P78" s="246"/>
    </row>
    <row r="79" spans="1:16" x14ac:dyDescent="0.25">
      <c r="A79" s="241"/>
      <c r="B79" s="240"/>
      <c r="C79" s="4">
        <v>136</v>
      </c>
      <c r="D79" s="5" t="s">
        <v>233</v>
      </c>
      <c r="E79" s="5" t="s">
        <v>232</v>
      </c>
      <c r="F79" s="6" t="s">
        <v>296</v>
      </c>
      <c r="G79" s="13" t="s">
        <v>297</v>
      </c>
      <c r="H79" s="56">
        <f t="shared" si="11"/>
        <v>50000</v>
      </c>
      <c r="I79" s="56">
        <v>0</v>
      </c>
      <c r="J79" s="56">
        <v>0</v>
      </c>
      <c r="K79" s="56">
        <v>0</v>
      </c>
      <c r="L79" s="56">
        <v>50000</v>
      </c>
      <c r="M79" s="9">
        <v>50000</v>
      </c>
      <c r="N79" s="56">
        <v>50000</v>
      </c>
      <c r="O79" s="268"/>
      <c r="P79" s="246"/>
    </row>
    <row r="80" spans="1:16" x14ac:dyDescent="0.25">
      <c r="A80" s="241"/>
      <c r="B80" s="196" t="s">
        <v>8</v>
      </c>
      <c r="C80" s="4"/>
      <c r="D80" s="5"/>
      <c r="E80" s="5"/>
      <c r="F80" s="5"/>
      <c r="G80" s="12"/>
      <c r="H80" s="56">
        <f t="shared" si="11"/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268"/>
      <c r="P80" s="246"/>
    </row>
    <row r="81" spans="1:16" hidden="1" x14ac:dyDescent="0.25">
      <c r="A81" s="241"/>
      <c r="B81" s="238" t="s">
        <v>9</v>
      </c>
      <c r="C81" s="4"/>
      <c r="D81" s="5"/>
      <c r="E81" s="5"/>
      <c r="F81" s="5"/>
      <c r="G81" s="12"/>
      <c r="H81" s="56">
        <f t="shared" si="11"/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268"/>
      <c r="P81" s="246"/>
    </row>
    <row r="82" spans="1:16" x14ac:dyDescent="0.25">
      <c r="A82" s="241"/>
      <c r="B82" s="240"/>
      <c r="C82" s="4">
        <v>136</v>
      </c>
      <c r="D82" s="5" t="s">
        <v>233</v>
      </c>
      <c r="E82" s="5" t="s">
        <v>232</v>
      </c>
      <c r="F82" s="5"/>
      <c r="G82" s="12"/>
      <c r="H82" s="56">
        <f t="shared" si="11"/>
        <v>9004</v>
      </c>
      <c r="I82" s="56">
        <v>0</v>
      </c>
      <c r="J82" s="56">
        <v>0</v>
      </c>
      <c r="K82" s="56">
        <v>6237.8</v>
      </c>
      <c r="L82" s="56">
        <f>9004-K82</f>
        <v>2766.2</v>
      </c>
      <c r="M82" s="56">
        <v>13780</v>
      </c>
      <c r="N82" s="56">
        <v>13780</v>
      </c>
      <c r="O82" s="268"/>
      <c r="P82" s="246"/>
    </row>
    <row r="83" spans="1:16" x14ac:dyDescent="0.25">
      <c r="A83" s="241"/>
      <c r="B83" s="196" t="s">
        <v>10</v>
      </c>
      <c r="C83" s="4"/>
      <c r="D83" s="5"/>
      <c r="E83" s="5"/>
      <c r="F83" s="5"/>
      <c r="G83" s="12"/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268"/>
      <c r="P83" s="247"/>
    </row>
    <row r="84" spans="1:16" x14ac:dyDescent="0.25">
      <c r="A84" s="238" t="s">
        <v>342</v>
      </c>
      <c r="B84" s="196" t="s">
        <v>197</v>
      </c>
      <c r="C84" s="4"/>
      <c r="D84" s="5"/>
      <c r="E84" s="5"/>
      <c r="F84" s="5"/>
      <c r="G84" s="12"/>
      <c r="H84" s="11">
        <v>2375</v>
      </c>
      <c r="I84" s="9">
        <v>0</v>
      </c>
      <c r="J84" s="9">
        <v>0</v>
      </c>
      <c r="K84" s="9">
        <v>0</v>
      </c>
      <c r="L84" s="11">
        <v>2375</v>
      </c>
      <c r="M84" s="11">
        <v>3570</v>
      </c>
      <c r="N84" s="11">
        <v>1330</v>
      </c>
      <c r="O84" s="242" t="s">
        <v>347</v>
      </c>
      <c r="P84" s="242" t="s">
        <v>340</v>
      </c>
    </row>
    <row r="85" spans="1:16" ht="27.6" customHeight="1" x14ac:dyDescent="0.25">
      <c r="A85" s="239"/>
      <c r="B85" s="196" t="s">
        <v>6</v>
      </c>
      <c r="C85" s="4"/>
      <c r="D85" s="5"/>
      <c r="E85" s="5"/>
      <c r="F85" s="5"/>
      <c r="G85" s="12"/>
      <c r="H85" s="9">
        <f>H86/H84</f>
        <v>1588.1962009642107</v>
      </c>
      <c r="I85" s="9" t="s">
        <v>229</v>
      </c>
      <c r="J85" s="9" t="s">
        <v>229</v>
      </c>
      <c r="K85" s="9" t="s">
        <v>229</v>
      </c>
      <c r="L85" s="9" t="s">
        <v>229</v>
      </c>
      <c r="M85" s="9">
        <f>M86/M84</f>
        <v>688.885574229692</v>
      </c>
      <c r="N85" s="9">
        <f>N86/N84</f>
        <v>759.95060150375946</v>
      </c>
      <c r="O85" s="243"/>
      <c r="P85" s="243"/>
    </row>
    <row r="86" spans="1:16" x14ac:dyDescent="0.25">
      <c r="A86" s="239"/>
      <c r="B86" s="196" t="s">
        <v>75</v>
      </c>
      <c r="C86" s="4"/>
      <c r="D86" s="5"/>
      <c r="E86" s="5"/>
      <c r="F86" s="111">
        <f>H86-'[1]ГП Образование (!)'!$H$83</f>
        <v>-214842.92270999914</v>
      </c>
      <c r="G86" s="12"/>
      <c r="H86" s="9">
        <f t="shared" ref="H86:N86" si="12">SUM(H87:H104)</f>
        <v>3771965.9772900003</v>
      </c>
      <c r="I86" s="9">
        <f t="shared" si="12"/>
        <v>129815.8072</v>
      </c>
      <c r="J86" s="9">
        <f t="shared" si="12"/>
        <v>668538.0300899999</v>
      </c>
      <c r="K86" s="9">
        <f t="shared" si="12"/>
        <v>1143390.2000000002</v>
      </c>
      <c r="L86" s="9">
        <f t="shared" si="12"/>
        <v>1830221.9400000004</v>
      </c>
      <c r="M86" s="9">
        <f t="shared" si="12"/>
        <v>2459321.5000000005</v>
      </c>
      <c r="N86" s="9">
        <f t="shared" si="12"/>
        <v>1010734.3</v>
      </c>
      <c r="O86" s="243"/>
      <c r="P86" s="243"/>
    </row>
    <row r="87" spans="1:16" ht="13.35" customHeight="1" x14ac:dyDescent="0.25">
      <c r="A87" s="239"/>
      <c r="B87" s="238" t="s">
        <v>7</v>
      </c>
      <c r="C87" s="4">
        <f t="shared" ref="C87:G93" si="13">C108</f>
        <v>124</v>
      </c>
      <c r="D87" s="4" t="str">
        <f t="shared" si="13"/>
        <v>07</v>
      </c>
      <c r="E87" s="4" t="str">
        <f t="shared" si="13"/>
        <v>01</v>
      </c>
      <c r="F87" s="4" t="str">
        <f t="shared" si="13"/>
        <v>071P203420</v>
      </c>
      <c r="G87" s="12" t="str">
        <f t="shared" si="13"/>
        <v>414</v>
      </c>
      <c r="H87" s="9">
        <f t="shared" ref="H87:H92" si="14">H108</f>
        <v>680248.57470999996</v>
      </c>
      <c r="I87" s="9">
        <f t="shared" ref="I87:N87" si="15">I108</f>
        <v>129815.8072</v>
      </c>
      <c r="J87" s="9">
        <f t="shared" si="15"/>
        <v>145960.46750999999</v>
      </c>
      <c r="K87" s="9">
        <f t="shared" si="15"/>
        <v>244625.3</v>
      </c>
      <c r="L87" s="9">
        <f t="shared" si="15"/>
        <v>159847</v>
      </c>
      <c r="M87" s="9">
        <f t="shared" si="15"/>
        <v>689649.1</v>
      </c>
      <c r="N87" s="9">
        <f t="shared" si="15"/>
        <v>214946.6</v>
      </c>
      <c r="O87" s="243"/>
      <c r="P87" s="243"/>
    </row>
    <row r="88" spans="1:16" ht="13.35" customHeight="1" x14ac:dyDescent="0.25">
      <c r="A88" s="239"/>
      <c r="B88" s="239"/>
      <c r="C88" s="4">
        <f t="shared" si="13"/>
        <v>124</v>
      </c>
      <c r="D88" s="4" t="str">
        <f t="shared" si="13"/>
        <v>07</v>
      </c>
      <c r="E88" s="4" t="str">
        <f t="shared" si="13"/>
        <v>01</v>
      </c>
      <c r="F88" s="4" t="str">
        <f t="shared" si="13"/>
        <v>071P251591</v>
      </c>
      <c r="G88" s="12" t="str">
        <f t="shared" si="13"/>
        <v>414</v>
      </c>
      <c r="H88" s="9">
        <f t="shared" si="14"/>
        <v>77569.579579999991</v>
      </c>
      <c r="I88" s="9">
        <f t="shared" ref="I88:N88" si="16">I109</f>
        <v>0</v>
      </c>
      <c r="J88" s="9">
        <f t="shared" si="16"/>
        <v>64757.679580000004</v>
      </c>
      <c r="K88" s="9">
        <f t="shared" si="16"/>
        <v>9143</v>
      </c>
      <c r="L88" s="9">
        <f t="shared" si="16"/>
        <v>3668.9</v>
      </c>
      <c r="M88" s="9">
        <f t="shared" si="16"/>
        <v>0</v>
      </c>
      <c r="N88" s="9">
        <f t="shared" si="16"/>
        <v>0</v>
      </c>
      <c r="O88" s="243"/>
      <c r="P88" s="243"/>
    </row>
    <row r="89" spans="1:16" ht="13.35" customHeight="1" x14ac:dyDescent="0.25">
      <c r="A89" s="239"/>
      <c r="B89" s="239"/>
      <c r="C89" s="4">
        <f t="shared" si="13"/>
        <v>124</v>
      </c>
      <c r="D89" s="4" t="str">
        <f t="shared" si="13"/>
        <v>07</v>
      </c>
      <c r="E89" s="4" t="str">
        <f t="shared" si="13"/>
        <v>01</v>
      </c>
      <c r="F89" s="4" t="str">
        <f t="shared" si="13"/>
        <v>071P252321</v>
      </c>
      <c r="G89" s="12" t="str">
        <f t="shared" si="13"/>
        <v>414</v>
      </c>
      <c r="H89" s="9">
        <f t="shared" si="14"/>
        <v>28433.9</v>
      </c>
      <c r="I89" s="9">
        <f t="shared" ref="I89:N89" si="17">I110</f>
        <v>0</v>
      </c>
      <c r="J89" s="9">
        <f t="shared" si="17"/>
        <v>0</v>
      </c>
      <c r="K89" s="9">
        <f t="shared" si="17"/>
        <v>5436.2</v>
      </c>
      <c r="L89" s="9">
        <f t="shared" si="17"/>
        <v>22997.7</v>
      </c>
      <c r="M89" s="9">
        <f t="shared" si="17"/>
        <v>18533.7</v>
      </c>
      <c r="N89" s="9">
        <f t="shared" si="17"/>
        <v>18786.8</v>
      </c>
      <c r="O89" s="243"/>
      <c r="P89" s="243"/>
    </row>
    <row r="90" spans="1:16" ht="13.35" customHeight="1" x14ac:dyDescent="0.25">
      <c r="A90" s="239"/>
      <c r="B90" s="239"/>
      <c r="C90" s="4">
        <f t="shared" si="13"/>
        <v>124</v>
      </c>
      <c r="D90" s="4" t="str">
        <f t="shared" si="13"/>
        <v>07</v>
      </c>
      <c r="E90" s="4" t="str">
        <f t="shared" si="13"/>
        <v>01</v>
      </c>
      <c r="F90" s="4" t="str">
        <f t="shared" si="13"/>
        <v>071P252322</v>
      </c>
      <c r="G90" s="12" t="str">
        <f t="shared" si="13"/>
        <v>522</v>
      </c>
      <c r="H90" s="9">
        <f t="shared" si="14"/>
        <v>37594</v>
      </c>
      <c r="I90" s="9">
        <f t="shared" ref="I90:N90" si="18">I111</f>
        <v>0</v>
      </c>
      <c r="J90" s="9">
        <f t="shared" si="18"/>
        <v>0</v>
      </c>
      <c r="K90" s="9">
        <f t="shared" si="18"/>
        <v>12878.7</v>
      </c>
      <c r="L90" s="9">
        <f t="shared" si="18"/>
        <v>24715.3</v>
      </c>
      <c r="M90" s="9">
        <f t="shared" si="18"/>
        <v>26140.9</v>
      </c>
      <c r="N90" s="9">
        <f t="shared" si="18"/>
        <v>8877.4</v>
      </c>
      <c r="O90" s="243"/>
      <c r="P90" s="243"/>
    </row>
    <row r="91" spans="1:16" ht="13.35" customHeight="1" x14ac:dyDescent="0.25">
      <c r="A91" s="239"/>
      <c r="B91" s="239"/>
      <c r="C91" s="4">
        <f t="shared" si="13"/>
        <v>124</v>
      </c>
      <c r="D91" s="4" t="str">
        <f t="shared" si="13"/>
        <v>07</v>
      </c>
      <c r="E91" s="4" t="str">
        <f t="shared" si="13"/>
        <v>01</v>
      </c>
      <c r="F91" s="4" t="str">
        <f t="shared" si="13"/>
        <v>071P251592</v>
      </c>
      <c r="G91" s="12" t="str">
        <f t="shared" si="13"/>
        <v>522</v>
      </c>
      <c r="H91" s="9">
        <f t="shared" si="14"/>
        <v>62300.501250000001</v>
      </c>
      <c r="I91" s="9">
        <f t="shared" ref="I91:N91" si="19">I112</f>
        <v>0</v>
      </c>
      <c r="J91" s="9">
        <f t="shared" si="19"/>
        <v>48485.701249999998</v>
      </c>
      <c r="K91" s="9">
        <f t="shared" si="19"/>
        <v>2807.9</v>
      </c>
      <c r="L91" s="9">
        <f t="shared" si="19"/>
        <v>11006.9</v>
      </c>
      <c r="M91" s="9">
        <f t="shared" si="19"/>
        <v>0</v>
      </c>
      <c r="N91" s="9">
        <f t="shared" si="19"/>
        <v>0</v>
      </c>
      <c r="O91" s="243"/>
      <c r="P91" s="243"/>
    </row>
    <row r="92" spans="1:16" ht="12" customHeight="1" x14ac:dyDescent="0.25">
      <c r="A92" s="239"/>
      <c r="B92" s="239"/>
      <c r="C92" s="4">
        <f t="shared" si="13"/>
        <v>136</v>
      </c>
      <c r="D92" s="4" t="str">
        <f t="shared" si="13"/>
        <v>07</v>
      </c>
      <c r="E92" s="4" t="str">
        <f t="shared" si="13"/>
        <v>01</v>
      </c>
      <c r="F92" s="4" t="str">
        <f t="shared" si="13"/>
        <v>071P252322</v>
      </c>
      <c r="G92" s="12">
        <f t="shared" si="13"/>
        <v>522</v>
      </c>
      <c r="H92" s="9">
        <f t="shared" si="14"/>
        <v>4256.3</v>
      </c>
      <c r="I92" s="9">
        <f t="shared" ref="I92:N92" si="20">I113</f>
        <v>0</v>
      </c>
      <c r="J92" s="9">
        <f t="shared" si="20"/>
        <v>0</v>
      </c>
      <c r="K92" s="9">
        <f t="shared" si="20"/>
        <v>0</v>
      </c>
      <c r="L92" s="9">
        <f t="shared" si="20"/>
        <v>4256.3</v>
      </c>
      <c r="M92" s="9">
        <f t="shared" si="20"/>
        <v>0</v>
      </c>
      <c r="N92" s="9">
        <f t="shared" si="20"/>
        <v>0</v>
      </c>
      <c r="O92" s="243"/>
      <c r="P92" s="243"/>
    </row>
    <row r="93" spans="1:16" ht="12" customHeight="1" x14ac:dyDescent="0.25">
      <c r="A93" s="239"/>
      <c r="B93" s="239"/>
      <c r="C93" s="4">
        <f t="shared" si="13"/>
        <v>136</v>
      </c>
      <c r="D93" s="4" t="str">
        <f t="shared" si="13"/>
        <v>07</v>
      </c>
      <c r="E93" s="4" t="str">
        <f t="shared" si="13"/>
        <v>01</v>
      </c>
      <c r="F93" s="4" t="str">
        <f t="shared" si="13"/>
        <v>071P270490</v>
      </c>
      <c r="G93" s="12" t="str">
        <f t="shared" si="13"/>
        <v>522</v>
      </c>
      <c r="H93" s="9">
        <f>H114</f>
        <v>61036.4</v>
      </c>
      <c r="I93" s="9">
        <f t="shared" ref="I93:N93" si="21">I114</f>
        <v>0</v>
      </c>
      <c r="J93" s="9">
        <f t="shared" si="21"/>
        <v>0</v>
      </c>
      <c r="K93" s="9">
        <f t="shared" si="21"/>
        <v>0</v>
      </c>
      <c r="L93" s="9">
        <f t="shared" si="21"/>
        <v>61036.4</v>
      </c>
      <c r="M93" s="9">
        <f t="shared" si="21"/>
        <v>0</v>
      </c>
      <c r="N93" s="9">
        <f t="shared" si="21"/>
        <v>0</v>
      </c>
      <c r="O93" s="243"/>
      <c r="P93" s="243"/>
    </row>
    <row r="94" spans="1:16" ht="12" customHeight="1" x14ac:dyDescent="0.25">
      <c r="A94" s="239"/>
      <c r="B94" s="239"/>
      <c r="C94" s="4">
        <v>136</v>
      </c>
      <c r="D94" s="4" t="s">
        <v>233</v>
      </c>
      <c r="E94" s="4" t="s">
        <v>232</v>
      </c>
      <c r="F94" s="4" t="s">
        <v>658</v>
      </c>
      <c r="G94" s="12">
        <v>522</v>
      </c>
      <c r="H94" s="9">
        <f t="shared" ref="H94:N96" si="22">H115</f>
        <v>13327.74</v>
      </c>
      <c r="I94" s="9">
        <f t="shared" si="22"/>
        <v>0</v>
      </c>
      <c r="J94" s="9">
        <f t="shared" si="22"/>
        <v>0</v>
      </c>
      <c r="K94" s="9">
        <f t="shared" si="22"/>
        <v>0</v>
      </c>
      <c r="L94" s="9">
        <f t="shared" si="22"/>
        <v>13327.74</v>
      </c>
      <c r="M94" s="9">
        <f t="shared" si="22"/>
        <v>0</v>
      </c>
      <c r="N94" s="9">
        <f t="shared" si="22"/>
        <v>0</v>
      </c>
      <c r="O94" s="243"/>
      <c r="P94" s="243"/>
    </row>
    <row r="95" spans="1:16" x14ac:dyDescent="0.25">
      <c r="A95" s="239"/>
      <c r="B95" s="240"/>
      <c r="C95" s="4">
        <f t="shared" ref="C95:G100" si="23">C116</f>
        <v>124</v>
      </c>
      <c r="D95" s="4" t="str">
        <f t="shared" si="23"/>
        <v>07</v>
      </c>
      <c r="E95" s="4" t="str">
        <f t="shared" si="23"/>
        <v>01</v>
      </c>
      <c r="F95" s="4" t="str">
        <f t="shared" si="23"/>
        <v>071P270490</v>
      </c>
      <c r="G95" s="12">
        <f t="shared" si="23"/>
        <v>522</v>
      </c>
      <c r="H95" s="9">
        <f t="shared" si="22"/>
        <v>537330.64445000002</v>
      </c>
      <c r="I95" s="9">
        <f t="shared" ref="I95:N95" si="24">I116</f>
        <v>0</v>
      </c>
      <c r="J95" s="9">
        <f t="shared" si="24"/>
        <v>4.4450000000000003E-2</v>
      </c>
      <c r="K95" s="9">
        <f t="shared" si="24"/>
        <v>373278.9</v>
      </c>
      <c r="L95" s="9">
        <f t="shared" si="24"/>
        <v>164051.70000000001</v>
      </c>
      <c r="M95" s="9">
        <f t="shared" si="24"/>
        <v>637216.80000000005</v>
      </c>
      <c r="N95" s="9">
        <f t="shared" si="24"/>
        <v>100920.6</v>
      </c>
      <c r="O95" s="243"/>
      <c r="P95" s="243"/>
    </row>
    <row r="96" spans="1:16" x14ac:dyDescent="0.25">
      <c r="A96" s="239"/>
      <c r="B96" s="238" t="s">
        <v>8</v>
      </c>
      <c r="C96" s="4">
        <f t="shared" si="23"/>
        <v>124</v>
      </c>
      <c r="D96" s="4" t="str">
        <f t="shared" si="23"/>
        <v>07</v>
      </c>
      <c r="E96" s="4" t="str">
        <f t="shared" si="23"/>
        <v>01</v>
      </c>
      <c r="F96" s="4" t="str">
        <f t="shared" si="23"/>
        <v>071P251591</v>
      </c>
      <c r="G96" s="12" t="str">
        <f t="shared" si="23"/>
        <v>414</v>
      </c>
      <c r="H96" s="9">
        <f t="shared" si="22"/>
        <v>275019.60062000004</v>
      </c>
      <c r="I96" s="9">
        <f t="shared" ref="I96:N96" si="25">I117</f>
        <v>0</v>
      </c>
      <c r="J96" s="9">
        <f t="shared" si="25"/>
        <v>229595.50062000001</v>
      </c>
      <c r="K96" s="9">
        <f t="shared" si="25"/>
        <v>32416.1</v>
      </c>
      <c r="L96" s="9">
        <f t="shared" si="25"/>
        <v>13008</v>
      </c>
      <c r="M96" s="9">
        <f t="shared" si="25"/>
        <v>0</v>
      </c>
      <c r="N96" s="9">
        <f t="shared" si="25"/>
        <v>0</v>
      </c>
      <c r="O96" s="243"/>
      <c r="P96" s="243"/>
    </row>
    <row r="97" spans="1:16" x14ac:dyDescent="0.25">
      <c r="A97" s="239"/>
      <c r="B97" s="239"/>
      <c r="C97" s="4">
        <f t="shared" si="23"/>
        <v>124</v>
      </c>
      <c r="D97" s="4" t="str">
        <f t="shared" si="23"/>
        <v>07</v>
      </c>
      <c r="E97" s="4" t="str">
        <f t="shared" si="23"/>
        <v>01</v>
      </c>
      <c r="F97" s="4" t="str">
        <f t="shared" si="23"/>
        <v>071P252321</v>
      </c>
      <c r="G97" s="12" t="str">
        <f t="shared" si="23"/>
        <v>414</v>
      </c>
      <c r="H97" s="9">
        <f t="shared" ref="H97:H103" si="26">H118</f>
        <v>682412.70000000007</v>
      </c>
      <c r="I97" s="9">
        <f t="shared" ref="I97:N97" si="27">I118</f>
        <v>0</v>
      </c>
      <c r="J97" s="9">
        <f t="shared" si="27"/>
        <v>0</v>
      </c>
      <c r="K97" s="9">
        <f t="shared" si="27"/>
        <v>130468.8</v>
      </c>
      <c r="L97" s="9">
        <f t="shared" si="27"/>
        <v>551943.9</v>
      </c>
      <c r="M97" s="9">
        <f t="shared" si="27"/>
        <v>444809.1</v>
      </c>
      <c r="N97" s="9">
        <f t="shared" si="27"/>
        <v>450883.7</v>
      </c>
      <c r="O97" s="243"/>
      <c r="P97" s="243"/>
    </row>
    <row r="98" spans="1:16" x14ac:dyDescent="0.25">
      <c r="A98" s="239"/>
      <c r="B98" s="239"/>
      <c r="C98" s="4">
        <f t="shared" si="23"/>
        <v>124</v>
      </c>
      <c r="D98" s="4" t="str">
        <f t="shared" si="23"/>
        <v>07</v>
      </c>
      <c r="E98" s="4" t="str">
        <f t="shared" si="23"/>
        <v>01</v>
      </c>
      <c r="F98" s="4" t="str">
        <f t="shared" si="23"/>
        <v>071P252322</v>
      </c>
      <c r="G98" s="12" t="str">
        <f t="shared" si="23"/>
        <v>522</v>
      </c>
      <c r="H98" s="9">
        <f t="shared" si="26"/>
        <v>902258.20000000007</v>
      </c>
      <c r="I98" s="9">
        <f t="shared" ref="I98:N98" si="28">I119</f>
        <v>0</v>
      </c>
      <c r="J98" s="9">
        <f t="shared" si="28"/>
        <v>0</v>
      </c>
      <c r="K98" s="9">
        <f t="shared" si="28"/>
        <v>309090.90000000002</v>
      </c>
      <c r="L98" s="9">
        <f t="shared" si="28"/>
        <v>593167.30000000005</v>
      </c>
      <c r="M98" s="9">
        <f t="shared" si="28"/>
        <v>627382.30000000005</v>
      </c>
      <c r="N98" s="9">
        <f t="shared" si="28"/>
        <v>213058</v>
      </c>
      <c r="O98" s="243"/>
      <c r="P98" s="243"/>
    </row>
    <row r="99" spans="1:16" x14ac:dyDescent="0.25">
      <c r="A99" s="239"/>
      <c r="B99" s="239"/>
      <c r="C99" s="4">
        <f t="shared" si="23"/>
        <v>124</v>
      </c>
      <c r="D99" s="4" t="str">
        <f t="shared" si="23"/>
        <v>07</v>
      </c>
      <c r="E99" s="4" t="str">
        <f t="shared" si="23"/>
        <v>01</v>
      </c>
      <c r="F99" s="4" t="str">
        <f t="shared" si="23"/>
        <v>071P251592</v>
      </c>
      <c r="G99" s="12" t="str">
        <f t="shared" si="23"/>
        <v>522</v>
      </c>
      <c r="H99" s="9">
        <f t="shared" si="26"/>
        <v>220883.53668000002</v>
      </c>
      <c r="I99" s="9">
        <f t="shared" ref="I99:N99" si="29">I120</f>
        <v>0</v>
      </c>
      <c r="J99" s="9">
        <f t="shared" si="29"/>
        <v>171903.93668000001</v>
      </c>
      <c r="K99" s="9">
        <f t="shared" si="29"/>
        <v>9955.2999999999993</v>
      </c>
      <c r="L99" s="9">
        <f t="shared" si="29"/>
        <v>39024.300000000003</v>
      </c>
      <c r="M99" s="9">
        <f t="shared" si="29"/>
        <v>0</v>
      </c>
      <c r="N99" s="9">
        <f t="shared" si="29"/>
        <v>0</v>
      </c>
      <c r="O99" s="243"/>
      <c r="P99" s="243"/>
    </row>
    <row r="100" spans="1:16" x14ac:dyDescent="0.25">
      <c r="A100" s="239"/>
      <c r="B100" s="239"/>
      <c r="C100" s="4">
        <f t="shared" si="23"/>
        <v>136</v>
      </c>
      <c r="D100" s="4" t="str">
        <f t="shared" si="23"/>
        <v>07</v>
      </c>
      <c r="E100" s="4" t="str">
        <f t="shared" si="23"/>
        <v>01</v>
      </c>
      <c r="F100" s="4" t="str">
        <f t="shared" si="23"/>
        <v>071P252322</v>
      </c>
      <c r="G100" s="12">
        <f t="shared" si="23"/>
        <v>522</v>
      </c>
      <c r="H100" s="9">
        <f t="shared" si="26"/>
        <v>102150</v>
      </c>
      <c r="I100" s="9">
        <f t="shared" ref="I100:N100" si="30">I121</f>
        <v>0</v>
      </c>
      <c r="J100" s="9">
        <f t="shared" si="30"/>
        <v>0</v>
      </c>
      <c r="K100" s="9">
        <f t="shared" si="30"/>
        <v>0</v>
      </c>
      <c r="L100" s="9">
        <f t="shared" si="30"/>
        <v>102150</v>
      </c>
      <c r="M100" s="9">
        <f t="shared" si="30"/>
        <v>0</v>
      </c>
      <c r="N100" s="9">
        <f t="shared" si="30"/>
        <v>0</v>
      </c>
      <c r="O100" s="243"/>
      <c r="P100" s="243"/>
    </row>
    <row r="101" spans="1:16" x14ac:dyDescent="0.25">
      <c r="A101" s="239"/>
      <c r="B101" s="240"/>
      <c r="C101" s="4">
        <f>C122</f>
        <v>136</v>
      </c>
      <c r="D101" s="4" t="str">
        <f t="shared" ref="D101:G101" si="31">D122</f>
        <v>07</v>
      </c>
      <c r="E101" s="4" t="str">
        <f t="shared" si="31"/>
        <v>01</v>
      </c>
      <c r="F101" s="4" t="str">
        <f t="shared" si="31"/>
        <v>071P25159F</v>
      </c>
      <c r="G101" s="4">
        <f t="shared" si="31"/>
        <v>522</v>
      </c>
      <c r="H101" s="9">
        <f t="shared" si="26"/>
        <v>47245.1</v>
      </c>
      <c r="I101" s="9">
        <f t="shared" ref="I101:N101" si="32">I122</f>
        <v>0</v>
      </c>
      <c r="J101" s="9">
        <f t="shared" si="32"/>
        <v>0</v>
      </c>
      <c r="K101" s="9">
        <f t="shared" si="32"/>
        <v>0</v>
      </c>
      <c r="L101" s="9">
        <f t="shared" si="32"/>
        <v>47245.1</v>
      </c>
      <c r="M101" s="9">
        <f t="shared" si="32"/>
        <v>0</v>
      </c>
      <c r="N101" s="9">
        <f t="shared" si="32"/>
        <v>0</v>
      </c>
      <c r="O101" s="243"/>
      <c r="P101" s="243"/>
    </row>
    <row r="102" spans="1:16" x14ac:dyDescent="0.25">
      <c r="A102" s="239"/>
      <c r="B102" s="241" t="s">
        <v>9</v>
      </c>
      <c r="C102" s="4">
        <v>136</v>
      </c>
      <c r="D102" s="5" t="s">
        <v>233</v>
      </c>
      <c r="E102" s="5" t="s">
        <v>232</v>
      </c>
      <c r="F102" s="6"/>
      <c r="G102" s="12"/>
      <c r="H102" s="9">
        <f t="shared" si="26"/>
        <v>4960.3</v>
      </c>
      <c r="I102" s="9">
        <f t="shared" ref="I102:N102" si="33">I123</f>
        <v>0</v>
      </c>
      <c r="J102" s="9">
        <f t="shared" si="33"/>
        <v>0</v>
      </c>
      <c r="K102" s="9">
        <f t="shared" si="33"/>
        <v>0</v>
      </c>
      <c r="L102" s="9">
        <f t="shared" si="33"/>
        <v>4960.3</v>
      </c>
      <c r="M102" s="9">
        <f t="shared" si="33"/>
        <v>0</v>
      </c>
      <c r="N102" s="9">
        <f t="shared" si="33"/>
        <v>0</v>
      </c>
      <c r="O102" s="243"/>
      <c r="P102" s="243"/>
    </row>
    <row r="103" spans="1:16" x14ac:dyDescent="0.25">
      <c r="A103" s="239"/>
      <c r="B103" s="241"/>
      <c r="C103" s="4">
        <v>124</v>
      </c>
      <c r="D103" s="5" t="s">
        <v>233</v>
      </c>
      <c r="E103" s="5" t="s">
        <v>232</v>
      </c>
      <c r="F103" s="5"/>
      <c r="G103" s="12"/>
      <c r="H103" s="9">
        <f t="shared" si="26"/>
        <v>34938.9</v>
      </c>
      <c r="I103" s="9">
        <f t="shared" ref="I103:N103" si="34">I124</f>
        <v>0</v>
      </c>
      <c r="J103" s="9">
        <f t="shared" si="34"/>
        <v>7834.7</v>
      </c>
      <c r="K103" s="9">
        <f t="shared" si="34"/>
        <v>13289.1</v>
      </c>
      <c r="L103" s="9">
        <f t="shared" si="34"/>
        <v>13815.1</v>
      </c>
      <c r="M103" s="9">
        <f t="shared" si="34"/>
        <v>15589.6</v>
      </c>
      <c r="N103" s="9">
        <f t="shared" si="34"/>
        <v>3261.2</v>
      </c>
      <c r="O103" s="243"/>
      <c r="P103" s="243"/>
    </row>
    <row r="104" spans="1:16" x14ac:dyDescent="0.25">
      <c r="A104" s="240"/>
      <c r="B104" s="196" t="s">
        <v>10</v>
      </c>
      <c r="C104" s="4"/>
      <c r="D104" s="5"/>
      <c r="E104" s="5"/>
      <c r="F104" s="5"/>
      <c r="G104" s="12"/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244"/>
      <c r="P104" s="244"/>
    </row>
    <row r="105" spans="1:16" ht="19.5" customHeight="1" x14ac:dyDescent="0.25">
      <c r="A105" s="238" t="s">
        <v>343</v>
      </c>
      <c r="B105" s="196" t="str">
        <f>B73</f>
        <v xml:space="preserve">количество мест (ед.) </v>
      </c>
      <c r="C105" s="4"/>
      <c r="D105" s="5"/>
      <c r="E105" s="5"/>
      <c r="F105" s="5"/>
      <c r="G105" s="12"/>
      <c r="H105" s="9">
        <v>2375</v>
      </c>
      <c r="I105" s="9">
        <v>0</v>
      </c>
      <c r="J105" s="9">
        <v>0</v>
      </c>
      <c r="K105" s="9">
        <v>0</v>
      </c>
      <c r="L105" s="9">
        <v>2375</v>
      </c>
      <c r="M105" s="9">
        <v>3570</v>
      </c>
      <c r="N105" s="9">
        <v>1330</v>
      </c>
      <c r="O105" s="242" t="s">
        <v>347</v>
      </c>
      <c r="P105" s="242" t="s">
        <v>410</v>
      </c>
    </row>
    <row r="106" spans="1:16" ht="13.35" customHeight="1" x14ac:dyDescent="0.25">
      <c r="A106" s="239"/>
      <c r="B106" s="196" t="str">
        <f>B74</f>
        <v>Стоимость единицы (тыс. руб.)</v>
      </c>
      <c r="C106" s="4"/>
      <c r="D106" s="5"/>
      <c r="E106" s="5"/>
      <c r="F106" s="5"/>
      <c r="G106" s="12"/>
      <c r="H106" s="9">
        <f>H107/H105</f>
        <v>1588.1962009642107</v>
      </c>
      <c r="I106" s="9" t="s">
        <v>229</v>
      </c>
      <c r="J106" s="9" t="s">
        <v>229</v>
      </c>
      <c r="K106" s="9" t="s">
        <v>229</v>
      </c>
      <c r="L106" s="9" t="s">
        <v>229</v>
      </c>
      <c r="M106" s="9">
        <f>M107/M105</f>
        <v>688.885574229692</v>
      </c>
      <c r="N106" s="9">
        <f>N107/N105</f>
        <v>759.95060150375946</v>
      </c>
      <c r="O106" s="243"/>
      <c r="P106" s="243"/>
    </row>
    <row r="107" spans="1:16" ht="13.35" customHeight="1" x14ac:dyDescent="0.25">
      <c r="A107" s="239"/>
      <c r="B107" s="196" t="str">
        <f>B75</f>
        <v xml:space="preserve">Сумма затрат,  в том числе: </v>
      </c>
      <c r="C107" s="4"/>
      <c r="D107" s="5"/>
      <c r="E107" s="5"/>
      <c r="F107" s="5"/>
      <c r="G107" s="12"/>
      <c r="H107" s="9">
        <f>SUM(H108:H125)</f>
        <v>3771965.9772900003</v>
      </c>
      <c r="I107" s="9">
        <f t="shared" ref="I107:N107" si="35">SUM(I108:I125)</f>
        <v>129815.8072</v>
      </c>
      <c r="J107" s="9">
        <f t="shared" si="35"/>
        <v>668538.0300899999</v>
      </c>
      <c r="K107" s="9">
        <f t="shared" si="35"/>
        <v>1143390.2000000002</v>
      </c>
      <c r="L107" s="9">
        <f t="shared" si="35"/>
        <v>1830221.9400000004</v>
      </c>
      <c r="M107" s="9">
        <f>SUM(M108:M125)</f>
        <v>2459321.5000000005</v>
      </c>
      <c r="N107" s="9">
        <f t="shared" si="35"/>
        <v>1010734.3</v>
      </c>
      <c r="O107" s="243"/>
      <c r="P107" s="243"/>
    </row>
    <row r="108" spans="1:16" ht="13.35" customHeight="1" x14ac:dyDescent="0.25">
      <c r="A108" s="239"/>
      <c r="B108" s="238" t="str">
        <f>B76</f>
        <v xml:space="preserve">областной бюджет </v>
      </c>
      <c r="C108" s="4">
        <v>124</v>
      </c>
      <c r="D108" s="4" t="s">
        <v>233</v>
      </c>
      <c r="E108" s="4" t="s">
        <v>232</v>
      </c>
      <c r="F108" s="4" t="s">
        <v>309</v>
      </c>
      <c r="G108" s="12" t="s">
        <v>50</v>
      </c>
      <c r="H108" s="9">
        <f t="shared" ref="H108:H123" si="36">I108+J108+K108+L108</f>
        <v>680248.57470999996</v>
      </c>
      <c r="I108" s="9">
        <v>129815.8072</v>
      </c>
      <c r="J108" s="9">
        <v>145960.46750999999</v>
      </c>
      <c r="K108" s="9">
        <v>244625.3</v>
      </c>
      <c r="L108" s="9">
        <v>159847</v>
      </c>
      <c r="M108" s="9">
        <v>689649.1</v>
      </c>
      <c r="N108" s="9">
        <v>214946.6</v>
      </c>
      <c r="O108" s="243"/>
      <c r="P108" s="243"/>
    </row>
    <row r="109" spans="1:16" ht="13.35" customHeight="1" x14ac:dyDescent="0.25">
      <c r="A109" s="239"/>
      <c r="B109" s="239"/>
      <c r="C109" s="4">
        <v>124</v>
      </c>
      <c r="D109" s="4" t="s">
        <v>233</v>
      </c>
      <c r="E109" s="4" t="s">
        <v>232</v>
      </c>
      <c r="F109" s="4" t="s">
        <v>312</v>
      </c>
      <c r="G109" s="12" t="s">
        <v>50</v>
      </c>
      <c r="H109" s="9">
        <f t="shared" si="36"/>
        <v>77569.579579999991</v>
      </c>
      <c r="I109" s="9">
        <v>0</v>
      </c>
      <c r="J109" s="9">
        <v>64757.679580000004</v>
      </c>
      <c r="K109" s="9">
        <v>9143</v>
      </c>
      <c r="L109" s="9">
        <v>3668.9</v>
      </c>
      <c r="M109" s="9">
        <v>0</v>
      </c>
      <c r="N109" s="9">
        <v>0</v>
      </c>
      <c r="O109" s="243"/>
      <c r="P109" s="243"/>
    </row>
    <row r="110" spans="1:16" ht="13.35" customHeight="1" x14ac:dyDescent="0.25">
      <c r="A110" s="239"/>
      <c r="B110" s="239"/>
      <c r="C110" s="4">
        <v>124</v>
      </c>
      <c r="D110" s="4" t="s">
        <v>233</v>
      </c>
      <c r="E110" s="4" t="s">
        <v>232</v>
      </c>
      <c r="F110" s="4" t="s">
        <v>313</v>
      </c>
      <c r="G110" s="12" t="s">
        <v>50</v>
      </c>
      <c r="H110" s="9">
        <f t="shared" si="36"/>
        <v>28433.9</v>
      </c>
      <c r="I110" s="9">
        <v>0</v>
      </c>
      <c r="J110" s="9">
        <v>0</v>
      </c>
      <c r="K110" s="9">
        <v>5436.2</v>
      </c>
      <c r="L110" s="9">
        <v>22997.7</v>
      </c>
      <c r="M110" s="9">
        <v>18533.7</v>
      </c>
      <c r="N110" s="9">
        <v>18786.8</v>
      </c>
      <c r="O110" s="243"/>
      <c r="P110" s="243"/>
    </row>
    <row r="111" spans="1:16" ht="13.35" customHeight="1" x14ac:dyDescent="0.25">
      <c r="A111" s="239"/>
      <c r="B111" s="239"/>
      <c r="C111" s="4">
        <v>124</v>
      </c>
      <c r="D111" s="4" t="s">
        <v>233</v>
      </c>
      <c r="E111" s="4" t="s">
        <v>232</v>
      </c>
      <c r="F111" s="4" t="s">
        <v>307</v>
      </c>
      <c r="G111" s="12" t="s">
        <v>49</v>
      </c>
      <c r="H111" s="9">
        <f t="shared" si="36"/>
        <v>37594</v>
      </c>
      <c r="I111" s="9">
        <v>0</v>
      </c>
      <c r="J111" s="9">
        <v>0</v>
      </c>
      <c r="K111" s="9">
        <v>12878.7</v>
      </c>
      <c r="L111" s="9">
        <v>24715.3</v>
      </c>
      <c r="M111" s="9">
        <v>26140.9</v>
      </c>
      <c r="N111" s="9">
        <v>8877.4</v>
      </c>
      <c r="O111" s="243"/>
      <c r="P111" s="243"/>
    </row>
    <row r="112" spans="1:16" ht="13.35" customHeight="1" x14ac:dyDescent="0.25">
      <c r="A112" s="239"/>
      <c r="B112" s="239"/>
      <c r="C112" s="4">
        <v>124</v>
      </c>
      <c r="D112" s="4" t="s">
        <v>233</v>
      </c>
      <c r="E112" s="4" t="s">
        <v>232</v>
      </c>
      <c r="F112" s="4" t="s">
        <v>314</v>
      </c>
      <c r="G112" s="12" t="s">
        <v>49</v>
      </c>
      <c r="H112" s="9">
        <f t="shared" si="36"/>
        <v>62300.501250000001</v>
      </c>
      <c r="I112" s="9">
        <v>0</v>
      </c>
      <c r="J112" s="9">
        <v>48485.701249999998</v>
      </c>
      <c r="K112" s="9">
        <v>2807.9</v>
      </c>
      <c r="L112" s="9">
        <v>11006.9</v>
      </c>
      <c r="M112" s="9">
        <v>0</v>
      </c>
      <c r="N112" s="9">
        <v>0</v>
      </c>
      <c r="O112" s="243"/>
      <c r="P112" s="243"/>
    </row>
    <row r="113" spans="1:16" x14ac:dyDescent="0.25">
      <c r="A113" s="239"/>
      <c r="B113" s="239"/>
      <c r="C113" s="4">
        <v>136</v>
      </c>
      <c r="D113" s="4" t="s">
        <v>233</v>
      </c>
      <c r="E113" s="4" t="s">
        <v>232</v>
      </c>
      <c r="F113" s="4" t="s">
        <v>307</v>
      </c>
      <c r="G113" s="12">
        <v>522</v>
      </c>
      <c r="H113" s="9">
        <f t="shared" si="36"/>
        <v>4256.3</v>
      </c>
      <c r="I113" s="9">
        <v>0</v>
      </c>
      <c r="J113" s="9">
        <v>0</v>
      </c>
      <c r="K113" s="9">
        <v>0</v>
      </c>
      <c r="L113" s="9">
        <v>4256.3</v>
      </c>
      <c r="M113" s="9">
        <v>0</v>
      </c>
      <c r="N113" s="9">
        <v>0</v>
      </c>
      <c r="O113" s="243"/>
      <c r="P113" s="243"/>
    </row>
    <row r="114" spans="1:16" x14ac:dyDescent="0.25">
      <c r="A114" s="239"/>
      <c r="B114" s="239"/>
      <c r="C114" s="4">
        <v>136</v>
      </c>
      <c r="D114" s="4" t="s">
        <v>233</v>
      </c>
      <c r="E114" s="4" t="s">
        <v>232</v>
      </c>
      <c r="F114" s="4" t="s">
        <v>308</v>
      </c>
      <c r="G114" s="12" t="s">
        <v>49</v>
      </c>
      <c r="H114" s="9">
        <f t="shared" si="36"/>
        <v>61036.4</v>
      </c>
      <c r="I114" s="9">
        <v>0</v>
      </c>
      <c r="J114" s="9">
        <v>0</v>
      </c>
      <c r="K114" s="9">
        <v>0</v>
      </c>
      <c r="L114" s="9">
        <v>61036.4</v>
      </c>
      <c r="M114" s="9">
        <v>0</v>
      </c>
      <c r="N114" s="9">
        <v>0</v>
      </c>
      <c r="O114" s="243"/>
      <c r="P114" s="243"/>
    </row>
    <row r="115" spans="1:16" x14ac:dyDescent="0.25">
      <c r="A115" s="239"/>
      <c r="B115" s="239"/>
      <c r="C115" s="4">
        <v>136</v>
      </c>
      <c r="D115" s="4" t="s">
        <v>233</v>
      </c>
      <c r="E115" s="4" t="s">
        <v>232</v>
      </c>
      <c r="F115" s="4" t="s">
        <v>658</v>
      </c>
      <c r="G115" s="12">
        <v>522</v>
      </c>
      <c r="H115" s="9">
        <f t="shared" si="36"/>
        <v>13327.74</v>
      </c>
      <c r="I115" s="9">
        <v>0</v>
      </c>
      <c r="J115" s="9">
        <v>0</v>
      </c>
      <c r="K115" s="9">
        <v>0</v>
      </c>
      <c r="L115" s="9">
        <v>13327.74</v>
      </c>
      <c r="M115" s="9">
        <v>0</v>
      </c>
      <c r="N115" s="9">
        <v>0</v>
      </c>
      <c r="O115" s="243"/>
      <c r="P115" s="243"/>
    </row>
    <row r="116" spans="1:16" x14ac:dyDescent="0.25">
      <c r="A116" s="239"/>
      <c r="B116" s="240"/>
      <c r="C116" s="4">
        <v>124</v>
      </c>
      <c r="D116" s="4" t="s">
        <v>233</v>
      </c>
      <c r="E116" s="4" t="s">
        <v>232</v>
      </c>
      <c r="F116" s="4" t="s">
        <v>308</v>
      </c>
      <c r="G116" s="12">
        <v>522</v>
      </c>
      <c r="H116" s="9">
        <f t="shared" si="36"/>
        <v>537330.64445000002</v>
      </c>
      <c r="I116" s="9">
        <v>0</v>
      </c>
      <c r="J116" s="26">
        <v>4.4450000000000003E-2</v>
      </c>
      <c r="K116" s="9">
        <v>373278.9</v>
      </c>
      <c r="L116" s="9">
        <v>164051.70000000001</v>
      </c>
      <c r="M116" s="9">
        <v>637216.80000000005</v>
      </c>
      <c r="N116" s="9">
        <v>100920.6</v>
      </c>
      <c r="O116" s="243"/>
      <c r="P116" s="243"/>
    </row>
    <row r="117" spans="1:16" ht="13.35" customHeight="1" x14ac:dyDescent="0.25">
      <c r="A117" s="239"/>
      <c r="B117" s="238" t="str">
        <f>B80</f>
        <v xml:space="preserve">федеральный бюджет </v>
      </c>
      <c r="C117" s="4">
        <v>124</v>
      </c>
      <c r="D117" s="4" t="s">
        <v>233</v>
      </c>
      <c r="E117" s="4" t="s">
        <v>232</v>
      </c>
      <c r="F117" s="4" t="s">
        <v>312</v>
      </c>
      <c r="G117" s="12" t="s">
        <v>50</v>
      </c>
      <c r="H117" s="9">
        <f t="shared" si="36"/>
        <v>275019.60062000004</v>
      </c>
      <c r="I117" s="9">
        <v>0</v>
      </c>
      <c r="J117" s="9">
        <v>229595.50062000001</v>
      </c>
      <c r="K117" s="9">
        <v>32416.1</v>
      </c>
      <c r="L117" s="9">
        <v>13008</v>
      </c>
      <c r="M117" s="9">
        <v>0</v>
      </c>
      <c r="N117" s="9">
        <v>0</v>
      </c>
      <c r="O117" s="243"/>
      <c r="P117" s="243"/>
    </row>
    <row r="118" spans="1:16" ht="13.35" customHeight="1" x14ac:dyDescent="0.25">
      <c r="A118" s="239"/>
      <c r="B118" s="239"/>
      <c r="C118" s="4">
        <v>124</v>
      </c>
      <c r="D118" s="4" t="s">
        <v>233</v>
      </c>
      <c r="E118" s="4" t="s">
        <v>232</v>
      </c>
      <c r="F118" s="4" t="s">
        <v>313</v>
      </c>
      <c r="G118" s="12" t="s">
        <v>50</v>
      </c>
      <c r="H118" s="9">
        <f t="shared" si="36"/>
        <v>682412.70000000007</v>
      </c>
      <c r="I118" s="9">
        <v>0</v>
      </c>
      <c r="J118" s="9">
        <v>0</v>
      </c>
      <c r="K118" s="9">
        <v>130468.8</v>
      </c>
      <c r="L118" s="9">
        <v>551943.9</v>
      </c>
      <c r="M118" s="9">
        <v>444809.1</v>
      </c>
      <c r="N118" s="9">
        <v>450883.7</v>
      </c>
      <c r="O118" s="243"/>
      <c r="P118" s="243"/>
    </row>
    <row r="119" spans="1:16" ht="13.35" customHeight="1" x14ac:dyDescent="0.25">
      <c r="A119" s="239"/>
      <c r="B119" s="239"/>
      <c r="C119" s="4">
        <v>124</v>
      </c>
      <c r="D119" s="4" t="s">
        <v>233</v>
      </c>
      <c r="E119" s="4" t="s">
        <v>232</v>
      </c>
      <c r="F119" s="4" t="s">
        <v>307</v>
      </c>
      <c r="G119" s="12" t="s">
        <v>49</v>
      </c>
      <c r="H119" s="9">
        <f t="shared" si="36"/>
        <v>902258.20000000007</v>
      </c>
      <c r="I119" s="9">
        <v>0</v>
      </c>
      <c r="J119" s="9">
        <v>0</v>
      </c>
      <c r="K119" s="9">
        <v>309090.90000000002</v>
      </c>
      <c r="L119" s="9">
        <v>593167.30000000005</v>
      </c>
      <c r="M119" s="9">
        <v>627382.30000000005</v>
      </c>
      <c r="N119" s="9">
        <v>213058</v>
      </c>
      <c r="O119" s="243"/>
      <c r="P119" s="243"/>
    </row>
    <row r="120" spans="1:16" ht="13.35" customHeight="1" x14ac:dyDescent="0.25">
      <c r="A120" s="239"/>
      <c r="B120" s="239"/>
      <c r="C120" s="4">
        <v>124</v>
      </c>
      <c r="D120" s="4" t="s">
        <v>233</v>
      </c>
      <c r="E120" s="4" t="s">
        <v>232</v>
      </c>
      <c r="F120" s="4" t="s">
        <v>314</v>
      </c>
      <c r="G120" s="12" t="s">
        <v>49</v>
      </c>
      <c r="H120" s="9">
        <f t="shared" si="36"/>
        <v>220883.53668000002</v>
      </c>
      <c r="I120" s="9">
        <v>0</v>
      </c>
      <c r="J120" s="9">
        <v>171903.93668000001</v>
      </c>
      <c r="K120" s="9">
        <v>9955.2999999999993</v>
      </c>
      <c r="L120" s="9">
        <v>39024.300000000003</v>
      </c>
      <c r="M120" s="9">
        <v>0</v>
      </c>
      <c r="N120" s="9">
        <v>0</v>
      </c>
      <c r="O120" s="243"/>
      <c r="P120" s="243"/>
    </row>
    <row r="121" spans="1:16" x14ac:dyDescent="0.25">
      <c r="A121" s="239"/>
      <c r="B121" s="239"/>
      <c r="C121" s="4">
        <v>136</v>
      </c>
      <c r="D121" s="4" t="s">
        <v>233</v>
      </c>
      <c r="E121" s="4" t="s">
        <v>232</v>
      </c>
      <c r="F121" s="4" t="s">
        <v>307</v>
      </c>
      <c r="G121" s="12">
        <v>522</v>
      </c>
      <c r="H121" s="9">
        <f t="shared" si="36"/>
        <v>102150</v>
      </c>
      <c r="I121" s="9">
        <v>0</v>
      </c>
      <c r="J121" s="9">
        <v>0</v>
      </c>
      <c r="K121" s="9">
        <v>0</v>
      </c>
      <c r="L121" s="9">
        <v>102150</v>
      </c>
      <c r="M121" s="9">
        <v>0</v>
      </c>
      <c r="N121" s="9">
        <v>0</v>
      </c>
      <c r="O121" s="243"/>
      <c r="P121" s="243"/>
    </row>
    <row r="122" spans="1:16" x14ac:dyDescent="0.25">
      <c r="A122" s="239"/>
      <c r="B122" s="240"/>
      <c r="C122" s="4">
        <v>136</v>
      </c>
      <c r="D122" s="4" t="s">
        <v>233</v>
      </c>
      <c r="E122" s="4" t="s">
        <v>232</v>
      </c>
      <c r="F122" s="4" t="s">
        <v>658</v>
      </c>
      <c r="G122" s="12">
        <v>522</v>
      </c>
      <c r="H122" s="9">
        <f t="shared" si="36"/>
        <v>47245.1</v>
      </c>
      <c r="I122" s="9">
        <v>0</v>
      </c>
      <c r="J122" s="9">
        <v>0</v>
      </c>
      <c r="K122" s="9">
        <v>0</v>
      </c>
      <c r="L122" s="9">
        <v>47245.1</v>
      </c>
      <c r="M122" s="9">
        <v>0</v>
      </c>
      <c r="N122" s="9">
        <v>0</v>
      </c>
      <c r="O122" s="243"/>
      <c r="P122" s="243"/>
    </row>
    <row r="123" spans="1:16" x14ac:dyDescent="0.25">
      <c r="A123" s="239"/>
      <c r="B123" s="241" t="s">
        <v>9</v>
      </c>
      <c r="C123" s="4">
        <v>136</v>
      </c>
      <c r="D123" s="5" t="s">
        <v>233</v>
      </c>
      <c r="E123" s="5" t="s">
        <v>232</v>
      </c>
      <c r="F123" s="6"/>
      <c r="G123" s="12"/>
      <c r="H123" s="9">
        <f t="shared" si="36"/>
        <v>4960.3</v>
      </c>
      <c r="I123" s="9">
        <v>0</v>
      </c>
      <c r="J123" s="9">
        <v>0</v>
      </c>
      <c r="K123" s="9">
        <v>0</v>
      </c>
      <c r="L123" s="9">
        <v>4960.3</v>
      </c>
      <c r="M123" s="9">
        <v>0</v>
      </c>
      <c r="N123" s="9">
        <v>0</v>
      </c>
      <c r="O123" s="243"/>
      <c r="P123" s="243"/>
    </row>
    <row r="124" spans="1:16" x14ac:dyDescent="0.25">
      <c r="A124" s="239"/>
      <c r="B124" s="241"/>
      <c r="C124" s="4">
        <v>124</v>
      </c>
      <c r="D124" s="5" t="s">
        <v>233</v>
      </c>
      <c r="E124" s="5" t="s">
        <v>232</v>
      </c>
      <c r="F124" s="5"/>
      <c r="G124" s="12"/>
      <c r="H124" s="9">
        <f>I124+J124+K124+L124</f>
        <v>34938.9</v>
      </c>
      <c r="I124" s="9">
        <v>0</v>
      </c>
      <c r="J124" s="9">
        <v>7834.7</v>
      </c>
      <c r="K124" s="9">
        <v>13289.1</v>
      </c>
      <c r="L124" s="9">
        <v>13815.1</v>
      </c>
      <c r="M124" s="9">
        <v>15589.6</v>
      </c>
      <c r="N124" s="9">
        <v>3261.2</v>
      </c>
      <c r="O124" s="243"/>
      <c r="P124" s="243"/>
    </row>
    <row r="125" spans="1:16" x14ac:dyDescent="0.25">
      <c r="A125" s="240"/>
      <c r="B125" s="196" t="str">
        <f>B83</f>
        <v xml:space="preserve">внебюджетные источники </v>
      </c>
      <c r="C125" s="4"/>
      <c r="D125" s="5"/>
      <c r="E125" s="5"/>
      <c r="F125" s="5"/>
      <c r="G125" s="12"/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244"/>
      <c r="P125" s="244"/>
    </row>
    <row r="126" spans="1:16" x14ac:dyDescent="0.25">
      <c r="A126" s="241" t="s">
        <v>464</v>
      </c>
      <c r="B126" s="196" t="s">
        <v>197</v>
      </c>
      <c r="C126" s="4"/>
      <c r="D126" s="5"/>
      <c r="E126" s="5"/>
      <c r="F126" s="5"/>
      <c r="G126" s="12"/>
      <c r="H126" s="9">
        <v>200</v>
      </c>
      <c r="I126" s="9">
        <v>0</v>
      </c>
      <c r="J126" s="9">
        <v>0</v>
      </c>
      <c r="K126" s="9">
        <v>0</v>
      </c>
      <c r="L126" s="9">
        <v>200</v>
      </c>
      <c r="M126" s="9">
        <v>0</v>
      </c>
      <c r="N126" s="9">
        <v>0</v>
      </c>
      <c r="O126" s="242" t="s">
        <v>347</v>
      </c>
      <c r="P126" s="242" t="s">
        <v>579</v>
      </c>
    </row>
    <row r="127" spans="1:16" ht="26.4" x14ac:dyDescent="0.25">
      <c r="A127" s="241"/>
      <c r="B127" s="196" t="s">
        <v>6</v>
      </c>
      <c r="C127" s="4"/>
      <c r="D127" s="5"/>
      <c r="E127" s="5"/>
      <c r="F127" s="5"/>
      <c r="G127" s="12"/>
      <c r="H127" s="9">
        <v>882.3</v>
      </c>
      <c r="I127" s="9" t="s">
        <v>229</v>
      </c>
      <c r="J127" s="9" t="s">
        <v>229</v>
      </c>
      <c r="K127" s="9" t="s">
        <v>229</v>
      </c>
      <c r="L127" s="9" t="s">
        <v>229</v>
      </c>
      <c r="M127" s="9">
        <v>0</v>
      </c>
      <c r="N127" s="9">
        <v>0</v>
      </c>
      <c r="O127" s="243"/>
      <c r="P127" s="243"/>
    </row>
    <row r="128" spans="1:16" x14ac:dyDescent="0.25">
      <c r="A128" s="241"/>
      <c r="B128" s="196" t="s">
        <v>75</v>
      </c>
      <c r="C128" s="4"/>
      <c r="D128" s="5"/>
      <c r="E128" s="5"/>
      <c r="F128" s="5"/>
      <c r="G128" s="12"/>
      <c r="H128" s="9">
        <f t="shared" ref="H128:N128" si="37">SUM(H129:H133)</f>
        <v>176458.09752000001</v>
      </c>
      <c r="I128" s="9">
        <f t="shared" si="37"/>
        <v>106.90300000000001</v>
      </c>
      <c r="J128" s="9">
        <f t="shared" si="37"/>
        <v>32818.094519999999</v>
      </c>
      <c r="K128" s="9">
        <f t="shared" si="37"/>
        <v>46810.2</v>
      </c>
      <c r="L128" s="9">
        <f t="shared" si="37"/>
        <v>96722.9</v>
      </c>
      <c r="M128" s="9">
        <f t="shared" si="37"/>
        <v>30000</v>
      </c>
      <c r="N128" s="9">
        <f t="shared" si="37"/>
        <v>0</v>
      </c>
      <c r="O128" s="243"/>
      <c r="P128" s="243"/>
    </row>
    <row r="129" spans="1:16" x14ac:dyDescent="0.25">
      <c r="A129" s="241"/>
      <c r="B129" s="238" t="s">
        <v>7</v>
      </c>
      <c r="C129" s="4">
        <v>124</v>
      </c>
      <c r="D129" s="4" t="s">
        <v>233</v>
      </c>
      <c r="E129" s="4" t="s">
        <v>232</v>
      </c>
      <c r="F129" s="4" t="s">
        <v>310</v>
      </c>
      <c r="G129" s="12" t="s">
        <v>50</v>
      </c>
      <c r="H129" s="9">
        <f>H137</f>
        <v>16861.410339999999</v>
      </c>
      <c r="I129" s="9">
        <f t="shared" ref="I129:N129" si="38">I137</f>
        <v>106.90300000000001</v>
      </c>
      <c r="J129" s="9">
        <f t="shared" si="38"/>
        <v>593.40733999999998</v>
      </c>
      <c r="K129" s="9">
        <f t="shared" si="38"/>
        <v>267.10000000000002</v>
      </c>
      <c r="L129" s="9">
        <f t="shared" si="38"/>
        <v>15894</v>
      </c>
      <c r="M129" s="9">
        <f t="shared" si="38"/>
        <v>30000</v>
      </c>
      <c r="N129" s="9">
        <f t="shared" si="38"/>
        <v>0</v>
      </c>
      <c r="O129" s="243"/>
      <c r="P129" s="243"/>
    </row>
    <row r="130" spans="1:16" x14ac:dyDescent="0.25">
      <c r="A130" s="241"/>
      <c r="B130" s="239"/>
      <c r="C130" s="4">
        <v>124</v>
      </c>
      <c r="D130" s="4" t="s">
        <v>233</v>
      </c>
      <c r="E130" s="4" t="s">
        <v>232</v>
      </c>
      <c r="F130" s="4" t="s">
        <v>311</v>
      </c>
      <c r="G130" s="12" t="s">
        <v>50</v>
      </c>
      <c r="H130" s="9">
        <f>H138</f>
        <v>47879.006150000001</v>
      </c>
      <c r="I130" s="9">
        <f t="shared" ref="I130:N130" si="39">I138</f>
        <v>0</v>
      </c>
      <c r="J130" s="9">
        <f t="shared" si="39"/>
        <v>9667.4061500000007</v>
      </c>
      <c r="K130" s="9">
        <f t="shared" si="39"/>
        <v>13962.9</v>
      </c>
      <c r="L130" s="9">
        <f t="shared" si="39"/>
        <v>24248.7</v>
      </c>
      <c r="M130" s="9">
        <f t="shared" si="39"/>
        <v>0</v>
      </c>
      <c r="N130" s="9">
        <f t="shared" si="39"/>
        <v>0</v>
      </c>
      <c r="O130" s="243"/>
      <c r="P130" s="243"/>
    </row>
    <row r="131" spans="1:16" x14ac:dyDescent="0.25">
      <c r="A131" s="241"/>
      <c r="B131" s="193" t="s">
        <v>14</v>
      </c>
      <c r="C131" s="4">
        <v>124</v>
      </c>
      <c r="D131" s="4" t="s">
        <v>233</v>
      </c>
      <c r="E131" s="4" t="s">
        <v>232</v>
      </c>
      <c r="F131" s="4" t="s">
        <v>311</v>
      </c>
      <c r="G131" s="12" t="s">
        <v>50</v>
      </c>
      <c r="H131" s="9">
        <f>H139</f>
        <v>111717.68102999999</v>
      </c>
      <c r="I131" s="9"/>
      <c r="J131" s="9">
        <f t="shared" ref="J131:N132" si="40">J139</f>
        <v>22557.281029999998</v>
      </c>
      <c r="K131" s="9">
        <f t="shared" si="40"/>
        <v>32580.2</v>
      </c>
      <c r="L131" s="9">
        <f t="shared" si="40"/>
        <v>56580.2</v>
      </c>
      <c r="M131" s="9">
        <f t="shared" si="40"/>
        <v>0</v>
      </c>
      <c r="N131" s="9">
        <f t="shared" si="40"/>
        <v>0</v>
      </c>
      <c r="O131" s="243"/>
      <c r="P131" s="243"/>
    </row>
    <row r="132" spans="1:16" x14ac:dyDescent="0.25">
      <c r="A132" s="241"/>
      <c r="B132" s="196" t="s">
        <v>9</v>
      </c>
      <c r="C132" s="4"/>
      <c r="D132" s="5"/>
      <c r="E132" s="5"/>
      <c r="F132" s="5"/>
      <c r="G132" s="12"/>
      <c r="H132" s="9">
        <f>I132+J132+K132+L132</f>
        <v>0</v>
      </c>
      <c r="I132" s="9">
        <f>I140</f>
        <v>0</v>
      </c>
      <c r="J132" s="9">
        <f t="shared" si="40"/>
        <v>0</v>
      </c>
      <c r="K132" s="9">
        <f t="shared" si="40"/>
        <v>0</v>
      </c>
      <c r="L132" s="9">
        <f t="shared" si="40"/>
        <v>0</v>
      </c>
      <c r="M132" s="9">
        <f t="shared" si="40"/>
        <v>0</v>
      </c>
      <c r="N132" s="9">
        <f t="shared" si="40"/>
        <v>0</v>
      </c>
      <c r="O132" s="243"/>
      <c r="P132" s="243"/>
    </row>
    <row r="133" spans="1:16" ht="30.75" customHeight="1" x14ac:dyDescent="0.25">
      <c r="A133" s="241"/>
      <c r="B133" s="196" t="s">
        <v>10</v>
      </c>
      <c r="C133" s="4"/>
      <c r="D133" s="5"/>
      <c r="E133" s="5"/>
      <c r="F133" s="5"/>
      <c r="G133" s="12"/>
      <c r="H133" s="9">
        <f>H147</f>
        <v>0</v>
      </c>
      <c r="I133" s="9">
        <f t="shared" ref="I133:N133" si="41">I147</f>
        <v>0</v>
      </c>
      <c r="J133" s="9">
        <f t="shared" si="41"/>
        <v>0</v>
      </c>
      <c r="K133" s="9">
        <f t="shared" si="41"/>
        <v>0</v>
      </c>
      <c r="L133" s="9">
        <f t="shared" si="41"/>
        <v>0</v>
      </c>
      <c r="M133" s="9">
        <f t="shared" si="41"/>
        <v>0</v>
      </c>
      <c r="N133" s="9">
        <f t="shared" si="41"/>
        <v>0</v>
      </c>
      <c r="O133" s="244"/>
      <c r="P133" s="244"/>
    </row>
    <row r="134" spans="1:16" ht="12.75" customHeight="1" x14ac:dyDescent="0.25">
      <c r="A134" s="241" t="s">
        <v>566</v>
      </c>
      <c r="B134" s="196" t="s">
        <v>197</v>
      </c>
      <c r="C134" s="4"/>
      <c r="D134" s="5"/>
      <c r="E134" s="5"/>
      <c r="F134" s="5"/>
      <c r="G134" s="12"/>
      <c r="H134" s="9">
        <v>200</v>
      </c>
      <c r="I134" s="9">
        <v>0</v>
      </c>
      <c r="J134" s="9">
        <v>0</v>
      </c>
      <c r="K134" s="9">
        <v>0</v>
      </c>
      <c r="L134" s="9">
        <v>200</v>
      </c>
      <c r="M134" s="9">
        <v>0</v>
      </c>
      <c r="N134" s="9">
        <v>0</v>
      </c>
      <c r="O134" s="242" t="s">
        <v>347</v>
      </c>
      <c r="P134" s="242" t="s">
        <v>580</v>
      </c>
    </row>
    <row r="135" spans="1:16" ht="26.4" x14ac:dyDescent="0.25">
      <c r="A135" s="241"/>
      <c r="B135" s="196" t="s">
        <v>6</v>
      </c>
      <c r="C135" s="4"/>
      <c r="D135" s="5"/>
      <c r="E135" s="5"/>
      <c r="F135" s="5"/>
      <c r="G135" s="12"/>
      <c r="H135" s="9">
        <f>SUM(H136/H134)</f>
        <v>882.29048760000001</v>
      </c>
      <c r="I135" s="9" t="s">
        <v>229</v>
      </c>
      <c r="J135" s="9" t="s">
        <v>229</v>
      </c>
      <c r="K135" s="9" t="s">
        <v>229</v>
      </c>
      <c r="L135" s="9" t="s">
        <v>229</v>
      </c>
      <c r="M135" s="9">
        <v>0</v>
      </c>
      <c r="N135" s="9">
        <v>0</v>
      </c>
      <c r="O135" s="243"/>
      <c r="P135" s="243"/>
    </row>
    <row r="136" spans="1:16" x14ac:dyDescent="0.25">
      <c r="A136" s="241"/>
      <c r="B136" s="196" t="s">
        <v>75</v>
      </c>
      <c r="C136" s="4"/>
      <c r="D136" s="5"/>
      <c r="E136" s="5"/>
      <c r="F136" s="5"/>
      <c r="G136" s="12"/>
      <c r="H136" s="9">
        <f>SUM(H137:H139)</f>
        <v>176458.09752000001</v>
      </c>
      <c r="I136" s="9">
        <f t="shared" ref="I136:N136" si="42">SUM(I137:I139)</f>
        <v>106.90300000000001</v>
      </c>
      <c r="J136" s="9">
        <f t="shared" si="42"/>
        <v>32818.094519999999</v>
      </c>
      <c r="K136" s="9">
        <f t="shared" si="42"/>
        <v>46810.2</v>
      </c>
      <c r="L136" s="9">
        <f t="shared" si="42"/>
        <v>96722.9</v>
      </c>
      <c r="M136" s="9">
        <f t="shared" si="42"/>
        <v>30000</v>
      </c>
      <c r="N136" s="9">
        <f t="shared" si="42"/>
        <v>0</v>
      </c>
      <c r="O136" s="243"/>
      <c r="P136" s="243"/>
    </row>
    <row r="137" spans="1:16" x14ac:dyDescent="0.25">
      <c r="A137" s="241"/>
      <c r="B137" s="241" t="s">
        <v>7</v>
      </c>
      <c r="C137" s="4">
        <v>124</v>
      </c>
      <c r="D137" s="4" t="s">
        <v>233</v>
      </c>
      <c r="E137" s="4" t="s">
        <v>232</v>
      </c>
      <c r="F137" s="4" t="s">
        <v>310</v>
      </c>
      <c r="G137" s="12" t="s">
        <v>50</v>
      </c>
      <c r="H137" s="9">
        <f>I137+J137+K137+L137</f>
        <v>16861.410339999999</v>
      </c>
      <c r="I137" s="9">
        <v>106.90300000000001</v>
      </c>
      <c r="J137" s="9">
        <v>593.40733999999998</v>
      </c>
      <c r="K137" s="9">
        <v>267.10000000000002</v>
      </c>
      <c r="L137" s="9">
        <v>15894</v>
      </c>
      <c r="M137" s="9">
        <v>30000</v>
      </c>
      <c r="N137" s="9">
        <v>0</v>
      </c>
      <c r="O137" s="243"/>
      <c r="P137" s="243"/>
    </row>
    <row r="138" spans="1:16" x14ac:dyDescent="0.25">
      <c r="A138" s="241"/>
      <c r="B138" s="241"/>
      <c r="C138" s="4">
        <v>124</v>
      </c>
      <c r="D138" s="4" t="s">
        <v>233</v>
      </c>
      <c r="E138" s="4" t="s">
        <v>232</v>
      </c>
      <c r="F138" s="4" t="s">
        <v>311</v>
      </c>
      <c r="G138" s="12" t="s">
        <v>50</v>
      </c>
      <c r="H138" s="8">
        <f>I138+J138+K138+L138</f>
        <v>47879.006150000001</v>
      </c>
      <c r="I138" s="9">
        <v>0</v>
      </c>
      <c r="J138" s="9">
        <v>9667.4061500000007</v>
      </c>
      <c r="K138" s="9">
        <v>13962.9</v>
      </c>
      <c r="L138" s="9">
        <v>24248.7</v>
      </c>
      <c r="M138" s="9">
        <v>0</v>
      </c>
      <c r="N138" s="9">
        <v>0</v>
      </c>
      <c r="O138" s="243"/>
      <c r="P138" s="243"/>
    </row>
    <row r="139" spans="1:16" x14ac:dyDescent="0.25">
      <c r="A139" s="241"/>
      <c r="B139" s="196" t="s">
        <v>14</v>
      </c>
      <c r="C139" s="4">
        <v>124</v>
      </c>
      <c r="D139" s="4" t="s">
        <v>233</v>
      </c>
      <c r="E139" s="4" t="s">
        <v>232</v>
      </c>
      <c r="F139" s="4" t="s">
        <v>311</v>
      </c>
      <c r="G139" s="12" t="s">
        <v>50</v>
      </c>
      <c r="H139" s="9">
        <f>I139+J139+K139+L139</f>
        <v>111717.68102999999</v>
      </c>
      <c r="I139" s="9">
        <v>0</v>
      </c>
      <c r="J139" s="9">
        <v>22557.281029999998</v>
      </c>
      <c r="K139" s="9">
        <v>32580.2</v>
      </c>
      <c r="L139" s="9">
        <v>56580.2</v>
      </c>
      <c r="M139" s="9">
        <v>0</v>
      </c>
      <c r="N139" s="9">
        <v>0</v>
      </c>
      <c r="O139" s="243"/>
      <c r="P139" s="243"/>
    </row>
    <row r="140" spans="1:16" x14ac:dyDescent="0.25">
      <c r="A140" s="241"/>
      <c r="B140" s="196" t="s">
        <v>9</v>
      </c>
      <c r="C140" s="4"/>
      <c r="D140" s="5"/>
      <c r="E140" s="5"/>
      <c r="F140" s="5"/>
      <c r="G140" s="12"/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243"/>
      <c r="P140" s="243"/>
    </row>
    <row r="141" spans="1:16" x14ac:dyDescent="0.25">
      <c r="A141" s="241"/>
      <c r="B141" s="196" t="s">
        <v>10</v>
      </c>
      <c r="C141" s="4"/>
      <c r="D141" s="5"/>
      <c r="E141" s="5"/>
      <c r="F141" s="5"/>
      <c r="G141" s="12"/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244"/>
      <c r="P141" s="244"/>
    </row>
    <row r="142" spans="1:16" x14ac:dyDescent="0.25">
      <c r="A142" s="238" t="s">
        <v>11</v>
      </c>
      <c r="B142" s="196" t="s">
        <v>242</v>
      </c>
      <c r="C142" s="4"/>
      <c r="D142" s="5"/>
      <c r="E142" s="5"/>
      <c r="F142" s="5"/>
      <c r="G142" s="12"/>
      <c r="H142" s="9">
        <f>H143+H144+H145+H147+H146</f>
        <v>4497620.4340199996</v>
      </c>
      <c r="I142" s="9">
        <f t="shared" ref="I142:N142" si="43">I143+I144+I145+I147+I146</f>
        <v>130129.80319999999</v>
      </c>
      <c r="J142" s="9">
        <f t="shared" si="43"/>
        <v>775189.86781999981</v>
      </c>
      <c r="K142" s="9">
        <f t="shared" si="43"/>
        <v>1505624.2650000001</v>
      </c>
      <c r="L142" s="9">
        <f t="shared" si="43"/>
        <v>2086676.4980000004</v>
      </c>
      <c r="M142" s="9">
        <f t="shared" si="43"/>
        <v>2828701.5</v>
      </c>
      <c r="N142" s="9">
        <f t="shared" si="43"/>
        <v>1350114.3</v>
      </c>
      <c r="O142" s="242"/>
      <c r="P142" s="242"/>
    </row>
    <row r="143" spans="1:16" ht="12.75" customHeight="1" x14ac:dyDescent="0.25">
      <c r="A143" s="239"/>
      <c r="B143" s="196" t="s">
        <v>16</v>
      </c>
      <c r="C143" s="4"/>
      <c r="D143" s="5"/>
      <c r="E143" s="5"/>
      <c r="F143" s="5"/>
      <c r="G143" s="12"/>
      <c r="H143" s="9">
        <f>H54+H55+H56+H57+H58+H87+H88+H89+H90+H91+H92+H93+H95+H129+H130+H94</f>
        <v>2104154.6156899999</v>
      </c>
      <c r="I143" s="9">
        <f t="shared" ref="I143:N143" si="44">I54+I55+I56+I57+I58+I87+I88+I89+I90+I91+I92+I93+I95+I129+I130+I94</f>
        <v>130129.80319999999</v>
      </c>
      <c r="J143" s="9">
        <f t="shared" si="44"/>
        <v>343298.44948999991</v>
      </c>
      <c r="K143" s="9">
        <f t="shared" si="44"/>
        <v>971586.06499999994</v>
      </c>
      <c r="L143" s="9">
        <f t="shared" si="44"/>
        <v>659140.29799999995</v>
      </c>
      <c r="M143" s="9">
        <f t="shared" si="44"/>
        <v>1727140.5</v>
      </c>
      <c r="N143" s="9">
        <f t="shared" si="44"/>
        <v>669131.4</v>
      </c>
      <c r="O143" s="243"/>
      <c r="P143" s="243"/>
    </row>
    <row r="144" spans="1:16" x14ac:dyDescent="0.25">
      <c r="A144" s="239"/>
      <c r="B144" s="196" t="s">
        <v>8</v>
      </c>
      <c r="C144" s="4"/>
      <c r="D144" s="5"/>
      <c r="E144" s="5"/>
      <c r="F144" s="5"/>
      <c r="G144" s="12"/>
      <c r="H144" s="9">
        <f>H59+H96+H97+H98+H99+H100+H131+H101</f>
        <v>2341686.8183300002</v>
      </c>
      <c r="I144" s="9">
        <f t="shared" ref="I144:N144" si="45">I59+I96+I97+I98+I99+I100+I131+I101</f>
        <v>0</v>
      </c>
      <c r="J144" s="9">
        <f t="shared" si="45"/>
        <v>424056.71833</v>
      </c>
      <c r="K144" s="9">
        <f t="shared" si="45"/>
        <v>514511.30000000005</v>
      </c>
      <c r="L144" s="9">
        <f t="shared" si="45"/>
        <v>1403118.8000000003</v>
      </c>
      <c r="M144" s="9">
        <f t="shared" si="45"/>
        <v>1072191.3999999999</v>
      </c>
      <c r="N144" s="9">
        <f t="shared" si="45"/>
        <v>663941.69999999995</v>
      </c>
      <c r="O144" s="243"/>
      <c r="P144" s="243"/>
    </row>
    <row r="145" spans="1:16" x14ac:dyDescent="0.25">
      <c r="A145" s="239"/>
      <c r="B145" s="238" t="s">
        <v>9</v>
      </c>
      <c r="C145" s="4">
        <v>124</v>
      </c>
      <c r="D145" s="5"/>
      <c r="E145" s="5"/>
      <c r="F145" s="5"/>
      <c r="G145" s="12"/>
      <c r="H145" s="9">
        <f>H60+H103+H132</f>
        <v>35202.1</v>
      </c>
      <c r="I145" s="9">
        <f t="shared" ref="I145:N145" si="46">I60+I103+I132</f>
        <v>0</v>
      </c>
      <c r="J145" s="9">
        <f t="shared" si="46"/>
        <v>7834.7</v>
      </c>
      <c r="K145" s="9">
        <f t="shared" si="46"/>
        <v>13289.1</v>
      </c>
      <c r="L145" s="9">
        <f t="shared" si="46"/>
        <v>14078.300000000001</v>
      </c>
      <c r="M145" s="9">
        <f t="shared" si="46"/>
        <v>15589.6</v>
      </c>
      <c r="N145" s="9">
        <f t="shared" si="46"/>
        <v>3261.2</v>
      </c>
      <c r="O145" s="243"/>
      <c r="P145" s="243"/>
    </row>
    <row r="146" spans="1:16" x14ac:dyDescent="0.25">
      <c r="A146" s="239"/>
      <c r="B146" s="240"/>
      <c r="C146" s="4">
        <v>136</v>
      </c>
      <c r="D146" s="5"/>
      <c r="E146" s="5"/>
      <c r="F146" s="5"/>
      <c r="G146" s="12"/>
      <c r="H146" s="9">
        <f t="shared" ref="H146" si="47">H61+H102</f>
        <v>16576.900000000001</v>
      </c>
      <c r="I146" s="9">
        <f t="shared" ref="I146:N146" si="48">I61+I102</f>
        <v>0</v>
      </c>
      <c r="J146" s="9">
        <f t="shared" si="48"/>
        <v>0</v>
      </c>
      <c r="K146" s="9">
        <f t="shared" si="48"/>
        <v>6237.8</v>
      </c>
      <c r="L146" s="9">
        <f t="shared" si="48"/>
        <v>10339.099999999999</v>
      </c>
      <c r="M146" s="9">
        <f t="shared" si="48"/>
        <v>13780</v>
      </c>
      <c r="N146" s="9">
        <f t="shared" si="48"/>
        <v>13780</v>
      </c>
      <c r="O146" s="243"/>
      <c r="P146" s="243"/>
    </row>
    <row r="147" spans="1:16" ht="22.5" customHeight="1" x14ac:dyDescent="0.25">
      <c r="A147" s="240"/>
      <c r="B147" s="196" t="s">
        <v>12</v>
      </c>
      <c r="C147" s="4"/>
      <c r="D147" s="5"/>
      <c r="E147" s="5"/>
      <c r="F147" s="5"/>
      <c r="G147" s="12"/>
      <c r="H147" s="9">
        <f t="shared" ref="H147:N147" si="49">H62+H104</f>
        <v>0</v>
      </c>
      <c r="I147" s="9">
        <f t="shared" si="49"/>
        <v>0</v>
      </c>
      <c r="J147" s="9">
        <f t="shared" si="49"/>
        <v>0</v>
      </c>
      <c r="K147" s="9">
        <f t="shared" si="49"/>
        <v>0</v>
      </c>
      <c r="L147" s="9">
        <f t="shared" si="49"/>
        <v>0</v>
      </c>
      <c r="M147" s="9">
        <f t="shared" si="49"/>
        <v>0</v>
      </c>
      <c r="N147" s="9">
        <f t="shared" si="49"/>
        <v>0</v>
      </c>
      <c r="O147" s="244"/>
      <c r="P147" s="244"/>
    </row>
    <row r="148" spans="1:16" ht="22.5" customHeight="1" x14ac:dyDescent="0.25">
      <c r="A148" s="258" t="s">
        <v>124</v>
      </c>
      <c r="B148" s="259"/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1"/>
    </row>
    <row r="149" spans="1:16" ht="26.4" x14ac:dyDescent="0.25">
      <c r="A149" s="258" t="s">
        <v>465</v>
      </c>
      <c r="B149" s="200" t="s">
        <v>593</v>
      </c>
      <c r="C149" s="25"/>
      <c r="D149" s="5"/>
      <c r="E149" s="5"/>
      <c r="F149" s="5"/>
      <c r="G149" s="12"/>
      <c r="H149" s="11">
        <f>H169+H180+H196</f>
        <v>208</v>
      </c>
      <c r="I149" s="11">
        <f t="shared" ref="I149:N149" si="50">I169+I180+I196</f>
        <v>0</v>
      </c>
      <c r="J149" s="11">
        <f t="shared" si="50"/>
        <v>1</v>
      </c>
      <c r="K149" s="11">
        <f t="shared" si="50"/>
        <v>153</v>
      </c>
      <c r="L149" s="11">
        <f t="shared" si="50"/>
        <v>54</v>
      </c>
      <c r="M149" s="11">
        <f t="shared" si="50"/>
        <v>150</v>
      </c>
      <c r="N149" s="11">
        <f t="shared" si="50"/>
        <v>149</v>
      </c>
      <c r="O149" s="268" t="s">
        <v>347</v>
      </c>
      <c r="P149" s="242" t="s">
        <v>191</v>
      </c>
    </row>
    <row r="150" spans="1:16" ht="26.4" x14ac:dyDescent="0.25">
      <c r="A150" s="241"/>
      <c r="B150" s="196" t="s">
        <v>92</v>
      </c>
      <c r="C150" s="4"/>
      <c r="D150" s="5"/>
      <c r="E150" s="5"/>
      <c r="F150" s="5"/>
      <c r="G150" s="12"/>
      <c r="H150" s="9">
        <f>SUM(H151/H149)</f>
        <v>19336.515551009616</v>
      </c>
      <c r="I150" s="9" t="s">
        <v>229</v>
      </c>
      <c r="J150" s="9" t="s">
        <v>229</v>
      </c>
      <c r="K150" s="9" t="s">
        <v>229</v>
      </c>
      <c r="L150" s="9" t="s">
        <v>229</v>
      </c>
      <c r="M150" s="9">
        <f>SUM(M151/M149)</f>
        <v>16979.932666666668</v>
      </c>
      <c r="N150" s="9">
        <f>SUM(N151/N149)</f>
        <v>17659.894630872481</v>
      </c>
      <c r="O150" s="268"/>
      <c r="P150" s="243"/>
    </row>
    <row r="151" spans="1:16" x14ac:dyDescent="0.25">
      <c r="A151" s="241"/>
      <c r="B151" s="196" t="s">
        <v>74</v>
      </c>
      <c r="C151" s="4"/>
      <c r="D151" s="5"/>
      <c r="E151" s="5"/>
      <c r="F151" s="5"/>
      <c r="G151" s="12"/>
      <c r="H151" s="9">
        <f>SUM(H152:H168)</f>
        <v>4021995.2346099997</v>
      </c>
      <c r="I151" s="9">
        <f t="shared" ref="I151:N151" si="51">SUM(I152:I168)</f>
        <v>473685.66544000001</v>
      </c>
      <c r="J151" s="9">
        <f t="shared" si="51"/>
        <v>662921.96917000005</v>
      </c>
      <c r="K151" s="9">
        <f t="shared" si="51"/>
        <v>1412686.5</v>
      </c>
      <c r="L151" s="9">
        <f t="shared" si="51"/>
        <v>1472701.1</v>
      </c>
      <c r="M151" s="9">
        <f>SUM(M152:M168)</f>
        <v>2546989.9</v>
      </c>
      <c r="N151" s="9">
        <f t="shared" si="51"/>
        <v>2631324.2999999998</v>
      </c>
      <c r="O151" s="268"/>
      <c r="P151" s="243"/>
    </row>
    <row r="152" spans="1:16" x14ac:dyDescent="0.25">
      <c r="A152" s="241"/>
      <c r="B152" s="238" t="s">
        <v>7</v>
      </c>
      <c r="C152" s="4">
        <f t="shared" ref="C152:G153" si="52">C172</f>
        <v>124</v>
      </c>
      <c r="D152" s="4" t="str">
        <f t="shared" si="52"/>
        <v>07</v>
      </c>
      <c r="E152" s="4" t="str">
        <f t="shared" si="52"/>
        <v>02</v>
      </c>
      <c r="F152" s="4" t="str">
        <f t="shared" si="52"/>
        <v>0710103420</v>
      </c>
      <c r="G152" s="12" t="str">
        <f t="shared" si="52"/>
        <v>414</v>
      </c>
      <c r="H152" s="9">
        <f>H172</f>
        <v>1657489.1846099999</v>
      </c>
      <c r="I152" s="9">
        <f t="shared" ref="I152:N152" si="53">I172</f>
        <v>382599.16544000001</v>
      </c>
      <c r="J152" s="9">
        <f t="shared" si="53"/>
        <v>552017.81917000003</v>
      </c>
      <c r="K152" s="9">
        <f t="shared" si="53"/>
        <v>384178.1</v>
      </c>
      <c r="L152" s="9">
        <f t="shared" si="53"/>
        <v>338694.1</v>
      </c>
      <c r="M152" s="9">
        <f t="shared" si="53"/>
        <v>924728.1</v>
      </c>
      <c r="N152" s="9">
        <f t="shared" si="53"/>
        <v>1145005.3</v>
      </c>
      <c r="O152" s="268"/>
      <c r="P152" s="243"/>
    </row>
    <row r="153" spans="1:16" hidden="1" x14ac:dyDescent="0.25">
      <c r="A153" s="241"/>
      <c r="B153" s="239"/>
      <c r="C153" s="4">
        <f t="shared" si="52"/>
        <v>124</v>
      </c>
      <c r="D153" s="4" t="str">
        <f t="shared" si="52"/>
        <v>07</v>
      </c>
      <c r="E153" s="4" t="str">
        <f t="shared" si="52"/>
        <v>02</v>
      </c>
      <c r="F153" s="4" t="str">
        <f t="shared" si="52"/>
        <v>0710104040</v>
      </c>
      <c r="G153" s="12" t="str">
        <f t="shared" si="52"/>
        <v>851</v>
      </c>
      <c r="H153" s="9">
        <f>H173</f>
        <v>0</v>
      </c>
      <c r="I153" s="9">
        <f t="shared" ref="I153:N153" si="54">I173</f>
        <v>0</v>
      </c>
      <c r="J153" s="9">
        <f t="shared" si="54"/>
        <v>0</v>
      </c>
      <c r="K153" s="9">
        <f t="shared" si="54"/>
        <v>0</v>
      </c>
      <c r="L153" s="9">
        <f t="shared" si="54"/>
        <v>0</v>
      </c>
      <c r="M153" s="9">
        <f t="shared" si="54"/>
        <v>0</v>
      </c>
      <c r="N153" s="9">
        <f t="shared" si="54"/>
        <v>0</v>
      </c>
      <c r="O153" s="268"/>
      <c r="P153" s="243"/>
    </row>
    <row r="154" spans="1:16" x14ac:dyDescent="0.25">
      <c r="A154" s="241"/>
      <c r="B154" s="239"/>
      <c r="C154" s="4">
        <f t="shared" ref="C154:G155" si="55">C174</f>
        <v>124</v>
      </c>
      <c r="D154" s="4" t="str">
        <f t="shared" si="55"/>
        <v>07</v>
      </c>
      <c r="E154" s="4" t="str">
        <f t="shared" si="55"/>
        <v>02</v>
      </c>
      <c r="F154" s="4" t="str">
        <f t="shared" si="55"/>
        <v>0710170490</v>
      </c>
      <c r="G154" s="12" t="str">
        <f t="shared" si="55"/>
        <v>522</v>
      </c>
      <c r="H154" s="9">
        <f>H174</f>
        <v>267707.05</v>
      </c>
      <c r="I154" s="9">
        <f t="shared" ref="I154:N154" si="56">I174</f>
        <v>0</v>
      </c>
      <c r="J154" s="9">
        <f t="shared" si="56"/>
        <v>21424.55</v>
      </c>
      <c r="K154" s="9">
        <f t="shared" si="56"/>
        <v>12707</v>
      </c>
      <c r="L154" s="9">
        <f t="shared" si="56"/>
        <v>233575.5</v>
      </c>
      <c r="M154" s="9">
        <f t="shared" si="56"/>
        <v>300679.40000000002</v>
      </c>
      <c r="N154" s="9">
        <f t="shared" si="56"/>
        <v>167780.3</v>
      </c>
      <c r="O154" s="268"/>
      <c r="P154" s="243"/>
    </row>
    <row r="155" spans="1:16" x14ac:dyDescent="0.25">
      <c r="A155" s="241"/>
      <c r="B155" s="239"/>
      <c r="C155" s="4">
        <f t="shared" si="55"/>
        <v>124</v>
      </c>
      <c r="D155" s="4" t="str">
        <f t="shared" si="55"/>
        <v>07</v>
      </c>
      <c r="E155" s="4" t="str">
        <f t="shared" si="55"/>
        <v>02</v>
      </c>
      <c r="F155" s="4" t="str">
        <f t="shared" si="55"/>
        <v>0710170490</v>
      </c>
      <c r="G155" s="12" t="str">
        <f t="shared" si="55"/>
        <v>521</v>
      </c>
      <c r="H155" s="9">
        <f>H175+H183</f>
        <v>107293</v>
      </c>
      <c r="I155" s="9">
        <f t="shared" ref="I155:N155" si="57">I175+I183</f>
        <v>0</v>
      </c>
      <c r="J155" s="9">
        <f t="shared" si="57"/>
        <v>35596.9</v>
      </c>
      <c r="K155" s="9">
        <f t="shared" si="57"/>
        <v>67250.2</v>
      </c>
      <c r="L155" s="9">
        <f t="shared" si="57"/>
        <v>4445.8999999999996</v>
      </c>
      <c r="M155" s="9">
        <f t="shared" si="57"/>
        <v>0</v>
      </c>
      <c r="N155" s="9">
        <f t="shared" si="57"/>
        <v>0</v>
      </c>
      <c r="O155" s="268"/>
      <c r="P155" s="243"/>
    </row>
    <row r="156" spans="1:16" x14ac:dyDescent="0.25">
      <c r="A156" s="241"/>
      <c r="B156" s="239"/>
      <c r="C156" s="5">
        <f>C184</f>
        <v>136</v>
      </c>
      <c r="D156" s="5" t="s">
        <v>233</v>
      </c>
      <c r="E156" s="5" t="s">
        <v>235</v>
      </c>
      <c r="F156" s="5" t="str">
        <f t="shared" ref="F156:G158" si="58">F184</f>
        <v>0710103470</v>
      </c>
      <c r="G156" s="12" t="str">
        <f t="shared" si="58"/>
        <v>244</v>
      </c>
      <c r="H156" s="9">
        <f>H184</f>
        <v>0</v>
      </c>
      <c r="I156" s="9">
        <f t="shared" ref="I156:N156" si="59">I184</f>
        <v>0</v>
      </c>
      <c r="J156" s="9">
        <f t="shared" si="59"/>
        <v>0</v>
      </c>
      <c r="K156" s="9">
        <f t="shared" si="59"/>
        <v>0</v>
      </c>
      <c r="L156" s="9">
        <f t="shared" si="59"/>
        <v>0</v>
      </c>
      <c r="M156" s="9">
        <f t="shared" si="59"/>
        <v>0</v>
      </c>
      <c r="N156" s="9">
        <f t="shared" si="59"/>
        <v>0</v>
      </c>
      <c r="O156" s="268"/>
      <c r="P156" s="243"/>
    </row>
    <row r="157" spans="1:16" x14ac:dyDescent="0.25">
      <c r="A157" s="241"/>
      <c r="B157" s="239"/>
      <c r="C157" s="5" t="str">
        <f>C185</f>
        <v>136</v>
      </c>
      <c r="D157" s="5" t="s">
        <v>233</v>
      </c>
      <c r="E157" s="5" t="s">
        <v>235</v>
      </c>
      <c r="F157" s="5" t="str">
        <f t="shared" si="58"/>
        <v>0710103470</v>
      </c>
      <c r="G157" s="12" t="str">
        <f t="shared" si="58"/>
        <v>612</v>
      </c>
      <c r="H157" s="9">
        <f>H185</f>
        <v>11550.6</v>
      </c>
      <c r="I157" s="9">
        <f t="shared" ref="I157:N157" si="60">I185</f>
        <v>0</v>
      </c>
      <c r="J157" s="9">
        <f t="shared" si="60"/>
        <v>0</v>
      </c>
      <c r="K157" s="9">
        <f t="shared" si="60"/>
        <v>3000</v>
      </c>
      <c r="L157" s="9">
        <f t="shared" si="60"/>
        <v>8550.6</v>
      </c>
      <c r="M157" s="9">
        <f t="shared" si="60"/>
        <v>0</v>
      </c>
      <c r="N157" s="9">
        <f t="shared" si="60"/>
        <v>0</v>
      </c>
      <c r="O157" s="268"/>
      <c r="P157" s="243"/>
    </row>
    <row r="158" spans="1:16" x14ac:dyDescent="0.25">
      <c r="A158" s="241"/>
      <c r="B158" s="239"/>
      <c r="C158" s="5" t="str">
        <f>C186</f>
        <v>136</v>
      </c>
      <c r="D158" s="5" t="s">
        <v>233</v>
      </c>
      <c r="E158" s="5" t="s">
        <v>235</v>
      </c>
      <c r="F158" s="5" t="str">
        <f t="shared" si="58"/>
        <v>0710103470</v>
      </c>
      <c r="G158" s="12" t="str">
        <f t="shared" si="58"/>
        <v>622</v>
      </c>
      <c r="H158" s="9">
        <f>H186</f>
        <v>14000</v>
      </c>
      <c r="I158" s="9">
        <f t="shared" ref="I158:N158" si="61">I186</f>
        <v>0</v>
      </c>
      <c r="J158" s="9">
        <f t="shared" si="61"/>
        <v>0</v>
      </c>
      <c r="K158" s="9">
        <f t="shared" si="61"/>
        <v>0</v>
      </c>
      <c r="L158" s="9">
        <f t="shared" si="61"/>
        <v>14000</v>
      </c>
      <c r="M158" s="9">
        <f t="shared" si="61"/>
        <v>0</v>
      </c>
      <c r="N158" s="9">
        <f t="shared" si="61"/>
        <v>0</v>
      </c>
      <c r="O158" s="268"/>
      <c r="P158" s="243"/>
    </row>
    <row r="159" spans="1:16" ht="12.75" customHeight="1" x14ac:dyDescent="0.25">
      <c r="A159" s="241"/>
      <c r="B159" s="239"/>
      <c r="C159" s="13" t="str">
        <f>C199</f>
        <v>136</v>
      </c>
      <c r="D159" s="13" t="str">
        <f>D199</f>
        <v>07</v>
      </c>
      <c r="E159" s="13" t="str">
        <f>E199</f>
        <v>09</v>
      </c>
      <c r="F159" s="13" t="str">
        <f>F199</f>
        <v>0710170380</v>
      </c>
      <c r="G159" s="13" t="str">
        <f>G199</f>
        <v>521</v>
      </c>
      <c r="H159" s="9">
        <f>H187++H199</f>
        <v>429304.19999999995</v>
      </c>
      <c r="I159" s="9">
        <f t="shared" ref="I159:N159" si="62">I187++I199</f>
        <v>14722.5</v>
      </c>
      <c r="J159" s="9">
        <f>J187++J199</f>
        <v>13287.7</v>
      </c>
      <c r="K159" s="9">
        <f>K187++K199</f>
        <v>301654.8</v>
      </c>
      <c r="L159" s="9">
        <f t="shared" si="62"/>
        <v>99639.200000000012</v>
      </c>
      <c r="M159" s="9">
        <f t="shared" si="62"/>
        <v>214300</v>
      </c>
      <c r="N159" s="9">
        <f t="shared" si="62"/>
        <v>214300</v>
      </c>
      <c r="O159" s="268"/>
      <c r="P159" s="243"/>
    </row>
    <row r="160" spans="1:16" hidden="1" x14ac:dyDescent="0.25">
      <c r="A160" s="241"/>
      <c r="B160" s="239"/>
      <c r="C160" s="13" t="str">
        <f>C188</f>
        <v>136</v>
      </c>
      <c r="D160" s="13" t="str">
        <f t="shared" ref="D160:G161" si="63">D188</f>
        <v>07</v>
      </c>
      <c r="E160" s="13" t="str">
        <f t="shared" si="63"/>
        <v>09</v>
      </c>
      <c r="F160" s="13" t="str">
        <f t="shared" si="63"/>
        <v>0710170380</v>
      </c>
      <c r="G160" s="13" t="str">
        <f t="shared" si="63"/>
        <v>522</v>
      </c>
      <c r="H160" s="26">
        <f>H188</f>
        <v>0</v>
      </c>
      <c r="I160" s="172">
        <f t="shared" ref="I160:N160" si="64">I188</f>
        <v>0</v>
      </c>
      <c r="J160" s="172">
        <f t="shared" si="64"/>
        <v>0</v>
      </c>
      <c r="K160" s="9">
        <f t="shared" si="64"/>
        <v>0</v>
      </c>
      <c r="L160" s="172">
        <f t="shared" si="64"/>
        <v>0</v>
      </c>
      <c r="M160" s="172">
        <f t="shared" si="64"/>
        <v>0</v>
      </c>
      <c r="N160" s="172">
        <f t="shared" si="64"/>
        <v>0</v>
      </c>
      <c r="O160" s="268"/>
      <c r="P160" s="243"/>
    </row>
    <row r="161" spans="1:16" x14ac:dyDescent="0.25">
      <c r="A161" s="241"/>
      <c r="B161" s="239"/>
      <c r="C161" s="13" t="str">
        <f>C189</f>
        <v>136</v>
      </c>
      <c r="D161" s="13" t="str">
        <f t="shared" si="63"/>
        <v>07</v>
      </c>
      <c r="E161" s="13" t="str">
        <f t="shared" si="63"/>
        <v>09</v>
      </c>
      <c r="F161" s="13" t="str">
        <f t="shared" si="63"/>
        <v>0710170820</v>
      </c>
      <c r="G161" s="13" t="str">
        <f t="shared" si="63"/>
        <v>540</v>
      </c>
      <c r="H161" s="9">
        <f>H189</f>
        <v>98500</v>
      </c>
      <c r="I161" s="9">
        <f t="shared" ref="I161:N161" si="65">I189</f>
        <v>0</v>
      </c>
      <c r="J161" s="9">
        <f t="shared" si="65"/>
        <v>2270</v>
      </c>
      <c r="K161" s="9">
        <f t="shared" si="65"/>
        <v>73970</v>
      </c>
      <c r="L161" s="9">
        <f t="shared" si="65"/>
        <v>22260</v>
      </c>
      <c r="M161" s="9">
        <f t="shared" si="65"/>
        <v>43500</v>
      </c>
      <c r="N161" s="9">
        <f t="shared" si="65"/>
        <v>43500</v>
      </c>
      <c r="O161" s="268"/>
      <c r="P161" s="243"/>
    </row>
    <row r="162" spans="1:16" x14ac:dyDescent="0.25">
      <c r="A162" s="241"/>
      <c r="B162" s="239"/>
      <c r="C162" s="13">
        <f t="shared" ref="C162:H162" si="66">C176</f>
        <v>136</v>
      </c>
      <c r="D162" s="13" t="str">
        <f t="shared" si="66"/>
        <v>07</v>
      </c>
      <c r="E162" s="13" t="str">
        <f t="shared" si="66"/>
        <v>02</v>
      </c>
      <c r="F162" s="13" t="str">
        <f t="shared" si="66"/>
        <v>0710170920</v>
      </c>
      <c r="G162" s="13">
        <f t="shared" si="66"/>
        <v>522</v>
      </c>
      <c r="H162" s="9">
        <f t="shared" si="66"/>
        <v>360000</v>
      </c>
      <c r="I162" s="9">
        <f t="shared" ref="I162:N162" si="67">I176</f>
        <v>72000</v>
      </c>
      <c r="J162" s="9">
        <f t="shared" si="67"/>
        <v>0</v>
      </c>
      <c r="K162" s="9">
        <f t="shared" si="67"/>
        <v>0</v>
      </c>
      <c r="L162" s="9">
        <f t="shared" si="67"/>
        <v>288000</v>
      </c>
      <c r="M162" s="9">
        <f t="shared" si="67"/>
        <v>0</v>
      </c>
      <c r="N162" s="9">
        <f t="shared" si="67"/>
        <v>0</v>
      </c>
      <c r="O162" s="268"/>
      <c r="P162" s="243"/>
    </row>
    <row r="163" spans="1:16" x14ac:dyDescent="0.25">
      <c r="A163" s="241"/>
      <c r="B163" s="240"/>
      <c r="C163" s="13">
        <f t="shared" ref="C163:H163" si="68">C190</f>
        <v>136</v>
      </c>
      <c r="D163" s="13" t="str">
        <f t="shared" si="68"/>
        <v>07</v>
      </c>
      <c r="E163" s="13" t="str">
        <f t="shared" si="68"/>
        <v>02</v>
      </c>
      <c r="F163" s="13" t="str">
        <f t="shared" si="68"/>
        <v>0710170920</v>
      </c>
      <c r="G163" s="13" t="str">
        <f t="shared" si="68"/>
        <v>521</v>
      </c>
      <c r="H163" s="9">
        <f t="shared" si="68"/>
        <v>952050</v>
      </c>
      <c r="I163" s="9">
        <f t="shared" ref="I163:N163" si="69">I190</f>
        <v>0</v>
      </c>
      <c r="J163" s="9">
        <f t="shared" si="69"/>
        <v>36500</v>
      </c>
      <c r="K163" s="9">
        <f t="shared" si="69"/>
        <v>480149.5</v>
      </c>
      <c r="L163" s="9">
        <f t="shared" si="69"/>
        <v>435400.5</v>
      </c>
      <c r="M163" s="9">
        <f t="shared" si="69"/>
        <v>956350</v>
      </c>
      <c r="N163" s="9">
        <f t="shared" si="69"/>
        <v>956350</v>
      </c>
      <c r="O163" s="268"/>
      <c r="P163" s="243"/>
    </row>
    <row r="164" spans="1:16" x14ac:dyDescent="0.25">
      <c r="A164" s="241"/>
      <c r="B164" s="194" t="s">
        <v>14</v>
      </c>
      <c r="C164" s="4"/>
      <c r="D164" s="4"/>
      <c r="E164" s="4"/>
      <c r="F164" s="4"/>
      <c r="G164" s="13"/>
      <c r="H164" s="9">
        <f>H191+H200</f>
        <v>0</v>
      </c>
      <c r="I164" s="9">
        <f t="shared" ref="I164:N164" si="70">I191+I200</f>
        <v>0</v>
      </c>
      <c r="J164" s="9">
        <f t="shared" si="70"/>
        <v>0</v>
      </c>
      <c r="K164" s="9">
        <f t="shared" si="70"/>
        <v>0</v>
      </c>
      <c r="L164" s="9">
        <f t="shared" si="70"/>
        <v>0</v>
      </c>
      <c r="M164" s="9">
        <f t="shared" si="70"/>
        <v>0</v>
      </c>
      <c r="N164" s="9">
        <f t="shared" si="70"/>
        <v>0</v>
      </c>
      <c r="O164" s="268"/>
      <c r="P164" s="243"/>
    </row>
    <row r="165" spans="1:16" x14ac:dyDescent="0.25">
      <c r="A165" s="241"/>
      <c r="B165" s="238" t="s">
        <v>9</v>
      </c>
      <c r="C165" s="4">
        <f>C177</f>
        <v>124</v>
      </c>
      <c r="D165" s="4" t="str">
        <f>D177</f>
        <v>07</v>
      </c>
      <c r="E165" s="4" t="str">
        <f>E177</f>
        <v>02</v>
      </c>
      <c r="F165" s="4"/>
      <c r="G165" s="13"/>
      <c r="H165" s="9">
        <f>H177+H192</f>
        <v>6242.2999999999993</v>
      </c>
      <c r="I165" s="9">
        <f t="shared" ref="I165:N165" si="71">I177+I192</f>
        <v>4364</v>
      </c>
      <c r="J165" s="9">
        <f t="shared" si="71"/>
        <v>0</v>
      </c>
      <c r="K165" s="9">
        <f t="shared" si="71"/>
        <v>0</v>
      </c>
      <c r="L165" s="9">
        <f t="shared" si="71"/>
        <v>1878.3</v>
      </c>
      <c r="M165" s="9">
        <f t="shared" si="71"/>
        <v>4738.5</v>
      </c>
      <c r="N165" s="9">
        <f t="shared" si="71"/>
        <v>1694.8</v>
      </c>
      <c r="O165" s="268"/>
      <c r="P165" s="243"/>
    </row>
    <row r="166" spans="1:16" x14ac:dyDescent="0.25">
      <c r="A166" s="241"/>
      <c r="B166" s="239"/>
      <c r="C166" s="5" t="s">
        <v>41</v>
      </c>
      <c r="D166" s="5" t="s">
        <v>233</v>
      </c>
      <c r="E166" s="5" t="s">
        <v>235</v>
      </c>
      <c r="F166" s="202" t="str">
        <f>F199</f>
        <v>0710170380</v>
      </c>
      <c r="G166" s="13" t="str">
        <f>G199</f>
        <v>521</v>
      </c>
      <c r="H166" s="8">
        <f>H193+H201</f>
        <v>65769.400000000009</v>
      </c>
      <c r="I166" s="8">
        <f t="shared" ref="I166:N166" si="72">I193+I201</f>
        <v>0</v>
      </c>
      <c r="J166" s="8">
        <f t="shared" si="72"/>
        <v>0</v>
      </c>
      <c r="K166" s="8">
        <f>K193+K201</f>
        <v>65769.400000000009</v>
      </c>
      <c r="L166" s="8">
        <f t="shared" si="72"/>
        <v>0</v>
      </c>
      <c r="M166" s="8">
        <f t="shared" si="72"/>
        <v>54876.4</v>
      </c>
      <c r="N166" s="8">
        <f t="shared" si="72"/>
        <v>54876.4</v>
      </c>
      <c r="O166" s="268"/>
      <c r="P166" s="243"/>
    </row>
    <row r="167" spans="1:16" ht="12.75" customHeight="1" x14ac:dyDescent="0.25">
      <c r="A167" s="241"/>
      <c r="B167" s="240"/>
      <c r="C167" s="13">
        <f>C194</f>
        <v>136</v>
      </c>
      <c r="D167" s="13" t="str">
        <f>D194</f>
        <v>07</v>
      </c>
      <c r="E167" s="13" t="str">
        <f>E194</f>
        <v>02</v>
      </c>
      <c r="F167" s="13" t="str">
        <f>F194</f>
        <v>0710170920</v>
      </c>
      <c r="G167" s="13"/>
      <c r="H167" s="8">
        <f>H178+H194</f>
        <v>52089.5</v>
      </c>
      <c r="I167" s="8">
        <f t="shared" ref="I167:N167" si="73">I178+I194</f>
        <v>0</v>
      </c>
      <c r="J167" s="8">
        <f t="shared" si="73"/>
        <v>1825</v>
      </c>
      <c r="K167" s="8">
        <f t="shared" si="73"/>
        <v>24007.5</v>
      </c>
      <c r="L167" s="8">
        <f>L178+L194</f>
        <v>26257</v>
      </c>
      <c r="M167" s="8">
        <f>M178+M194</f>
        <v>47817.5</v>
      </c>
      <c r="N167" s="8">
        <f t="shared" si="73"/>
        <v>47817.5</v>
      </c>
      <c r="O167" s="268"/>
      <c r="P167" s="243"/>
    </row>
    <row r="168" spans="1:16" x14ac:dyDescent="0.25">
      <c r="A168" s="241"/>
      <c r="B168" s="196" t="s">
        <v>10</v>
      </c>
      <c r="C168" s="4"/>
      <c r="D168" s="5"/>
      <c r="E168" s="5"/>
      <c r="F168" s="5"/>
      <c r="G168" s="13"/>
      <c r="H168" s="9">
        <f t="shared" ref="H168:N168" si="74">H179+H195</f>
        <v>0</v>
      </c>
      <c r="I168" s="9">
        <f t="shared" si="74"/>
        <v>0</v>
      </c>
      <c r="J168" s="9">
        <f t="shared" si="74"/>
        <v>0</v>
      </c>
      <c r="K168" s="9">
        <f t="shared" si="74"/>
        <v>0</v>
      </c>
      <c r="L168" s="9">
        <f t="shared" si="74"/>
        <v>0</v>
      </c>
      <c r="M168" s="9">
        <f t="shared" si="74"/>
        <v>0</v>
      </c>
      <c r="N168" s="9">
        <f t="shared" si="74"/>
        <v>0</v>
      </c>
      <c r="O168" s="268"/>
      <c r="P168" s="244"/>
    </row>
    <row r="169" spans="1:16" ht="26.4" x14ac:dyDescent="0.25">
      <c r="A169" s="241" t="s">
        <v>466</v>
      </c>
      <c r="B169" s="196" t="s">
        <v>444</v>
      </c>
      <c r="C169" s="4"/>
      <c r="D169" s="5"/>
      <c r="E169" s="5"/>
      <c r="F169" s="5"/>
      <c r="G169" s="13"/>
      <c r="H169" s="11">
        <v>5</v>
      </c>
      <c r="I169" s="11">
        <v>0</v>
      </c>
      <c r="J169" s="11">
        <v>0</v>
      </c>
      <c r="K169" s="11">
        <v>0</v>
      </c>
      <c r="L169" s="11">
        <v>5</v>
      </c>
      <c r="M169" s="11">
        <v>3</v>
      </c>
      <c r="N169" s="11">
        <v>2</v>
      </c>
      <c r="O169" s="268" t="s">
        <v>347</v>
      </c>
      <c r="P169" s="242" t="s">
        <v>198</v>
      </c>
    </row>
    <row r="170" spans="1:16" ht="26.4" x14ac:dyDescent="0.25">
      <c r="A170" s="241"/>
      <c r="B170" s="196" t="s">
        <v>6</v>
      </c>
      <c r="C170" s="4"/>
      <c r="D170" s="5"/>
      <c r="E170" s="5"/>
      <c r="F170" s="5"/>
      <c r="G170" s="13"/>
      <c r="H170" s="9">
        <f t="shared" ref="H170:N170" si="75">ROUND(H171/H169,1)</f>
        <v>458798.2</v>
      </c>
      <c r="I170" s="9" t="s">
        <v>229</v>
      </c>
      <c r="J170" s="9" t="s">
        <v>229</v>
      </c>
      <c r="K170" s="9" t="s">
        <v>229</v>
      </c>
      <c r="L170" s="9" t="s">
        <v>229</v>
      </c>
      <c r="M170" s="9">
        <f t="shared" si="75"/>
        <v>410048.7</v>
      </c>
      <c r="N170" s="9">
        <f t="shared" si="75"/>
        <v>657240.19999999995</v>
      </c>
      <c r="O170" s="268"/>
      <c r="P170" s="243"/>
    </row>
    <row r="171" spans="1:16" x14ac:dyDescent="0.25">
      <c r="A171" s="241"/>
      <c r="B171" s="196" t="s">
        <v>74</v>
      </c>
      <c r="C171" s="4"/>
      <c r="D171" s="5"/>
      <c r="E171" s="5"/>
      <c r="F171" s="5"/>
      <c r="G171" s="13"/>
      <c r="H171" s="9">
        <f>SUM(H172:H179)</f>
        <v>2293991.1346099996</v>
      </c>
      <c r="I171" s="9">
        <f t="shared" ref="I171:N171" si="76">SUM(I172:I179)</f>
        <v>458907.06544000003</v>
      </c>
      <c r="J171" s="9">
        <f t="shared" si="76"/>
        <v>573442.36917000008</v>
      </c>
      <c r="K171" s="9">
        <f t="shared" si="76"/>
        <v>396885.1</v>
      </c>
      <c r="L171" s="9">
        <f t="shared" si="76"/>
        <v>864756.6</v>
      </c>
      <c r="M171" s="9">
        <f t="shared" si="76"/>
        <v>1230146</v>
      </c>
      <c r="N171" s="9">
        <f t="shared" si="76"/>
        <v>1314480.4000000001</v>
      </c>
      <c r="O171" s="268"/>
      <c r="P171" s="243"/>
    </row>
    <row r="172" spans="1:16" x14ac:dyDescent="0.25">
      <c r="A172" s="241"/>
      <c r="B172" s="238" t="s">
        <v>7</v>
      </c>
      <c r="C172" s="4">
        <v>124</v>
      </c>
      <c r="D172" s="5" t="s">
        <v>233</v>
      </c>
      <c r="E172" s="5" t="s">
        <v>234</v>
      </c>
      <c r="F172" s="6" t="s">
        <v>278</v>
      </c>
      <c r="G172" s="13" t="s">
        <v>50</v>
      </c>
      <c r="H172" s="9">
        <f t="shared" ref="H172:H179" si="77">I172+J172+K172+L172</f>
        <v>1657489.1846099999</v>
      </c>
      <c r="I172" s="9">
        <v>382599.16544000001</v>
      </c>
      <c r="J172" s="9">
        <v>552017.81917000003</v>
      </c>
      <c r="K172" s="9">
        <v>384178.1</v>
      </c>
      <c r="L172" s="9">
        <v>338694.1</v>
      </c>
      <c r="M172" s="9">
        <v>924728.1</v>
      </c>
      <c r="N172" s="9">
        <v>1145005.3</v>
      </c>
      <c r="O172" s="268"/>
      <c r="P172" s="243"/>
    </row>
    <row r="173" spans="1:16" hidden="1" x14ac:dyDescent="0.25">
      <c r="A173" s="241"/>
      <c r="B173" s="239"/>
      <c r="C173" s="4">
        <v>124</v>
      </c>
      <c r="D173" s="5" t="s">
        <v>233</v>
      </c>
      <c r="E173" s="5" t="s">
        <v>234</v>
      </c>
      <c r="F173" s="6" t="s">
        <v>280</v>
      </c>
      <c r="G173" s="13" t="s">
        <v>243</v>
      </c>
      <c r="H173" s="9">
        <f t="shared" si="77"/>
        <v>0</v>
      </c>
      <c r="I173" s="27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268"/>
      <c r="P173" s="243"/>
    </row>
    <row r="174" spans="1:16" x14ac:dyDescent="0.25">
      <c r="A174" s="241"/>
      <c r="B174" s="239"/>
      <c r="C174" s="4">
        <v>124</v>
      </c>
      <c r="D174" s="5" t="s">
        <v>233</v>
      </c>
      <c r="E174" s="5" t="s">
        <v>234</v>
      </c>
      <c r="F174" s="6" t="s">
        <v>279</v>
      </c>
      <c r="G174" s="13" t="s">
        <v>49</v>
      </c>
      <c r="H174" s="9">
        <f t="shared" si="77"/>
        <v>267707.05</v>
      </c>
      <c r="I174" s="9">
        <v>0</v>
      </c>
      <c r="J174" s="9">
        <v>21424.55</v>
      </c>
      <c r="K174" s="9">
        <v>12707</v>
      </c>
      <c r="L174" s="9">
        <f>238575.5-5000</f>
        <v>233575.5</v>
      </c>
      <c r="M174" s="9">
        <v>300679.40000000002</v>
      </c>
      <c r="N174" s="9">
        <v>167780.3</v>
      </c>
      <c r="O174" s="268"/>
      <c r="P174" s="243"/>
    </row>
    <row r="175" spans="1:16" hidden="1" x14ac:dyDescent="0.25">
      <c r="A175" s="241"/>
      <c r="B175" s="239"/>
      <c r="C175" s="4">
        <v>124</v>
      </c>
      <c r="D175" s="5" t="s">
        <v>233</v>
      </c>
      <c r="E175" s="5" t="s">
        <v>234</v>
      </c>
      <c r="F175" s="6" t="s">
        <v>279</v>
      </c>
      <c r="G175" s="13" t="s">
        <v>48</v>
      </c>
      <c r="H175" s="9">
        <f t="shared" si="77"/>
        <v>0</v>
      </c>
      <c r="I175" s="9"/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268"/>
      <c r="P175" s="243"/>
    </row>
    <row r="176" spans="1:16" x14ac:dyDescent="0.25">
      <c r="A176" s="241"/>
      <c r="B176" s="240"/>
      <c r="C176" s="4">
        <v>136</v>
      </c>
      <c r="D176" s="5" t="s">
        <v>233</v>
      </c>
      <c r="E176" s="5" t="s">
        <v>234</v>
      </c>
      <c r="F176" s="5" t="s">
        <v>285</v>
      </c>
      <c r="G176" s="13">
        <v>522</v>
      </c>
      <c r="H176" s="9">
        <f t="shared" si="77"/>
        <v>360000</v>
      </c>
      <c r="I176" s="9">
        <v>72000</v>
      </c>
      <c r="J176" s="9">
        <v>0</v>
      </c>
      <c r="K176" s="9">
        <v>0</v>
      </c>
      <c r="L176" s="9">
        <v>288000</v>
      </c>
      <c r="M176" s="9">
        <v>0</v>
      </c>
      <c r="N176" s="9">
        <v>0</v>
      </c>
      <c r="O176" s="268"/>
      <c r="P176" s="243"/>
    </row>
    <row r="177" spans="1:16" x14ac:dyDescent="0.25">
      <c r="A177" s="241"/>
      <c r="B177" s="238" t="s">
        <v>9</v>
      </c>
      <c r="C177" s="4">
        <v>124</v>
      </c>
      <c r="D177" s="5" t="s">
        <v>233</v>
      </c>
      <c r="E177" s="5" t="s">
        <v>234</v>
      </c>
      <c r="F177" s="5"/>
      <c r="G177" s="13"/>
      <c r="H177" s="9">
        <f t="shared" si="77"/>
        <v>4307.8999999999996</v>
      </c>
      <c r="I177" s="9">
        <v>4307.8999999999996</v>
      </c>
      <c r="J177" s="9">
        <v>0</v>
      </c>
      <c r="K177" s="9">
        <v>0</v>
      </c>
      <c r="L177" s="9">
        <v>0</v>
      </c>
      <c r="M177" s="9">
        <v>4738.5</v>
      </c>
      <c r="N177" s="9">
        <v>1694.8</v>
      </c>
      <c r="O177" s="268"/>
      <c r="P177" s="243"/>
    </row>
    <row r="178" spans="1:16" x14ac:dyDescent="0.25">
      <c r="A178" s="241"/>
      <c r="B178" s="240"/>
      <c r="C178" s="4">
        <v>136</v>
      </c>
      <c r="D178" s="5" t="s">
        <v>233</v>
      </c>
      <c r="E178" s="5" t="s">
        <v>234</v>
      </c>
      <c r="F178" s="5"/>
      <c r="G178" s="13"/>
      <c r="H178" s="9">
        <f t="shared" si="77"/>
        <v>4487</v>
      </c>
      <c r="I178" s="9">
        <v>0</v>
      </c>
      <c r="J178" s="9">
        <v>0</v>
      </c>
      <c r="K178" s="9">
        <v>0</v>
      </c>
      <c r="L178" s="9">
        <v>4487</v>
      </c>
      <c r="M178" s="9">
        <v>0</v>
      </c>
      <c r="N178" s="9">
        <v>0</v>
      </c>
      <c r="O178" s="268"/>
      <c r="P178" s="243"/>
    </row>
    <row r="179" spans="1:16" x14ac:dyDescent="0.25">
      <c r="A179" s="241"/>
      <c r="B179" s="196" t="s">
        <v>10</v>
      </c>
      <c r="C179" s="4"/>
      <c r="D179" s="5"/>
      <c r="E179" s="5"/>
      <c r="F179" s="5"/>
      <c r="G179" s="13"/>
      <c r="H179" s="9">
        <f t="shared" si="77"/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268"/>
      <c r="P179" s="244"/>
    </row>
    <row r="180" spans="1:16" ht="39.6" x14ac:dyDescent="0.25">
      <c r="A180" s="264" t="s">
        <v>620</v>
      </c>
      <c r="B180" s="196" t="s">
        <v>156</v>
      </c>
      <c r="C180" s="4"/>
      <c r="D180" s="5"/>
      <c r="E180" s="5"/>
      <c r="F180" s="5"/>
      <c r="G180" s="13"/>
      <c r="H180" s="126">
        <v>93</v>
      </c>
      <c r="I180" s="11">
        <v>0</v>
      </c>
      <c r="J180" s="11">
        <v>1</v>
      </c>
      <c r="K180" s="11">
        <v>43</v>
      </c>
      <c r="L180" s="126">
        <v>49</v>
      </c>
      <c r="M180" s="11">
        <v>72</v>
      </c>
      <c r="N180" s="11">
        <v>72</v>
      </c>
      <c r="O180" s="268" t="s">
        <v>217</v>
      </c>
      <c r="P180" s="268" t="s">
        <v>295</v>
      </c>
    </row>
    <row r="181" spans="1:16" ht="12" customHeight="1" x14ac:dyDescent="0.25">
      <c r="A181" s="264"/>
      <c r="B181" s="196" t="s">
        <v>94</v>
      </c>
      <c r="C181" s="4"/>
      <c r="D181" s="5"/>
      <c r="E181" s="5"/>
      <c r="F181" s="5"/>
      <c r="G181" s="13"/>
      <c r="H181" s="9">
        <f t="shared" ref="H181:N181" si="78">ROUND(H182/H180,1)</f>
        <v>14678.7</v>
      </c>
      <c r="I181" s="9" t="s">
        <v>229</v>
      </c>
      <c r="J181" s="9" t="s">
        <v>229</v>
      </c>
      <c r="K181" s="9" t="s">
        <v>229</v>
      </c>
      <c r="L181" s="9" t="s">
        <v>229</v>
      </c>
      <c r="M181" s="9">
        <f t="shared" si="78"/>
        <v>14759.5</v>
      </c>
      <c r="N181" s="9">
        <f t="shared" si="78"/>
        <v>14759.5</v>
      </c>
      <c r="O181" s="268"/>
      <c r="P181" s="268"/>
    </row>
    <row r="182" spans="1:16" x14ac:dyDescent="0.25">
      <c r="A182" s="264"/>
      <c r="B182" s="196" t="s">
        <v>74</v>
      </c>
      <c r="C182" s="4"/>
      <c r="D182" s="5"/>
      <c r="E182" s="5"/>
      <c r="F182" s="5"/>
      <c r="G182" s="13"/>
      <c r="H182" s="9">
        <f>SUM(H183:H195)</f>
        <v>1365117.2</v>
      </c>
      <c r="I182" s="9">
        <f t="shared" ref="I182:N182" si="79">SUM(I184:I195)</f>
        <v>14778.6</v>
      </c>
      <c r="J182" s="9">
        <f t="shared" si="79"/>
        <v>53882.7</v>
      </c>
      <c r="K182" s="9">
        <f t="shared" si="79"/>
        <v>660062.9</v>
      </c>
      <c r="L182" s="9">
        <f t="shared" si="79"/>
        <v>529100</v>
      </c>
      <c r="M182" s="9">
        <f t="shared" si="79"/>
        <v>1062682.5</v>
      </c>
      <c r="N182" s="9">
        <f t="shared" si="79"/>
        <v>1062682.5</v>
      </c>
      <c r="O182" s="268"/>
      <c r="P182" s="268"/>
    </row>
    <row r="183" spans="1:16" ht="13.5" customHeight="1" x14ac:dyDescent="0.25">
      <c r="A183" s="264"/>
      <c r="B183" s="238" t="s">
        <v>13</v>
      </c>
      <c r="C183" s="4">
        <v>124</v>
      </c>
      <c r="D183" s="5" t="s">
        <v>233</v>
      </c>
      <c r="E183" s="5" t="s">
        <v>234</v>
      </c>
      <c r="F183" s="6" t="s">
        <v>279</v>
      </c>
      <c r="G183" s="13" t="s">
        <v>48</v>
      </c>
      <c r="H183" s="9">
        <f t="shared" ref="H183:H195" si="80">I183+J183+K183+L183</f>
        <v>107293</v>
      </c>
      <c r="I183" s="9">
        <v>0</v>
      </c>
      <c r="J183" s="9">
        <v>35596.9</v>
      </c>
      <c r="K183" s="9">
        <v>67250.2</v>
      </c>
      <c r="L183" s="9">
        <v>4445.8999999999996</v>
      </c>
      <c r="M183" s="9">
        <v>0</v>
      </c>
      <c r="N183" s="9">
        <v>0</v>
      </c>
      <c r="O183" s="268"/>
      <c r="P183" s="268"/>
    </row>
    <row r="184" spans="1:16" hidden="1" x14ac:dyDescent="0.25">
      <c r="A184" s="264"/>
      <c r="B184" s="239"/>
      <c r="C184" s="6">
        <v>136</v>
      </c>
      <c r="D184" s="5" t="s">
        <v>233</v>
      </c>
      <c r="E184" s="5" t="s">
        <v>235</v>
      </c>
      <c r="F184" s="6" t="s">
        <v>282</v>
      </c>
      <c r="G184" s="13" t="s">
        <v>47</v>
      </c>
      <c r="H184" s="9">
        <f t="shared" si="80"/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268"/>
      <c r="P184" s="268"/>
    </row>
    <row r="185" spans="1:16" x14ac:dyDescent="0.25">
      <c r="A185" s="264"/>
      <c r="B185" s="239"/>
      <c r="C185" s="6" t="s">
        <v>41</v>
      </c>
      <c r="D185" s="5" t="s">
        <v>233</v>
      </c>
      <c r="E185" s="5" t="s">
        <v>235</v>
      </c>
      <c r="F185" s="6" t="s">
        <v>282</v>
      </c>
      <c r="G185" s="13" t="s">
        <v>46</v>
      </c>
      <c r="H185" s="9">
        <f t="shared" si="80"/>
        <v>11550.6</v>
      </c>
      <c r="I185" s="9">
        <v>0</v>
      </c>
      <c r="J185" s="9">
        <v>0</v>
      </c>
      <c r="K185" s="9">
        <v>3000</v>
      </c>
      <c r="L185" s="9">
        <v>8550.6</v>
      </c>
      <c r="M185" s="9">
        <v>0</v>
      </c>
      <c r="N185" s="9">
        <v>0</v>
      </c>
      <c r="O185" s="268"/>
      <c r="P185" s="268"/>
    </row>
    <row r="186" spans="1:16" x14ac:dyDescent="0.25">
      <c r="A186" s="264"/>
      <c r="B186" s="239"/>
      <c r="C186" s="6" t="s">
        <v>41</v>
      </c>
      <c r="D186" s="5" t="s">
        <v>233</v>
      </c>
      <c r="E186" s="5" t="s">
        <v>235</v>
      </c>
      <c r="F186" s="6" t="s">
        <v>282</v>
      </c>
      <c r="G186" s="13" t="s">
        <v>45</v>
      </c>
      <c r="H186" s="9">
        <f t="shared" si="80"/>
        <v>14000</v>
      </c>
      <c r="I186" s="9">
        <v>0</v>
      </c>
      <c r="J186" s="9">
        <v>0</v>
      </c>
      <c r="K186" s="9">
        <v>0</v>
      </c>
      <c r="L186" s="9">
        <v>14000</v>
      </c>
      <c r="M186" s="9">
        <v>0</v>
      </c>
      <c r="N186" s="9">
        <v>0</v>
      </c>
      <c r="O186" s="268"/>
      <c r="P186" s="268"/>
    </row>
    <row r="187" spans="1:16" x14ac:dyDescent="0.25">
      <c r="A187" s="264"/>
      <c r="B187" s="239"/>
      <c r="C187" s="6" t="s">
        <v>41</v>
      </c>
      <c r="D187" s="5" t="s">
        <v>233</v>
      </c>
      <c r="E187" s="5" t="s">
        <v>235</v>
      </c>
      <c r="F187" s="6" t="s">
        <v>283</v>
      </c>
      <c r="G187" s="13" t="s">
        <v>48</v>
      </c>
      <c r="H187" s="9">
        <f t="shared" si="80"/>
        <v>127827.6</v>
      </c>
      <c r="I187" s="9">
        <v>14722.5</v>
      </c>
      <c r="J187" s="9">
        <v>13287.7</v>
      </c>
      <c r="K187" s="9">
        <v>74576.800000000003</v>
      </c>
      <c r="L187" s="9">
        <v>25240.6</v>
      </c>
      <c r="M187" s="9">
        <v>14300</v>
      </c>
      <c r="N187" s="9">
        <v>14300</v>
      </c>
      <c r="O187" s="268"/>
      <c r="P187" s="268"/>
    </row>
    <row r="188" spans="1:16" hidden="1" x14ac:dyDescent="0.25">
      <c r="A188" s="264"/>
      <c r="B188" s="239"/>
      <c r="C188" s="6" t="s">
        <v>41</v>
      </c>
      <c r="D188" s="5" t="s">
        <v>233</v>
      </c>
      <c r="E188" s="5" t="s">
        <v>235</v>
      </c>
      <c r="F188" s="6" t="s">
        <v>283</v>
      </c>
      <c r="G188" s="13" t="s">
        <v>49</v>
      </c>
      <c r="H188" s="9">
        <f t="shared" si="80"/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268"/>
      <c r="P188" s="268"/>
    </row>
    <row r="189" spans="1:16" x14ac:dyDescent="0.25">
      <c r="A189" s="264"/>
      <c r="B189" s="239"/>
      <c r="C189" s="6" t="s">
        <v>41</v>
      </c>
      <c r="D189" s="5" t="s">
        <v>233</v>
      </c>
      <c r="E189" s="5" t="s">
        <v>235</v>
      </c>
      <c r="F189" s="6" t="s">
        <v>284</v>
      </c>
      <c r="G189" s="13" t="s">
        <v>42</v>
      </c>
      <c r="H189" s="9">
        <f t="shared" si="80"/>
        <v>98500</v>
      </c>
      <c r="I189" s="9">
        <v>0</v>
      </c>
      <c r="J189" s="9">
        <v>2270</v>
      </c>
      <c r="K189" s="9">
        <v>73970</v>
      </c>
      <c r="L189" s="9">
        <v>22260</v>
      </c>
      <c r="M189" s="9">
        <v>43500</v>
      </c>
      <c r="N189" s="9">
        <v>43500</v>
      </c>
      <c r="O189" s="268"/>
      <c r="P189" s="268"/>
    </row>
    <row r="190" spans="1:16" ht="13.35" customHeight="1" x14ac:dyDescent="0.25">
      <c r="A190" s="264"/>
      <c r="B190" s="239"/>
      <c r="C190" s="5">
        <v>136</v>
      </c>
      <c r="D190" s="5" t="s">
        <v>233</v>
      </c>
      <c r="E190" s="5" t="s">
        <v>234</v>
      </c>
      <c r="F190" s="6" t="s">
        <v>285</v>
      </c>
      <c r="G190" s="13" t="s">
        <v>48</v>
      </c>
      <c r="H190" s="9">
        <f t="shared" si="80"/>
        <v>952050</v>
      </c>
      <c r="I190" s="9">
        <v>0</v>
      </c>
      <c r="J190" s="9">
        <v>36500</v>
      </c>
      <c r="K190" s="9">
        <v>480149.5</v>
      </c>
      <c r="L190" s="9">
        <v>435400.5</v>
      </c>
      <c r="M190" s="9">
        <v>956350</v>
      </c>
      <c r="N190" s="9">
        <v>956350</v>
      </c>
      <c r="O190" s="268"/>
      <c r="P190" s="268"/>
    </row>
    <row r="191" spans="1:16" ht="13.35" customHeight="1" x14ac:dyDescent="0.25">
      <c r="A191" s="264"/>
      <c r="B191" s="196" t="s">
        <v>14</v>
      </c>
      <c r="C191" s="5"/>
      <c r="D191" s="5"/>
      <c r="E191" s="5"/>
      <c r="F191" s="5"/>
      <c r="G191" s="12"/>
      <c r="H191" s="9">
        <f t="shared" si="80"/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268"/>
      <c r="P191" s="268"/>
    </row>
    <row r="192" spans="1:16" ht="12.75" customHeight="1" x14ac:dyDescent="0.25">
      <c r="A192" s="264"/>
      <c r="B192" s="238" t="s">
        <v>15</v>
      </c>
      <c r="C192" s="5" t="s">
        <v>178</v>
      </c>
      <c r="D192" s="5" t="s">
        <v>233</v>
      </c>
      <c r="E192" s="5" t="s">
        <v>234</v>
      </c>
      <c r="F192" s="5"/>
      <c r="G192" s="12"/>
      <c r="H192" s="9">
        <f t="shared" si="80"/>
        <v>1934.3999999999999</v>
      </c>
      <c r="I192" s="9">
        <v>56.1</v>
      </c>
      <c r="J192" s="9">
        <v>0</v>
      </c>
      <c r="K192" s="9">
        <v>0</v>
      </c>
      <c r="L192" s="9">
        <v>1878.3</v>
      </c>
      <c r="M192" s="9">
        <v>0</v>
      </c>
      <c r="N192" s="9">
        <v>0</v>
      </c>
      <c r="O192" s="268"/>
      <c r="P192" s="268"/>
    </row>
    <row r="193" spans="1:16" x14ac:dyDescent="0.25">
      <c r="A193" s="264"/>
      <c r="B193" s="239"/>
      <c r="C193" s="5">
        <v>136</v>
      </c>
      <c r="D193" s="5" t="s">
        <v>233</v>
      </c>
      <c r="E193" s="5" t="s">
        <v>234</v>
      </c>
      <c r="F193" s="6" t="s">
        <v>283</v>
      </c>
      <c r="G193" s="12"/>
      <c r="H193" s="9">
        <f t="shared" si="80"/>
        <v>4359.1000000000004</v>
      </c>
      <c r="I193" s="9">
        <v>0</v>
      </c>
      <c r="J193" s="9">
        <v>0</v>
      </c>
      <c r="K193" s="9">
        <f>3363.6+995.5</f>
        <v>4359.1000000000004</v>
      </c>
      <c r="L193" s="9">
        <v>0</v>
      </c>
      <c r="M193" s="9">
        <v>715</v>
      </c>
      <c r="N193" s="9">
        <v>715</v>
      </c>
      <c r="O193" s="268"/>
      <c r="P193" s="268"/>
    </row>
    <row r="194" spans="1:16" x14ac:dyDescent="0.25">
      <c r="A194" s="264"/>
      <c r="B194" s="240"/>
      <c r="C194" s="5">
        <v>136</v>
      </c>
      <c r="D194" s="5" t="s">
        <v>233</v>
      </c>
      <c r="E194" s="5" t="s">
        <v>234</v>
      </c>
      <c r="F194" s="6" t="s">
        <v>285</v>
      </c>
      <c r="G194" s="13"/>
      <c r="H194" s="9">
        <f t="shared" si="80"/>
        <v>47602.5</v>
      </c>
      <c r="I194" s="9">
        <v>0</v>
      </c>
      <c r="J194" s="9">
        <f>ROUND(J190*0.05,1)</f>
        <v>1825</v>
      </c>
      <c r="K194" s="9">
        <f>ROUND(K190*0.05,1)</f>
        <v>24007.5</v>
      </c>
      <c r="L194" s="9">
        <f>ROUND(L190*0.05,1)</f>
        <v>21770</v>
      </c>
      <c r="M194" s="9">
        <f>ROUND(M190*0.05,1)</f>
        <v>47817.5</v>
      </c>
      <c r="N194" s="9">
        <f>ROUND(N190*0.05,1)</f>
        <v>47817.5</v>
      </c>
      <c r="O194" s="268"/>
      <c r="P194" s="268"/>
    </row>
    <row r="195" spans="1:16" x14ac:dyDescent="0.25">
      <c r="A195" s="264"/>
      <c r="B195" s="196" t="s">
        <v>12</v>
      </c>
      <c r="C195" s="6"/>
      <c r="D195" s="6"/>
      <c r="E195" s="6"/>
      <c r="F195" s="6"/>
      <c r="G195" s="13"/>
      <c r="H195" s="9">
        <f t="shared" si="80"/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268"/>
      <c r="P195" s="268"/>
    </row>
    <row r="196" spans="1:16" ht="26.4" x14ac:dyDescent="0.25">
      <c r="A196" s="264" t="s">
        <v>467</v>
      </c>
      <c r="B196" s="196" t="s">
        <v>444</v>
      </c>
      <c r="C196" s="4"/>
      <c r="D196" s="5"/>
      <c r="E196" s="5"/>
      <c r="F196" s="5"/>
      <c r="G196" s="12"/>
      <c r="H196" s="11">
        <v>110</v>
      </c>
      <c r="I196" s="11">
        <v>0</v>
      </c>
      <c r="J196" s="11">
        <v>0</v>
      </c>
      <c r="K196" s="11">
        <v>110</v>
      </c>
      <c r="L196" s="11">
        <v>0</v>
      </c>
      <c r="M196" s="9">
        <v>75</v>
      </c>
      <c r="N196" s="9">
        <v>75</v>
      </c>
      <c r="O196" s="268" t="s">
        <v>218</v>
      </c>
      <c r="P196" s="268" t="s">
        <v>194</v>
      </c>
    </row>
    <row r="197" spans="1:16" ht="26.4" x14ac:dyDescent="0.25">
      <c r="A197" s="264"/>
      <c r="B197" s="196" t="s">
        <v>94</v>
      </c>
      <c r="C197" s="4"/>
      <c r="D197" s="5"/>
      <c r="E197" s="5"/>
      <c r="F197" s="5"/>
      <c r="G197" s="12"/>
      <c r="H197" s="9">
        <f t="shared" ref="H197:N197" si="81">ROUND(H198/H196,1)</f>
        <v>3299</v>
      </c>
      <c r="I197" s="9" t="s">
        <v>229</v>
      </c>
      <c r="J197" s="9" t="s">
        <v>229</v>
      </c>
      <c r="K197" s="9" t="s">
        <v>229</v>
      </c>
      <c r="L197" s="9" t="s">
        <v>229</v>
      </c>
      <c r="M197" s="9">
        <f t="shared" si="81"/>
        <v>3388.8</v>
      </c>
      <c r="N197" s="9">
        <f t="shared" si="81"/>
        <v>3388.8</v>
      </c>
      <c r="O197" s="268"/>
      <c r="P197" s="268"/>
    </row>
    <row r="198" spans="1:16" x14ac:dyDescent="0.25">
      <c r="A198" s="264"/>
      <c r="B198" s="196" t="s">
        <v>74</v>
      </c>
      <c r="C198" s="4"/>
      <c r="D198" s="5"/>
      <c r="E198" s="5"/>
      <c r="F198" s="5"/>
      <c r="G198" s="12"/>
      <c r="H198" s="9">
        <f>SUM(H199:H202)</f>
        <v>362886.89999999997</v>
      </c>
      <c r="I198" s="9">
        <f t="shared" ref="I198:N198" si="82">SUM(I199:I202)</f>
        <v>0</v>
      </c>
      <c r="J198" s="9">
        <f t="shared" si="82"/>
        <v>0</v>
      </c>
      <c r="K198" s="9">
        <f t="shared" si="82"/>
        <v>288488.3</v>
      </c>
      <c r="L198" s="9">
        <f t="shared" si="82"/>
        <v>74398.600000000006</v>
      </c>
      <c r="M198" s="9">
        <f t="shared" si="82"/>
        <v>254161.4</v>
      </c>
      <c r="N198" s="9">
        <f t="shared" si="82"/>
        <v>254161.4</v>
      </c>
      <c r="O198" s="268"/>
      <c r="P198" s="268"/>
    </row>
    <row r="199" spans="1:16" x14ac:dyDescent="0.25">
      <c r="A199" s="264"/>
      <c r="B199" s="195" t="s">
        <v>16</v>
      </c>
      <c r="C199" s="6" t="s">
        <v>41</v>
      </c>
      <c r="D199" s="5" t="s">
        <v>233</v>
      </c>
      <c r="E199" s="5" t="s">
        <v>235</v>
      </c>
      <c r="F199" s="6" t="s">
        <v>283</v>
      </c>
      <c r="G199" s="13" t="s">
        <v>48</v>
      </c>
      <c r="H199" s="9">
        <f>I199+J199+K199+L199</f>
        <v>301476.59999999998</v>
      </c>
      <c r="I199" s="9">
        <v>0</v>
      </c>
      <c r="J199" s="9">
        <v>0</v>
      </c>
      <c r="K199" s="9">
        <v>227078</v>
      </c>
      <c r="L199" s="9">
        <v>74398.600000000006</v>
      </c>
      <c r="M199" s="9">
        <v>200000</v>
      </c>
      <c r="N199" s="9">
        <v>200000</v>
      </c>
      <c r="O199" s="268"/>
      <c r="P199" s="268"/>
    </row>
    <row r="200" spans="1:16" hidden="1" x14ac:dyDescent="0.25">
      <c r="A200" s="264"/>
      <c r="B200" s="196" t="s">
        <v>14</v>
      </c>
      <c r="C200" s="158"/>
      <c r="D200" s="158"/>
      <c r="E200" s="158"/>
      <c r="F200" s="158"/>
      <c r="G200" s="208"/>
      <c r="H200" s="222">
        <f>I200+J200+K200+L200</f>
        <v>0</v>
      </c>
      <c r="I200" s="222">
        <v>0</v>
      </c>
      <c r="J200" s="222"/>
      <c r="K200" s="222"/>
      <c r="L200" s="222">
        <v>0</v>
      </c>
      <c r="M200" s="222"/>
      <c r="N200" s="222"/>
      <c r="O200" s="268"/>
      <c r="P200" s="268"/>
    </row>
    <row r="201" spans="1:16" x14ac:dyDescent="0.25">
      <c r="A201" s="264"/>
      <c r="B201" s="196" t="s">
        <v>15</v>
      </c>
      <c r="C201" s="6" t="s">
        <v>41</v>
      </c>
      <c r="D201" s="6" t="s">
        <v>233</v>
      </c>
      <c r="E201" s="6" t="s">
        <v>235</v>
      </c>
      <c r="F201" s="6"/>
      <c r="G201" s="13"/>
      <c r="H201" s="9">
        <f>I201+J201+K201+L201</f>
        <v>61410.3</v>
      </c>
      <c r="I201" s="9">
        <v>0</v>
      </c>
      <c r="J201" s="9">
        <v>0</v>
      </c>
      <c r="K201" s="9">
        <f>54161.4+7248.9</f>
        <v>61410.3</v>
      </c>
      <c r="L201" s="9">
        <v>0</v>
      </c>
      <c r="M201" s="9">
        <v>54161.4</v>
      </c>
      <c r="N201" s="9">
        <v>54161.4</v>
      </c>
      <c r="O201" s="268"/>
      <c r="P201" s="268"/>
    </row>
    <row r="202" spans="1:16" x14ac:dyDescent="0.25">
      <c r="A202" s="264"/>
      <c r="B202" s="196" t="s">
        <v>12</v>
      </c>
      <c r="C202" s="6"/>
      <c r="D202" s="6"/>
      <c r="E202" s="6"/>
      <c r="F202" s="6"/>
      <c r="G202" s="13"/>
      <c r="H202" s="9">
        <f>I202+J202+K202+L202</f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268"/>
      <c r="P202" s="268"/>
    </row>
    <row r="203" spans="1:16" ht="25.5" customHeight="1" x14ac:dyDescent="0.25">
      <c r="A203" s="238" t="s">
        <v>468</v>
      </c>
      <c r="B203" s="196" t="s">
        <v>567</v>
      </c>
      <c r="C203" s="6"/>
      <c r="D203" s="6"/>
      <c r="E203" s="6"/>
      <c r="F203" s="6"/>
      <c r="G203" s="13"/>
      <c r="H203" s="11" t="s">
        <v>51</v>
      </c>
      <c r="I203" s="11" t="s">
        <v>51</v>
      </c>
      <c r="J203" s="11" t="s">
        <v>51</v>
      </c>
      <c r="K203" s="11" t="s">
        <v>51</v>
      </c>
      <c r="L203" s="11" t="s">
        <v>51</v>
      </c>
      <c r="M203" s="11" t="s">
        <v>51</v>
      </c>
      <c r="N203" s="11" t="s">
        <v>51</v>
      </c>
      <c r="O203" s="242" t="s">
        <v>581</v>
      </c>
      <c r="P203" s="242" t="s">
        <v>568</v>
      </c>
    </row>
    <row r="204" spans="1:16" ht="27" customHeight="1" x14ac:dyDescent="0.25">
      <c r="A204" s="239"/>
      <c r="B204" s="196" t="s">
        <v>94</v>
      </c>
      <c r="C204" s="6"/>
      <c r="D204" s="6"/>
      <c r="E204" s="6"/>
      <c r="F204" s="6"/>
      <c r="G204" s="13"/>
      <c r="H204" s="11" t="s">
        <v>51</v>
      </c>
      <c r="I204" s="9" t="s">
        <v>229</v>
      </c>
      <c r="J204" s="9" t="s">
        <v>229</v>
      </c>
      <c r="K204" s="9" t="s">
        <v>229</v>
      </c>
      <c r="L204" s="9" t="s">
        <v>229</v>
      </c>
      <c r="M204" s="11" t="s">
        <v>51</v>
      </c>
      <c r="N204" s="11" t="s">
        <v>51</v>
      </c>
      <c r="O204" s="243"/>
      <c r="P204" s="243"/>
    </row>
    <row r="205" spans="1:16" ht="26.4" customHeight="1" x14ac:dyDescent="0.25">
      <c r="A205" s="239"/>
      <c r="B205" s="196" t="s">
        <v>74</v>
      </c>
      <c r="C205" s="6"/>
      <c r="D205" s="6"/>
      <c r="E205" s="6"/>
      <c r="F205" s="6"/>
      <c r="G205" s="13"/>
      <c r="H205" s="9">
        <f>SUM(H213)</f>
        <v>489522.5</v>
      </c>
      <c r="I205" s="9">
        <f t="shared" ref="I205:N205" si="83">SUM(I213)</f>
        <v>266650.5</v>
      </c>
      <c r="J205" s="9">
        <f t="shared" si="83"/>
        <v>118702.39999999999</v>
      </c>
      <c r="K205" s="9">
        <f t="shared" si="83"/>
        <v>90435.9</v>
      </c>
      <c r="L205" s="9">
        <f t="shared" si="83"/>
        <v>13733.7</v>
      </c>
      <c r="M205" s="9">
        <f t="shared" si="83"/>
        <v>448945.5</v>
      </c>
      <c r="N205" s="9">
        <f t="shared" si="83"/>
        <v>0</v>
      </c>
      <c r="O205" s="243"/>
      <c r="P205" s="243"/>
    </row>
    <row r="206" spans="1:16" x14ac:dyDescent="0.25">
      <c r="A206" s="239"/>
      <c r="B206" s="238" t="s">
        <v>7</v>
      </c>
      <c r="C206" s="13">
        <v>124</v>
      </c>
      <c r="D206" s="14" t="s">
        <v>233</v>
      </c>
      <c r="E206" s="14" t="s">
        <v>234</v>
      </c>
      <c r="F206" s="14" t="s">
        <v>317</v>
      </c>
      <c r="G206" s="13">
        <v>522</v>
      </c>
      <c r="H206" s="9">
        <f t="shared" ref="H206:N209" si="84">SUM(H214)</f>
        <v>2650.2</v>
      </c>
      <c r="I206" s="9">
        <f t="shared" si="84"/>
        <v>0</v>
      </c>
      <c r="J206" s="9">
        <f t="shared" si="84"/>
        <v>0</v>
      </c>
      <c r="K206" s="9">
        <f t="shared" si="84"/>
        <v>0</v>
      </c>
      <c r="L206" s="9">
        <f t="shared" si="84"/>
        <v>2650.2</v>
      </c>
      <c r="M206" s="9">
        <f t="shared" si="84"/>
        <v>0</v>
      </c>
      <c r="N206" s="9">
        <f t="shared" si="84"/>
        <v>0</v>
      </c>
      <c r="O206" s="243"/>
      <c r="P206" s="243"/>
    </row>
    <row r="207" spans="1:16" ht="13.35" customHeight="1" x14ac:dyDescent="0.25">
      <c r="A207" s="239"/>
      <c r="B207" s="240"/>
      <c r="C207" s="13">
        <v>124</v>
      </c>
      <c r="D207" s="14" t="s">
        <v>233</v>
      </c>
      <c r="E207" s="14" t="s">
        <v>234</v>
      </c>
      <c r="F207" s="14" t="s">
        <v>316</v>
      </c>
      <c r="G207" s="13">
        <v>522</v>
      </c>
      <c r="H207" s="9">
        <f>SUM(H215)</f>
        <v>105849.79999999999</v>
      </c>
      <c r="I207" s="9">
        <f t="shared" si="84"/>
        <v>57848.800000000003</v>
      </c>
      <c r="J207" s="9">
        <f t="shared" si="84"/>
        <v>25666.7</v>
      </c>
      <c r="K207" s="9">
        <f t="shared" si="84"/>
        <v>19895.900000000001</v>
      </c>
      <c r="L207" s="9">
        <f t="shared" si="84"/>
        <v>2438.4</v>
      </c>
      <c r="M207" s="9">
        <f t="shared" si="84"/>
        <v>97780.3</v>
      </c>
      <c r="N207" s="9">
        <f t="shared" si="84"/>
        <v>0</v>
      </c>
      <c r="O207" s="243"/>
      <c r="P207" s="243"/>
    </row>
    <row r="208" spans="1:16" ht="12.75" customHeight="1" x14ac:dyDescent="0.25">
      <c r="A208" s="239"/>
      <c r="B208" s="196" t="s">
        <v>14</v>
      </c>
      <c r="C208" s="13">
        <v>124</v>
      </c>
      <c r="D208" s="13" t="s">
        <v>233</v>
      </c>
      <c r="E208" s="13" t="s">
        <v>234</v>
      </c>
      <c r="F208" s="13" t="s">
        <v>316</v>
      </c>
      <c r="G208" s="13">
        <v>522</v>
      </c>
      <c r="H208" s="9">
        <f t="shared" si="84"/>
        <v>375285.1</v>
      </c>
      <c r="I208" s="9">
        <f t="shared" si="84"/>
        <v>205100</v>
      </c>
      <c r="J208" s="9">
        <f t="shared" si="84"/>
        <v>91000</v>
      </c>
      <c r="K208" s="9">
        <f t="shared" si="84"/>
        <v>70540</v>
      </c>
      <c r="L208" s="9">
        <f t="shared" si="84"/>
        <v>8645.1</v>
      </c>
      <c r="M208" s="9">
        <f t="shared" si="84"/>
        <v>346675.7</v>
      </c>
      <c r="N208" s="9">
        <f t="shared" si="84"/>
        <v>0</v>
      </c>
      <c r="O208" s="243"/>
      <c r="P208" s="243"/>
    </row>
    <row r="209" spans="1:16" ht="12.75" customHeight="1" x14ac:dyDescent="0.25">
      <c r="A209" s="239"/>
      <c r="B209" s="196" t="s">
        <v>9</v>
      </c>
      <c r="C209" s="6" t="s">
        <v>178</v>
      </c>
      <c r="D209" s="6"/>
      <c r="E209" s="6"/>
      <c r="F209" s="6"/>
      <c r="G209" s="13"/>
      <c r="H209" s="9">
        <f t="shared" si="84"/>
        <v>5737.4000000000005</v>
      </c>
      <c r="I209" s="9">
        <f t="shared" si="84"/>
        <v>3701.7</v>
      </c>
      <c r="J209" s="9">
        <f t="shared" si="84"/>
        <v>2035.7</v>
      </c>
      <c r="K209" s="9">
        <f t="shared" si="84"/>
        <v>0</v>
      </c>
      <c r="L209" s="9">
        <f t="shared" si="84"/>
        <v>0</v>
      </c>
      <c r="M209" s="9">
        <f t="shared" si="84"/>
        <v>4489.5</v>
      </c>
      <c r="N209" s="9">
        <f t="shared" si="84"/>
        <v>0</v>
      </c>
      <c r="O209" s="243"/>
      <c r="P209" s="243"/>
    </row>
    <row r="210" spans="1:16" ht="33" customHeight="1" x14ac:dyDescent="0.25">
      <c r="A210" s="240"/>
      <c r="B210" s="196" t="s">
        <v>10</v>
      </c>
      <c r="C210" s="6"/>
      <c r="D210" s="6"/>
      <c r="E210" s="6"/>
      <c r="F210" s="6"/>
      <c r="G210" s="13"/>
      <c r="H210" s="9">
        <f>H218+H226+H234</f>
        <v>0</v>
      </c>
      <c r="I210" s="9">
        <f t="shared" ref="I210:N210" si="85">I218+I226+I234</f>
        <v>0</v>
      </c>
      <c r="J210" s="9">
        <f t="shared" si="85"/>
        <v>0</v>
      </c>
      <c r="K210" s="9">
        <f t="shared" si="85"/>
        <v>0</v>
      </c>
      <c r="L210" s="9">
        <f t="shared" si="85"/>
        <v>0</v>
      </c>
      <c r="M210" s="9">
        <f t="shared" si="85"/>
        <v>0</v>
      </c>
      <c r="N210" s="9">
        <f t="shared" si="85"/>
        <v>0</v>
      </c>
      <c r="O210" s="244"/>
      <c r="P210" s="244"/>
    </row>
    <row r="211" spans="1:16" ht="13.35" customHeight="1" x14ac:dyDescent="0.25">
      <c r="A211" s="238" t="s">
        <v>469</v>
      </c>
      <c r="B211" s="196" t="s">
        <v>156</v>
      </c>
      <c r="C211" s="6"/>
      <c r="D211" s="6"/>
      <c r="E211" s="6"/>
      <c r="F211" s="6"/>
      <c r="G211" s="13"/>
      <c r="H211" s="11">
        <v>1</v>
      </c>
      <c r="I211" s="11">
        <v>0</v>
      </c>
      <c r="J211" s="11">
        <v>0</v>
      </c>
      <c r="K211" s="11">
        <v>0</v>
      </c>
      <c r="L211" s="11">
        <v>1</v>
      </c>
      <c r="M211" s="11">
        <v>1</v>
      </c>
      <c r="N211" s="11">
        <v>0</v>
      </c>
      <c r="O211" s="242" t="s">
        <v>347</v>
      </c>
      <c r="P211" s="242" t="s">
        <v>569</v>
      </c>
    </row>
    <row r="212" spans="1:16" ht="13.35" customHeight="1" x14ac:dyDescent="0.25">
      <c r="A212" s="239"/>
      <c r="B212" s="196" t="s">
        <v>94</v>
      </c>
      <c r="C212" s="6"/>
      <c r="D212" s="6"/>
      <c r="E212" s="6"/>
      <c r="F212" s="6"/>
      <c r="G212" s="13"/>
      <c r="H212" s="9">
        <f>H213/H211</f>
        <v>489522.5</v>
      </c>
      <c r="I212" s="9" t="s">
        <v>229</v>
      </c>
      <c r="J212" s="9" t="s">
        <v>229</v>
      </c>
      <c r="K212" s="9" t="s">
        <v>229</v>
      </c>
      <c r="L212" s="9" t="s">
        <v>229</v>
      </c>
      <c r="M212" s="9">
        <f>M213/M211</f>
        <v>448945.5</v>
      </c>
      <c r="N212" s="9">
        <v>0</v>
      </c>
      <c r="O212" s="243"/>
      <c r="P212" s="243"/>
    </row>
    <row r="213" spans="1:16" ht="13.35" customHeight="1" x14ac:dyDescent="0.25">
      <c r="A213" s="239"/>
      <c r="B213" s="196" t="s">
        <v>74</v>
      </c>
      <c r="C213" s="6"/>
      <c r="D213" s="6"/>
      <c r="E213" s="6"/>
      <c r="F213" s="6"/>
      <c r="G213" s="13"/>
      <c r="H213" s="9">
        <f>SUM(H214:H217)</f>
        <v>489522.5</v>
      </c>
      <c r="I213" s="9">
        <f t="shared" ref="I213:N213" si="86">SUM(I214:I217)</f>
        <v>266650.5</v>
      </c>
      <c r="J213" s="9">
        <f t="shared" si="86"/>
        <v>118702.39999999999</v>
      </c>
      <c r="K213" s="9">
        <f t="shared" si="86"/>
        <v>90435.9</v>
      </c>
      <c r="L213" s="9">
        <f t="shared" si="86"/>
        <v>13733.7</v>
      </c>
      <c r="M213" s="9">
        <f t="shared" si="86"/>
        <v>448945.5</v>
      </c>
      <c r="N213" s="9">
        <f t="shared" si="86"/>
        <v>0</v>
      </c>
      <c r="O213" s="243"/>
      <c r="P213" s="243"/>
    </row>
    <row r="214" spans="1:16" ht="13.35" customHeight="1" x14ac:dyDescent="0.25">
      <c r="A214" s="239"/>
      <c r="B214" s="238" t="s">
        <v>7</v>
      </c>
      <c r="C214" s="13">
        <v>124</v>
      </c>
      <c r="D214" s="14" t="s">
        <v>233</v>
      </c>
      <c r="E214" s="14" t="s">
        <v>234</v>
      </c>
      <c r="F214" s="14" t="s">
        <v>317</v>
      </c>
      <c r="G214" s="13">
        <v>522</v>
      </c>
      <c r="H214" s="9">
        <f>I214+J214+K214+L214</f>
        <v>2650.2</v>
      </c>
      <c r="I214" s="9">
        <v>0</v>
      </c>
      <c r="J214" s="9">
        <v>0</v>
      </c>
      <c r="K214" s="9">
        <v>0</v>
      </c>
      <c r="L214" s="9">
        <v>2650.2</v>
      </c>
      <c r="M214" s="9">
        <v>0</v>
      </c>
      <c r="N214" s="15">
        <v>0</v>
      </c>
      <c r="O214" s="243"/>
      <c r="P214" s="243"/>
    </row>
    <row r="215" spans="1:16" ht="13.35" customHeight="1" x14ac:dyDescent="0.25">
      <c r="A215" s="239"/>
      <c r="B215" s="240"/>
      <c r="C215" s="13">
        <v>124</v>
      </c>
      <c r="D215" s="14" t="s">
        <v>233</v>
      </c>
      <c r="E215" s="14" t="s">
        <v>234</v>
      </c>
      <c r="F215" s="14" t="s">
        <v>316</v>
      </c>
      <c r="G215" s="13">
        <v>522</v>
      </c>
      <c r="H215" s="9">
        <f>I215+J215+K215+L215</f>
        <v>105849.79999999999</v>
      </c>
      <c r="I215" s="9">
        <v>57848.800000000003</v>
      </c>
      <c r="J215" s="9">
        <v>25666.7</v>
      </c>
      <c r="K215" s="9">
        <v>19895.900000000001</v>
      </c>
      <c r="L215" s="9">
        <v>2438.4</v>
      </c>
      <c r="M215" s="9">
        <v>97780.3</v>
      </c>
      <c r="N215" s="15">
        <v>0</v>
      </c>
      <c r="O215" s="243"/>
      <c r="P215" s="243"/>
    </row>
    <row r="216" spans="1:16" ht="13.35" customHeight="1" x14ac:dyDescent="0.25">
      <c r="A216" s="239"/>
      <c r="B216" s="196" t="s">
        <v>14</v>
      </c>
      <c r="C216" s="13">
        <v>124</v>
      </c>
      <c r="D216" s="13" t="s">
        <v>233</v>
      </c>
      <c r="E216" s="13" t="s">
        <v>234</v>
      </c>
      <c r="F216" s="13" t="s">
        <v>316</v>
      </c>
      <c r="G216" s="13">
        <v>522</v>
      </c>
      <c r="H216" s="9">
        <f>I216+J216+K216+L216</f>
        <v>375285.1</v>
      </c>
      <c r="I216" s="9">
        <v>205100</v>
      </c>
      <c r="J216" s="9">
        <v>91000</v>
      </c>
      <c r="K216" s="9">
        <v>70540</v>
      </c>
      <c r="L216" s="9">
        <v>8645.1</v>
      </c>
      <c r="M216" s="9">
        <v>346675.7</v>
      </c>
      <c r="N216" s="15">
        <v>0</v>
      </c>
      <c r="O216" s="243"/>
      <c r="P216" s="243"/>
    </row>
    <row r="217" spans="1:16" ht="13.35" customHeight="1" x14ac:dyDescent="0.25">
      <c r="A217" s="239"/>
      <c r="B217" s="196" t="s">
        <v>9</v>
      </c>
      <c r="C217" s="6" t="s">
        <v>178</v>
      </c>
      <c r="D217" s="6" t="s">
        <v>233</v>
      </c>
      <c r="E217" s="6" t="s">
        <v>234</v>
      </c>
      <c r="F217" s="6"/>
      <c r="G217" s="13"/>
      <c r="H217" s="9">
        <v>5737.4000000000005</v>
      </c>
      <c r="I217" s="9">
        <v>3701.7</v>
      </c>
      <c r="J217" s="9">
        <v>2035.7</v>
      </c>
      <c r="K217" s="9">
        <v>0</v>
      </c>
      <c r="L217" s="9">
        <v>0</v>
      </c>
      <c r="M217" s="9">
        <v>4489.5</v>
      </c>
      <c r="N217" s="9">
        <v>0</v>
      </c>
      <c r="O217" s="243"/>
      <c r="P217" s="243"/>
    </row>
    <row r="218" spans="1:16" ht="21" customHeight="1" x14ac:dyDescent="0.25">
      <c r="A218" s="240"/>
      <c r="B218" s="196" t="s">
        <v>10</v>
      </c>
      <c r="C218" s="6"/>
      <c r="D218" s="6"/>
      <c r="E218" s="6"/>
      <c r="F218" s="6"/>
      <c r="G218" s="13"/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244"/>
      <c r="P218" s="244"/>
    </row>
    <row r="219" spans="1:16" x14ac:dyDescent="0.25">
      <c r="A219" s="238" t="s">
        <v>484</v>
      </c>
      <c r="B219" s="196" t="s">
        <v>487</v>
      </c>
      <c r="C219" s="6"/>
      <c r="D219" s="6"/>
      <c r="E219" s="6"/>
      <c r="F219" s="6"/>
      <c r="G219" s="13"/>
      <c r="H219" s="11" t="s">
        <v>51</v>
      </c>
      <c r="I219" s="11" t="s">
        <v>51</v>
      </c>
      <c r="J219" s="11" t="s">
        <v>51</v>
      </c>
      <c r="K219" s="11" t="s">
        <v>51</v>
      </c>
      <c r="L219" s="11" t="s">
        <v>51</v>
      </c>
      <c r="M219" s="11">
        <v>42</v>
      </c>
      <c r="N219" s="11">
        <v>76</v>
      </c>
      <c r="O219" s="242" t="s">
        <v>456</v>
      </c>
      <c r="P219" s="242" t="s">
        <v>571</v>
      </c>
    </row>
    <row r="220" spans="1:16" ht="26.4" x14ac:dyDescent="0.25">
      <c r="A220" s="239"/>
      <c r="B220" s="196" t="s">
        <v>94</v>
      </c>
      <c r="C220" s="6"/>
      <c r="D220" s="6"/>
      <c r="E220" s="6"/>
      <c r="F220" s="6"/>
      <c r="G220" s="13"/>
      <c r="H220" s="11" t="s">
        <v>51</v>
      </c>
      <c r="I220" s="9" t="s">
        <v>229</v>
      </c>
      <c r="J220" s="9" t="s">
        <v>229</v>
      </c>
      <c r="K220" s="9" t="s">
        <v>229</v>
      </c>
      <c r="L220" s="9" t="s">
        <v>229</v>
      </c>
      <c r="M220" s="9">
        <v>0</v>
      </c>
      <c r="N220" s="9">
        <v>0</v>
      </c>
      <c r="O220" s="243"/>
      <c r="P220" s="243"/>
    </row>
    <row r="221" spans="1:16" x14ac:dyDescent="0.25">
      <c r="A221" s="239"/>
      <c r="B221" s="196" t="s">
        <v>74</v>
      </c>
      <c r="C221" s="6"/>
      <c r="D221" s="6"/>
      <c r="E221" s="6"/>
      <c r="F221" s="6"/>
      <c r="G221" s="13"/>
      <c r="H221" s="9">
        <v>0</v>
      </c>
      <c r="I221" s="9">
        <f t="shared" ref="I221:N221" si="87">SUM(I222:I225)</f>
        <v>0</v>
      </c>
      <c r="J221" s="9">
        <v>0</v>
      </c>
      <c r="K221" s="9">
        <f t="shared" si="87"/>
        <v>0</v>
      </c>
      <c r="L221" s="9">
        <v>0</v>
      </c>
      <c r="M221" s="9">
        <f t="shared" si="87"/>
        <v>0</v>
      </c>
      <c r="N221" s="9">
        <f t="shared" si="87"/>
        <v>0</v>
      </c>
      <c r="O221" s="243"/>
      <c r="P221" s="243"/>
    </row>
    <row r="222" spans="1:16" x14ac:dyDescent="0.25">
      <c r="A222" s="239"/>
      <c r="B222" s="238" t="s">
        <v>7</v>
      </c>
      <c r="C222" s="13">
        <v>124</v>
      </c>
      <c r="D222" s="14" t="s">
        <v>233</v>
      </c>
      <c r="E222" s="14" t="s">
        <v>234</v>
      </c>
      <c r="F222" s="14" t="s">
        <v>317</v>
      </c>
      <c r="G222" s="13">
        <v>522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15">
        <v>0</v>
      </c>
      <c r="O222" s="243"/>
      <c r="P222" s="243"/>
    </row>
    <row r="223" spans="1:16" x14ac:dyDescent="0.25">
      <c r="A223" s="239"/>
      <c r="B223" s="240"/>
      <c r="C223" s="13">
        <v>124</v>
      </c>
      <c r="D223" s="14" t="s">
        <v>233</v>
      </c>
      <c r="E223" s="14" t="s">
        <v>234</v>
      </c>
      <c r="F223" s="14" t="s">
        <v>316</v>
      </c>
      <c r="G223" s="13">
        <v>522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15">
        <v>0</v>
      </c>
      <c r="O223" s="243"/>
      <c r="P223" s="243"/>
    </row>
    <row r="224" spans="1:16" x14ac:dyDescent="0.25">
      <c r="A224" s="239"/>
      <c r="B224" s="196" t="s">
        <v>14</v>
      </c>
      <c r="C224" s="13">
        <v>124</v>
      </c>
      <c r="D224" s="13" t="s">
        <v>233</v>
      </c>
      <c r="E224" s="13" t="s">
        <v>234</v>
      </c>
      <c r="F224" s="13" t="s">
        <v>316</v>
      </c>
      <c r="G224" s="13">
        <v>522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15">
        <v>0</v>
      </c>
      <c r="O224" s="243"/>
      <c r="P224" s="243"/>
    </row>
    <row r="225" spans="1:16" ht="11.4" customHeight="1" x14ac:dyDescent="0.25">
      <c r="A225" s="239"/>
      <c r="B225" s="196" t="s">
        <v>9</v>
      </c>
      <c r="C225" s="6" t="s">
        <v>178</v>
      </c>
      <c r="D225" s="6" t="s">
        <v>233</v>
      </c>
      <c r="E225" s="6" t="s">
        <v>234</v>
      </c>
      <c r="F225" s="6"/>
      <c r="G225" s="13"/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243"/>
      <c r="P225" s="243"/>
    </row>
    <row r="226" spans="1:16" ht="14.25" customHeight="1" x14ac:dyDescent="0.25">
      <c r="A226" s="240"/>
      <c r="B226" s="196" t="s">
        <v>10</v>
      </c>
      <c r="C226" s="6"/>
      <c r="D226" s="6"/>
      <c r="E226" s="6"/>
      <c r="F226" s="6"/>
      <c r="G226" s="13"/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244"/>
      <c r="P226" s="244"/>
    </row>
    <row r="227" spans="1:16" ht="13.35" customHeight="1" x14ac:dyDescent="0.25">
      <c r="A227" s="238" t="s">
        <v>485</v>
      </c>
      <c r="B227" s="196" t="s">
        <v>486</v>
      </c>
      <c r="C227" s="6"/>
      <c r="D227" s="6"/>
      <c r="E227" s="6"/>
      <c r="F227" s="6"/>
      <c r="G227" s="13"/>
      <c r="H227" s="11" t="s">
        <v>51</v>
      </c>
      <c r="I227" s="11" t="s">
        <v>51</v>
      </c>
      <c r="J227" s="11" t="s">
        <v>51</v>
      </c>
      <c r="K227" s="11" t="s">
        <v>51</v>
      </c>
      <c r="L227" s="11" t="s">
        <v>51</v>
      </c>
      <c r="M227" s="11">
        <v>2</v>
      </c>
      <c r="N227" s="11">
        <v>2</v>
      </c>
      <c r="O227" s="242" t="s">
        <v>457</v>
      </c>
      <c r="P227" s="242" t="s">
        <v>572</v>
      </c>
    </row>
    <row r="228" spans="1:16" ht="26.4" x14ac:dyDescent="0.25">
      <c r="A228" s="239"/>
      <c r="B228" s="196" t="s">
        <v>94</v>
      </c>
      <c r="C228" s="6"/>
      <c r="D228" s="6"/>
      <c r="E228" s="6"/>
      <c r="F228" s="6"/>
      <c r="G228" s="13"/>
      <c r="H228" s="11" t="s">
        <v>51</v>
      </c>
      <c r="I228" s="9" t="s">
        <v>229</v>
      </c>
      <c r="J228" s="9" t="s">
        <v>229</v>
      </c>
      <c r="K228" s="9" t="s">
        <v>229</v>
      </c>
      <c r="L228" s="9" t="s">
        <v>229</v>
      </c>
      <c r="M228" s="9">
        <v>0</v>
      </c>
      <c r="N228" s="9">
        <v>0</v>
      </c>
      <c r="O228" s="243"/>
      <c r="P228" s="243"/>
    </row>
    <row r="229" spans="1:16" x14ac:dyDescent="0.25">
      <c r="A229" s="239"/>
      <c r="B229" s="196" t="s">
        <v>74</v>
      </c>
      <c r="C229" s="6"/>
      <c r="D229" s="6"/>
      <c r="E229" s="6"/>
      <c r="F229" s="6"/>
      <c r="G229" s="13"/>
      <c r="H229" s="9">
        <v>0</v>
      </c>
      <c r="I229" s="9">
        <f>SUM(I230:I233)</f>
        <v>0</v>
      </c>
      <c r="J229" s="9">
        <v>0</v>
      </c>
      <c r="K229" s="9">
        <f>SUM(K230:K233)</f>
        <v>0</v>
      </c>
      <c r="L229" s="9">
        <v>0</v>
      </c>
      <c r="M229" s="9">
        <f>SUM(M230:M233)</f>
        <v>0</v>
      </c>
      <c r="N229" s="9">
        <f>SUM(N230:N233)</f>
        <v>0</v>
      </c>
      <c r="O229" s="243"/>
      <c r="P229" s="243"/>
    </row>
    <row r="230" spans="1:16" x14ac:dyDescent="0.25">
      <c r="A230" s="239"/>
      <c r="B230" s="238" t="s">
        <v>7</v>
      </c>
      <c r="C230" s="13">
        <v>124</v>
      </c>
      <c r="D230" s="14" t="s">
        <v>233</v>
      </c>
      <c r="E230" s="14" t="s">
        <v>234</v>
      </c>
      <c r="F230" s="14" t="s">
        <v>317</v>
      </c>
      <c r="G230" s="13">
        <v>522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15">
        <v>0</v>
      </c>
      <c r="O230" s="243"/>
      <c r="P230" s="243"/>
    </row>
    <row r="231" spans="1:16" ht="13.35" customHeight="1" x14ac:dyDescent="0.25">
      <c r="A231" s="239"/>
      <c r="B231" s="240"/>
      <c r="C231" s="13">
        <v>124</v>
      </c>
      <c r="D231" s="14" t="s">
        <v>233</v>
      </c>
      <c r="E231" s="14" t="s">
        <v>234</v>
      </c>
      <c r="F231" s="14" t="s">
        <v>316</v>
      </c>
      <c r="G231" s="13">
        <v>522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15">
        <v>0</v>
      </c>
      <c r="O231" s="243"/>
      <c r="P231" s="243"/>
    </row>
    <row r="232" spans="1:16" ht="13.35" customHeight="1" x14ac:dyDescent="0.25">
      <c r="A232" s="239"/>
      <c r="B232" s="196" t="s">
        <v>14</v>
      </c>
      <c r="C232" s="13">
        <v>124</v>
      </c>
      <c r="D232" s="13" t="s">
        <v>233</v>
      </c>
      <c r="E232" s="13" t="s">
        <v>234</v>
      </c>
      <c r="F232" s="13" t="s">
        <v>316</v>
      </c>
      <c r="G232" s="13">
        <v>522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15">
        <v>0</v>
      </c>
      <c r="O232" s="243"/>
      <c r="P232" s="243"/>
    </row>
    <row r="233" spans="1:16" ht="13.35" customHeight="1" x14ac:dyDescent="0.25">
      <c r="A233" s="239"/>
      <c r="B233" s="196" t="s">
        <v>9</v>
      </c>
      <c r="C233" s="6" t="s">
        <v>178</v>
      </c>
      <c r="D233" s="6" t="s">
        <v>233</v>
      </c>
      <c r="E233" s="6" t="s">
        <v>234</v>
      </c>
      <c r="F233" s="6"/>
      <c r="G233" s="13"/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243"/>
      <c r="P233" s="243"/>
    </row>
    <row r="234" spans="1:16" ht="45.75" customHeight="1" x14ac:dyDescent="0.25">
      <c r="A234" s="240"/>
      <c r="B234" s="196" t="s">
        <v>10</v>
      </c>
      <c r="C234" s="6"/>
      <c r="D234" s="6"/>
      <c r="E234" s="6"/>
      <c r="F234" s="6"/>
      <c r="G234" s="13"/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244"/>
      <c r="P234" s="244"/>
    </row>
    <row r="235" spans="1:16" ht="13.35" customHeight="1" x14ac:dyDescent="0.25">
      <c r="A235" s="238" t="s">
        <v>470</v>
      </c>
      <c r="B235" s="196" t="s">
        <v>76</v>
      </c>
      <c r="C235" s="4"/>
      <c r="D235" s="5"/>
      <c r="E235" s="5"/>
      <c r="F235" s="5"/>
      <c r="G235" s="12"/>
      <c r="H235" s="11">
        <v>2</v>
      </c>
      <c r="I235" s="11">
        <v>0</v>
      </c>
      <c r="J235" s="11">
        <v>2</v>
      </c>
      <c r="K235" s="11">
        <v>0</v>
      </c>
      <c r="L235" s="11">
        <v>0</v>
      </c>
      <c r="M235" s="11">
        <v>2</v>
      </c>
      <c r="N235" s="11">
        <v>2</v>
      </c>
      <c r="O235" s="268" t="s">
        <v>355</v>
      </c>
      <c r="P235" s="268" t="s">
        <v>455</v>
      </c>
    </row>
    <row r="236" spans="1:16" ht="26.4" customHeight="1" x14ac:dyDescent="0.25">
      <c r="A236" s="239"/>
      <c r="B236" s="196" t="s">
        <v>86</v>
      </c>
      <c r="C236" s="4"/>
      <c r="D236" s="5"/>
      <c r="E236" s="5"/>
      <c r="F236" s="5"/>
      <c r="G236" s="12"/>
      <c r="H236" s="9">
        <f>ROUND(H237/H235,1)</f>
        <v>6729</v>
      </c>
      <c r="I236" s="9" t="s">
        <v>229</v>
      </c>
      <c r="J236" s="9">
        <f>ROUND(J237/J235,1)</f>
        <v>6729</v>
      </c>
      <c r="K236" s="9" t="s">
        <v>229</v>
      </c>
      <c r="L236" s="9" t="s">
        <v>229</v>
      </c>
      <c r="M236" s="9">
        <f>ROUND(M237/M235,1)</f>
        <v>7599</v>
      </c>
      <c r="N236" s="9">
        <f>ROUND(N237/N235,1)</f>
        <v>7599</v>
      </c>
      <c r="O236" s="268"/>
      <c r="P236" s="282"/>
    </row>
    <row r="237" spans="1:16" ht="26.4" customHeight="1" x14ac:dyDescent="0.25">
      <c r="A237" s="239"/>
      <c r="B237" s="196" t="s">
        <v>74</v>
      </c>
      <c r="C237" s="4"/>
      <c r="D237" s="5"/>
      <c r="E237" s="5"/>
      <c r="F237" s="5"/>
      <c r="G237" s="12"/>
      <c r="H237" s="9">
        <f>SUM(H238:H243)</f>
        <v>13457.9</v>
      </c>
      <c r="I237" s="9">
        <f t="shared" ref="I237:N237" si="88">SUM(I238:I243)</f>
        <v>0</v>
      </c>
      <c r="J237" s="9">
        <f t="shared" si="88"/>
        <v>13457.9</v>
      </c>
      <c r="K237" s="9">
        <f t="shared" si="88"/>
        <v>0</v>
      </c>
      <c r="L237" s="9">
        <f t="shared" si="88"/>
        <v>0</v>
      </c>
      <c r="M237" s="9">
        <f t="shared" si="88"/>
        <v>15197.9</v>
      </c>
      <c r="N237" s="9">
        <f t="shared" si="88"/>
        <v>15197.9</v>
      </c>
      <c r="O237" s="268"/>
      <c r="P237" s="282"/>
    </row>
    <row r="238" spans="1:16" x14ac:dyDescent="0.25">
      <c r="A238" s="239"/>
      <c r="B238" s="238" t="s">
        <v>16</v>
      </c>
      <c r="C238" s="12" t="str">
        <f>C247</f>
        <v>136</v>
      </c>
      <c r="D238" s="12" t="str">
        <f t="shared" ref="D238:G239" si="89">D247</f>
        <v>07</v>
      </c>
      <c r="E238" s="12" t="str">
        <f t="shared" si="89"/>
        <v>09</v>
      </c>
      <c r="F238" s="12" t="str">
        <f t="shared" si="89"/>
        <v>0710203470</v>
      </c>
      <c r="G238" s="12" t="str">
        <f t="shared" si="89"/>
        <v>242</v>
      </c>
      <c r="H238" s="9">
        <f>H247</f>
        <v>12000.9</v>
      </c>
      <c r="I238" s="9">
        <f t="shared" ref="I238:N239" si="90">I247</f>
        <v>0</v>
      </c>
      <c r="J238" s="9">
        <f t="shared" si="90"/>
        <v>12000.9</v>
      </c>
      <c r="K238" s="9">
        <f t="shared" si="90"/>
        <v>0</v>
      </c>
      <c r="L238" s="9">
        <f t="shared" si="90"/>
        <v>0</v>
      </c>
      <c r="M238" s="9">
        <f t="shared" si="90"/>
        <v>12000.9</v>
      </c>
      <c r="N238" s="9">
        <f t="shared" si="90"/>
        <v>12000.9</v>
      </c>
      <c r="O238" s="268"/>
      <c r="P238" s="282"/>
    </row>
    <row r="239" spans="1:16" ht="13.35" customHeight="1" x14ac:dyDescent="0.25">
      <c r="A239" s="239"/>
      <c r="B239" s="239"/>
      <c r="C239" s="12" t="str">
        <f>C248</f>
        <v>136</v>
      </c>
      <c r="D239" s="12" t="str">
        <f t="shared" si="89"/>
        <v>07</v>
      </c>
      <c r="E239" s="12" t="str">
        <f t="shared" si="89"/>
        <v>09</v>
      </c>
      <c r="F239" s="12" t="str">
        <f t="shared" si="89"/>
        <v>0710203470</v>
      </c>
      <c r="G239" s="12" t="str">
        <f t="shared" si="89"/>
        <v>244</v>
      </c>
      <c r="H239" s="9">
        <f>H248</f>
        <v>1457</v>
      </c>
      <c r="I239" s="9">
        <f t="shared" si="90"/>
        <v>0</v>
      </c>
      <c r="J239" s="9">
        <f t="shared" si="90"/>
        <v>1457</v>
      </c>
      <c r="K239" s="9">
        <f t="shared" si="90"/>
        <v>0</v>
      </c>
      <c r="L239" s="9">
        <f t="shared" si="90"/>
        <v>0</v>
      </c>
      <c r="M239" s="9">
        <f t="shared" si="90"/>
        <v>1457</v>
      </c>
      <c r="N239" s="9">
        <f t="shared" si="90"/>
        <v>1457</v>
      </c>
      <c r="O239" s="268"/>
      <c r="P239" s="282"/>
    </row>
    <row r="240" spans="1:16" ht="13.35" customHeight="1" x14ac:dyDescent="0.25">
      <c r="A240" s="239"/>
      <c r="B240" s="240"/>
      <c r="C240" s="12" t="str">
        <f>C255</f>
        <v>136</v>
      </c>
      <c r="D240" s="12" t="str">
        <f t="shared" ref="D240:N240" si="91">D255</f>
        <v>07</v>
      </c>
      <c r="E240" s="12" t="str">
        <f t="shared" si="91"/>
        <v>09</v>
      </c>
      <c r="F240" s="12" t="str">
        <f t="shared" si="91"/>
        <v>0710203470</v>
      </c>
      <c r="G240" s="12" t="str">
        <f t="shared" si="91"/>
        <v>613</v>
      </c>
      <c r="H240" s="9">
        <f t="shared" si="91"/>
        <v>0</v>
      </c>
      <c r="I240" s="1">
        <f t="shared" si="91"/>
        <v>0</v>
      </c>
      <c r="J240" s="1">
        <f t="shared" si="91"/>
        <v>0</v>
      </c>
      <c r="K240" s="1">
        <f t="shared" si="91"/>
        <v>0</v>
      </c>
      <c r="L240" s="1">
        <f t="shared" si="91"/>
        <v>0</v>
      </c>
      <c r="M240" s="1">
        <f t="shared" si="91"/>
        <v>1740</v>
      </c>
      <c r="N240" s="1">
        <f t="shared" si="91"/>
        <v>1740</v>
      </c>
      <c r="O240" s="268"/>
      <c r="P240" s="282"/>
    </row>
    <row r="241" spans="1:16" x14ac:dyDescent="0.25">
      <c r="A241" s="239"/>
      <c r="B241" s="196" t="s">
        <v>14</v>
      </c>
      <c r="C241" s="4"/>
      <c r="D241" s="5"/>
      <c r="E241" s="5"/>
      <c r="F241" s="5"/>
      <c r="G241" s="12"/>
      <c r="H241" s="9">
        <f>H249</f>
        <v>0</v>
      </c>
      <c r="I241" s="9">
        <f t="shared" ref="I241:N241" si="92">I249</f>
        <v>0</v>
      </c>
      <c r="J241" s="9">
        <f t="shared" si="92"/>
        <v>0</v>
      </c>
      <c r="K241" s="9">
        <f t="shared" si="92"/>
        <v>0</v>
      </c>
      <c r="L241" s="9">
        <f t="shared" si="92"/>
        <v>0</v>
      </c>
      <c r="M241" s="9">
        <f t="shared" si="92"/>
        <v>0</v>
      </c>
      <c r="N241" s="9">
        <f t="shared" si="92"/>
        <v>0</v>
      </c>
      <c r="O241" s="268"/>
      <c r="P241" s="282"/>
    </row>
    <row r="242" spans="1:16" x14ac:dyDescent="0.25">
      <c r="A242" s="239"/>
      <c r="B242" s="196" t="s">
        <v>15</v>
      </c>
      <c r="C242" s="4"/>
      <c r="D242" s="5"/>
      <c r="E242" s="5"/>
      <c r="F242" s="5"/>
      <c r="G242" s="12"/>
      <c r="H242" s="9">
        <f>H250</f>
        <v>0</v>
      </c>
      <c r="I242" s="9">
        <f t="shared" ref="I242:N242" si="93">I250</f>
        <v>0</v>
      </c>
      <c r="J242" s="9">
        <f t="shared" si="93"/>
        <v>0</v>
      </c>
      <c r="K242" s="9">
        <f t="shared" si="93"/>
        <v>0</v>
      </c>
      <c r="L242" s="9">
        <f t="shared" si="93"/>
        <v>0</v>
      </c>
      <c r="M242" s="9">
        <f t="shared" si="93"/>
        <v>0</v>
      </c>
      <c r="N242" s="9">
        <f t="shared" si="93"/>
        <v>0</v>
      </c>
      <c r="O242" s="268"/>
      <c r="P242" s="282"/>
    </row>
    <row r="243" spans="1:16" ht="50.25" customHeight="1" x14ac:dyDescent="0.25">
      <c r="A243" s="240"/>
      <c r="B243" s="196" t="s">
        <v>12</v>
      </c>
      <c r="C243" s="4"/>
      <c r="D243" s="5"/>
      <c r="E243" s="5"/>
      <c r="F243" s="5"/>
      <c r="G243" s="12"/>
      <c r="H243" s="9">
        <f>H251</f>
        <v>0</v>
      </c>
      <c r="I243" s="9">
        <f t="shared" ref="I243:N243" si="94">I251</f>
        <v>0</v>
      </c>
      <c r="J243" s="9">
        <f t="shared" si="94"/>
        <v>0</v>
      </c>
      <c r="K243" s="9">
        <f t="shared" si="94"/>
        <v>0</v>
      </c>
      <c r="L243" s="9">
        <f t="shared" si="94"/>
        <v>0</v>
      </c>
      <c r="M243" s="9">
        <f t="shared" si="94"/>
        <v>0</v>
      </c>
      <c r="N243" s="9">
        <f t="shared" si="94"/>
        <v>0</v>
      </c>
      <c r="O243" s="268"/>
      <c r="P243" s="282"/>
    </row>
    <row r="244" spans="1:16" ht="12.75" customHeight="1" x14ac:dyDescent="0.25">
      <c r="A244" s="264" t="s">
        <v>471</v>
      </c>
      <c r="B244" s="196" t="s">
        <v>76</v>
      </c>
      <c r="C244" s="4"/>
      <c r="D244" s="5"/>
      <c r="E244" s="5"/>
      <c r="F244" s="5"/>
      <c r="G244" s="12"/>
      <c r="H244" s="11">
        <v>2</v>
      </c>
      <c r="I244" s="11">
        <v>0</v>
      </c>
      <c r="J244" s="11">
        <v>2</v>
      </c>
      <c r="K244" s="11">
        <v>0</v>
      </c>
      <c r="L244" s="11">
        <v>0</v>
      </c>
      <c r="M244" s="11">
        <v>2</v>
      </c>
      <c r="N244" s="9">
        <v>2</v>
      </c>
      <c r="O244" s="268" t="s">
        <v>320</v>
      </c>
      <c r="P244" s="242" t="s">
        <v>199</v>
      </c>
    </row>
    <row r="245" spans="1:16" ht="25.5" customHeight="1" x14ac:dyDescent="0.25">
      <c r="A245" s="264"/>
      <c r="B245" s="196" t="s">
        <v>92</v>
      </c>
      <c r="C245" s="4"/>
      <c r="D245" s="5"/>
      <c r="E245" s="5"/>
      <c r="F245" s="5"/>
      <c r="G245" s="12"/>
      <c r="H245" s="9">
        <f t="shared" ref="H245:N245" si="95">ROUND(H246/H244,1)</f>
        <v>6729</v>
      </c>
      <c r="I245" s="9" t="s">
        <v>229</v>
      </c>
      <c r="J245" s="9">
        <f>ROUND(J246/J244,1)</f>
        <v>6729</v>
      </c>
      <c r="K245" s="9" t="s">
        <v>229</v>
      </c>
      <c r="L245" s="9" t="s">
        <v>229</v>
      </c>
      <c r="M245" s="9">
        <f t="shared" si="95"/>
        <v>6729</v>
      </c>
      <c r="N245" s="9">
        <f t="shared" si="95"/>
        <v>6729</v>
      </c>
      <c r="O245" s="268"/>
      <c r="P245" s="243"/>
    </row>
    <row r="246" spans="1:16" ht="25.5" customHeight="1" x14ac:dyDescent="0.25">
      <c r="A246" s="264"/>
      <c r="B246" s="196" t="s">
        <v>74</v>
      </c>
      <c r="C246" s="4"/>
      <c r="D246" s="5"/>
      <c r="E246" s="5"/>
      <c r="F246" s="5"/>
      <c r="G246" s="12"/>
      <c r="H246" s="9">
        <f t="shared" ref="H246:N246" si="96">SUM(H247:H251)</f>
        <v>13457.9</v>
      </c>
      <c r="I246" s="9">
        <f t="shared" si="96"/>
        <v>0</v>
      </c>
      <c r="J246" s="9">
        <f t="shared" si="96"/>
        <v>13457.9</v>
      </c>
      <c r="K246" s="9">
        <f t="shared" si="96"/>
        <v>0</v>
      </c>
      <c r="L246" s="9">
        <f t="shared" si="96"/>
        <v>0</v>
      </c>
      <c r="M246" s="9">
        <f t="shared" si="96"/>
        <v>13457.9</v>
      </c>
      <c r="N246" s="9">
        <f t="shared" si="96"/>
        <v>13457.9</v>
      </c>
      <c r="O246" s="268"/>
      <c r="P246" s="243"/>
    </row>
    <row r="247" spans="1:16" ht="12.75" customHeight="1" x14ac:dyDescent="0.25">
      <c r="A247" s="264"/>
      <c r="B247" s="238" t="s">
        <v>16</v>
      </c>
      <c r="C247" s="6" t="s">
        <v>41</v>
      </c>
      <c r="D247" s="5" t="s">
        <v>233</v>
      </c>
      <c r="E247" s="5" t="s">
        <v>235</v>
      </c>
      <c r="F247" s="6" t="s">
        <v>294</v>
      </c>
      <c r="G247" s="12" t="s">
        <v>64</v>
      </c>
      <c r="H247" s="9">
        <f>I247+J247+K247+L247</f>
        <v>12000.9</v>
      </c>
      <c r="I247" s="9">
        <v>0</v>
      </c>
      <c r="J247" s="9">
        <f>4213+7787.9</f>
        <v>12000.9</v>
      </c>
      <c r="K247" s="9">
        <v>0</v>
      </c>
      <c r="L247" s="9">
        <v>0</v>
      </c>
      <c r="M247" s="9">
        <f>4213+7787.9</f>
        <v>12000.9</v>
      </c>
      <c r="N247" s="9">
        <f>4213+7787.9</f>
        <v>12000.9</v>
      </c>
      <c r="O247" s="268"/>
      <c r="P247" s="243"/>
    </row>
    <row r="248" spans="1:16" ht="12.75" customHeight="1" x14ac:dyDescent="0.25">
      <c r="A248" s="264"/>
      <c r="B248" s="240"/>
      <c r="C248" s="6" t="s">
        <v>41</v>
      </c>
      <c r="D248" s="5" t="s">
        <v>233</v>
      </c>
      <c r="E248" s="5" t="s">
        <v>235</v>
      </c>
      <c r="F248" s="6" t="s">
        <v>294</v>
      </c>
      <c r="G248" s="12" t="s">
        <v>47</v>
      </c>
      <c r="H248" s="175">
        <f>I248+J248+K248+L248</f>
        <v>1457</v>
      </c>
      <c r="I248" s="9">
        <v>0</v>
      </c>
      <c r="J248" s="9">
        <v>1457</v>
      </c>
      <c r="K248" s="9">
        <v>0</v>
      </c>
      <c r="L248" s="9">
        <v>0</v>
      </c>
      <c r="M248" s="9">
        <v>1457</v>
      </c>
      <c r="N248" s="9">
        <v>1457</v>
      </c>
      <c r="O248" s="268"/>
      <c r="P248" s="243"/>
    </row>
    <row r="249" spans="1:16" ht="12.75" customHeight="1" x14ac:dyDescent="0.25">
      <c r="A249" s="264"/>
      <c r="B249" s="196" t="s">
        <v>14</v>
      </c>
      <c r="C249" s="4"/>
      <c r="D249" s="5"/>
      <c r="E249" s="5"/>
      <c r="F249" s="5"/>
      <c r="G249" s="12"/>
      <c r="H249" s="9">
        <f>I249+J249+K249+L249</f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268"/>
      <c r="P249" s="243"/>
    </row>
    <row r="250" spans="1:16" ht="12.75" customHeight="1" x14ac:dyDescent="0.25">
      <c r="A250" s="264"/>
      <c r="B250" s="196" t="s">
        <v>15</v>
      </c>
      <c r="C250" s="4"/>
      <c r="D250" s="5"/>
      <c r="E250" s="5"/>
      <c r="F250" s="5"/>
      <c r="G250" s="12"/>
      <c r="H250" s="9">
        <f>I250+J250+K250+L250</f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268"/>
      <c r="P250" s="243"/>
    </row>
    <row r="251" spans="1:16" ht="12.75" customHeight="1" x14ac:dyDescent="0.25">
      <c r="A251" s="264"/>
      <c r="B251" s="196" t="s">
        <v>12</v>
      </c>
      <c r="C251" s="4"/>
      <c r="D251" s="5"/>
      <c r="E251" s="5"/>
      <c r="F251" s="5"/>
      <c r="G251" s="12"/>
      <c r="H251" s="9">
        <f>I251+J251+K251+L251</f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268"/>
      <c r="P251" s="244"/>
    </row>
    <row r="252" spans="1:16" x14ac:dyDescent="0.25">
      <c r="A252" s="264" t="s">
        <v>472</v>
      </c>
      <c r="B252" s="196" t="s">
        <v>76</v>
      </c>
      <c r="C252" s="4"/>
      <c r="D252" s="5"/>
      <c r="E252" s="5"/>
      <c r="F252" s="5"/>
      <c r="G252" s="12"/>
      <c r="H252" s="11" t="s">
        <v>51</v>
      </c>
      <c r="I252" s="11" t="s">
        <v>51</v>
      </c>
      <c r="J252" s="11" t="s">
        <v>51</v>
      </c>
      <c r="K252" s="11" t="s">
        <v>51</v>
      </c>
      <c r="L252" s="11" t="s">
        <v>51</v>
      </c>
      <c r="M252" s="11">
        <v>1</v>
      </c>
      <c r="N252" s="9">
        <v>1</v>
      </c>
      <c r="O252" s="242" t="s">
        <v>348</v>
      </c>
      <c r="P252" s="242" t="s">
        <v>411</v>
      </c>
    </row>
    <row r="253" spans="1:16" ht="26.4" x14ac:dyDescent="0.25">
      <c r="A253" s="264"/>
      <c r="B253" s="196" t="s">
        <v>92</v>
      </c>
      <c r="C253" s="4"/>
      <c r="D253" s="5"/>
      <c r="E253" s="5"/>
      <c r="F253" s="5"/>
      <c r="G253" s="12"/>
      <c r="H253" s="11" t="s">
        <v>51</v>
      </c>
      <c r="I253" s="9" t="s">
        <v>229</v>
      </c>
      <c r="J253" s="9" t="s">
        <v>229</v>
      </c>
      <c r="K253" s="9" t="s">
        <v>229</v>
      </c>
      <c r="L253" s="9" t="s">
        <v>229</v>
      </c>
      <c r="M253" s="9">
        <f>ROUND(M254/M252,1)</f>
        <v>1740</v>
      </c>
      <c r="N253" s="9">
        <f>ROUND(N254/N252,1)</f>
        <v>1740</v>
      </c>
      <c r="O253" s="243"/>
      <c r="P253" s="243"/>
    </row>
    <row r="254" spans="1:16" x14ac:dyDescent="0.25">
      <c r="A254" s="264"/>
      <c r="B254" s="196" t="s">
        <v>74</v>
      </c>
      <c r="C254" s="4"/>
      <c r="D254" s="5"/>
      <c r="E254" s="5"/>
      <c r="F254" s="5"/>
      <c r="G254" s="12"/>
      <c r="H254" s="9">
        <f t="shared" ref="H254:N254" si="97">SUM(H255:H258)</f>
        <v>0</v>
      </c>
      <c r="I254" s="9">
        <f t="shared" si="97"/>
        <v>0</v>
      </c>
      <c r="J254" s="9">
        <f t="shared" si="97"/>
        <v>0</v>
      </c>
      <c r="K254" s="9">
        <f t="shared" si="97"/>
        <v>0</v>
      </c>
      <c r="L254" s="9">
        <f t="shared" si="97"/>
        <v>0</v>
      </c>
      <c r="M254" s="9">
        <f t="shared" si="97"/>
        <v>1740</v>
      </c>
      <c r="N254" s="9">
        <f t="shared" si="97"/>
        <v>1740</v>
      </c>
      <c r="O254" s="243"/>
      <c r="P254" s="243"/>
    </row>
    <row r="255" spans="1:16" x14ac:dyDescent="0.25">
      <c r="A255" s="264"/>
      <c r="B255" s="193" t="s">
        <v>16</v>
      </c>
      <c r="C255" s="6" t="s">
        <v>41</v>
      </c>
      <c r="D255" s="5" t="s">
        <v>233</v>
      </c>
      <c r="E255" s="5" t="s">
        <v>235</v>
      </c>
      <c r="F255" s="6" t="s">
        <v>294</v>
      </c>
      <c r="G255" s="12" t="s">
        <v>304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1740</v>
      </c>
      <c r="N255" s="9">
        <v>1740</v>
      </c>
      <c r="O255" s="243"/>
      <c r="P255" s="243"/>
    </row>
    <row r="256" spans="1:16" x14ac:dyDescent="0.25">
      <c r="A256" s="264"/>
      <c r="B256" s="196" t="s">
        <v>14</v>
      </c>
      <c r="C256" s="4"/>
      <c r="D256" s="5"/>
      <c r="E256" s="5"/>
      <c r="F256" s="5"/>
      <c r="G256" s="12"/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243"/>
      <c r="P256" s="243"/>
    </row>
    <row r="257" spans="1:16" x14ac:dyDescent="0.25">
      <c r="A257" s="264"/>
      <c r="B257" s="196" t="s">
        <v>15</v>
      </c>
      <c r="C257" s="4"/>
      <c r="D257" s="5"/>
      <c r="E257" s="5"/>
      <c r="F257" s="5"/>
      <c r="G257" s="12"/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243"/>
      <c r="P257" s="243"/>
    </row>
    <row r="258" spans="1:16" ht="81" customHeight="1" x14ac:dyDescent="0.25">
      <c r="A258" s="264"/>
      <c r="B258" s="196" t="s">
        <v>12</v>
      </c>
      <c r="C258" s="4"/>
      <c r="D258" s="5"/>
      <c r="E258" s="5"/>
      <c r="F258" s="5"/>
      <c r="G258" s="12"/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244"/>
      <c r="P258" s="244"/>
    </row>
    <row r="259" spans="1:16" ht="26.4" x14ac:dyDescent="0.25">
      <c r="A259" s="241" t="s">
        <v>473</v>
      </c>
      <c r="B259" s="196" t="s">
        <v>444</v>
      </c>
      <c r="C259" s="4"/>
      <c r="D259" s="5"/>
      <c r="E259" s="5"/>
      <c r="F259" s="5"/>
      <c r="G259" s="12"/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3</v>
      </c>
      <c r="N259" s="11">
        <v>0</v>
      </c>
      <c r="O259" s="242" t="s">
        <v>347</v>
      </c>
      <c r="P259" s="242" t="s">
        <v>582</v>
      </c>
    </row>
    <row r="260" spans="1:16" ht="26.4" x14ac:dyDescent="0.25">
      <c r="A260" s="241"/>
      <c r="B260" s="196" t="s">
        <v>6</v>
      </c>
      <c r="C260" s="4"/>
      <c r="D260" s="5"/>
      <c r="E260" s="5"/>
      <c r="F260" s="5"/>
      <c r="G260" s="12"/>
      <c r="H260" s="9">
        <v>0</v>
      </c>
      <c r="I260" s="9" t="s">
        <v>229</v>
      </c>
      <c r="J260" s="9" t="s">
        <v>229</v>
      </c>
      <c r="K260" s="9" t="s">
        <v>229</v>
      </c>
      <c r="L260" s="9" t="s">
        <v>229</v>
      </c>
      <c r="M260" s="9">
        <f>M261/M259</f>
        <v>153729.76666666666</v>
      </c>
      <c r="N260" s="9">
        <v>0</v>
      </c>
      <c r="O260" s="243"/>
      <c r="P260" s="243"/>
    </row>
    <row r="261" spans="1:16" x14ac:dyDescent="0.25">
      <c r="A261" s="241"/>
      <c r="B261" s="196" t="s">
        <v>75</v>
      </c>
      <c r="C261" s="4"/>
      <c r="D261" s="5"/>
      <c r="E261" s="5"/>
      <c r="F261" s="5"/>
      <c r="G261" s="12"/>
      <c r="H261" s="9">
        <f t="shared" ref="H261:N261" si="98">SUM(H262:H269)</f>
        <v>1764573.6556500001</v>
      </c>
      <c r="I261" s="9">
        <f t="shared" si="98"/>
        <v>111682.60371</v>
      </c>
      <c r="J261" s="9">
        <f t="shared" si="98"/>
        <v>395960.87193999998</v>
      </c>
      <c r="K261" s="9">
        <f t="shared" si="98"/>
        <v>438181.39999999997</v>
      </c>
      <c r="L261" s="9">
        <f t="shared" si="98"/>
        <v>818748.77999999991</v>
      </c>
      <c r="M261" s="9">
        <f t="shared" si="98"/>
        <v>461189.3</v>
      </c>
      <c r="N261" s="9">
        <f t="shared" si="98"/>
        <v>0</v>
      </c>
      <c r="O261" s="243"/>
      <c r="P261" s="243"/>
    </row>
    <row r="262" spans="1:16" x14ac:dyDescent="0.25">
      <c r="A262" s="241"/>
      <c r="B262" s="239" t="s">
        <v>16</v>
      </c>
      <c r="C262" s="4">
        <v>124</v>
      </c>
      <c r="D262" s="4" t="s">
        <v>233</v>
      </c>
      <c r="E262" s="4" t="s">
        <v>234</v>
      </c>
      <c r="F262" s="4" t="s">
        <v>310</v>
      </c>
      <c r="G262" s="12" t="s">
        <v>50</v>
      </c>
      <c r="H262" s="9">
        <f t="shared" ref="H262:H268" si="99">I262+J262+K262+L262</f>
        <v>476153.87398000003</v>
      </c>
      <c r="I262" s="9">
        <f t="shared" ref="I262:N269" si="100">I273</f>
        <v>111682.60371</v>
      </c>
      <c r="J262" s="9">
        <f t="shared" si="100"/>
        <v>115714.47027000001</v>
      </c>
      <c r="K262" s="9">
        <f t="shared" si="100"/>
        <v>435.6</v>
      </c>
      <c r="L262" s="9">
        <f t="shared" si="100"/>
        <v>248321.2</v>
      </c>
      <c r="M262" s="9">
        <f t="shared" si="100"/>
        <v>410684.2</v>
      </c>
      <c r="N262" s="9">
        <f t="shared" si="100"/>
        <v>0</v>
      </c>
      <c r="O262" s="243"/>
      <c r="P262" s="243"/>
    </row>
    <row r="263" spans="1:16" x14ac:dyDescent="0.25">
      <c r="A263" s="241"/>
      <c r="B263" s="239"/>
      <c r="C263" s="4">
        <v>124</v>
      </c>
      <c r="D263" s="4" t="s">
        <v>233</v>
      </c>
      <c r="E263" s="4" t="s">
        <v>234</v>
      </c>
      <c r="F263" s="4" t="s">
        <v>311</v>
      </c>
      <c r="G263" s="12" t="s">
        <v>50</v>
      </c>
      <c r="H263" s="9">
        <f t="shared" si="99"/>
        <v>257826.13526999997</v>
      </c>
      <c r="I263" s="9">
        <f t="shared" si="100"/>
        <v>0</v>
      </c>
      <c r="J263" s="9">
        <f t="shared" si="100"/>
        <v>48095.575270000001</v>
      </c>
      <c r="K263" s="9">
        <f t="shared" si="100"/>
        <v>75467.7</v>
      </c>
      <c r="L263" s="9">
        <f t="shared" si="100"/>
        <v>134262.85999999999</v>
      </c>
      <c r="M263" s="9">
        <f t="shared" si="100"/>
        <v>0</v>
      </c>
      <c r="N263" s="9">
        <f t="shared" si="100"/>
        <v>0</v>
      </c>
      <c r="O263" s="243"/>
      <c r="P263" s="243"/>
    </row>
    <row r="264" spans="1:16" x14ac:dyDescent="0.25">
      <c r="A264" s="241"/>
      <c r="B264" s="239"/>
      <c r="C264" s="4">
        <v>124</v>
      </c>
      <c r="D264" s="4" t="s">
        <v>233</v>
      </c>
      <c r="E264" s="4" t="s">
        <v>234</v>
      </c>
      <c r="F264" s="4" t="s">
        <v>315</v>
      </c>
      <c r="G264" s="12">
        <v>522</v>
      </c>
      <c r="H264" s="9">
        <f t="shared" si="99"/>
        <v>75792.177429999996</v>
      </c>
      <c r="I264" s="9">
        <f t="shared" si="100"/>
        <v>0</v>
      </c>
      <c r="J264" s="9">
        <f t="shared" si="100"/>
        <v>24187.817429999999</v>
      </c>
      <c r="K264" s="9">
        <f t="shared" si="100"/>
        <v>29586.7</v>
      </c>
      <c r="L264" s="9">
        <f t="shared" si="100"/>
        <v>22017.66</v>
      </c>
      <c r="M264" s="9">
        <f t="shared" si="100"/>
        <v>0</v>
      </c>
      <c r="N264" s="9">
        <f t="shared" si="100"/>
        <v>0</v>
      </c>
      <c r="O264" s="243"/>
      <c r="P264" s="243"/>
    </row>
    <row r="265" spans="1:16" x14ac:dyDescent="0.25">
      <c r="A265" s="241"/>
      <c r="B265" s="240"/>
      <c r="C265" s="4">
        <v>124</v>
      </c>
      <c r="D265" s="4" t="s">
        <v>233</v>
      </c>
      <c r="E265" s="4" t="s">
        <v>234</v>
      </c>
      <c r="F265" s="4" t="s">
        <v>318</v>
      </c>
      <c r="G265" s="12">
        <v>522</v>
      </c>
      <c r="H265" s="9">
        <f t="shared" si="99"/>
        <v>0</v>
      </c>
      <c r="I265" s="9">
        <f t="shared" si="100"/>
        <v>0</v>
      </c>
      <c r="J265" s="9">
        <f t="shared" si="100"/>
        <v>0</v>
      </c>
      <c r="K265" s="9">
        <f t="shared" si="100"/>
        <v>0</v>
      </c>
      <c r="L265" s="9">
        <f t="shared" si="100"/>
        <v>0</v>
      </c>
      <c r="M265" s="9">
        <f t="shared" si="100"/>
        <v>50000</v>
      </c>
      <c r="N265" s="9">
        <f t="shared" si="100"/>
        <v>0</v>
      </c>
      <c r="O265" s="243"/>
      <c r="P265" s="243"/>
    </row>
    <row r="266" spans="1:16" x14ac:dyDescent="0.25">
      <c r="A266" s="241"/>
      <c r="B266" s="238" t="s">
        <v>14</v>
      </c>
      <c r="C266" s="12" t="s">
        <v>178</v>
      </c>
      <c r="D266" s="12" t="s">
        <v>233</v>
      </c>
      <c r="E266" s="12" t="s">
        <v>234</v>
      </c>
      <c r="F266" s="12" t="s">
        <v>311</v>
      </c>
      <c r="G266" s="12">
        <v>414</v>
      </c>
      <c r="H266" s="9">
        <f t="shared" si="99"/>
        <v>601593.66897</v>
      </c>
      <c r="I266" s="9">
        <f t="shared" si="100"/>
        <v>0</v>
      </c>
      <c r="J266" s="9">
        <f t="shared" si="100"/>
        <v>112223.00897</v>
      </c>
      <c r="K266" s="9">
        <f t="shared" si="100"/>
        <v>176090.8</v>
      </c>
      <c r="L266" s="9">
        <f t="shared" si="100"/>
        <v>313279.86</v>
      </c>
      <c r="M266" s="9">
        <f t="shared" si="100"/>
        <v>0</v>
      </c>
      <c r="N266" s="9">
        <f t="shared" si="100"/>
        <v>0</v>
      </c>
      <c r="O266" s="243"/>
      <c r="P266" s="243"/>
    </row>
    <row r="267" spans="1:16" x14ac:dyDescent="0.25">
      <c r="A267" s="241"/>
      <c r="B267" s="240"/>
      <c r="C267" s="12">
        <v>124</v>
      </c>
      <c r="D267" s="12" t="s">
        <v>233</v>
      </c>
      <c r="E267" s="12" t="s">
        <v>234</v>
      </c>
      <c r="F267" s="12" t="s">
        <v>315</v>
      </c>
      <c r="G267" s="12">
        <v>522</v>
      </c>
      <c r="H267" s="9">
        <f t="shared" si="99"/>
        <v>300000</v>
      </c>
      <c r="I267" s="9">
        <f t="shared" si="100"/>
        <v>0</v>
      </c>
      <c r="J267" s="9">
        <f t="shared" si="100"/>
        <v>95740</v>
      </c>
      <c r="K267" s="9">
        <f t="shared" si="100"/>
        <v>117110</v>
      </c>
      <c r="L267" s="9">
        <f t="shared" si="100"/>
        <v>87150</v>
      </c>
      <c r="M267" s="9">
        <f t="shared" si="100"/>
        <v>0</v>
      </c>
      <c r="N267" s="9">
        <f t="shared" si="100"/>
        <v>0</v>
      </c>
      <c r="O267" s="243"/>
      <c r="P267" s="243"/>
    </row>
    <row r="268" spans="1:16" x14ac:dyDescent="0.25">
      <c r="A268" s="241"/>
      <c r="B268" s="196" t="s">
        <v>9</v>
      </c>
      <c r="C268" s="4">
        <v>124</v>
      </c>
      <c r="D268" s="5" t="s">
        <v>233</v>
      </c>
      <c r="E268" s="5" t="s">
        <v>234</v>
      </c>
      <c r="F268" s="5"/>
      <c r="G268" s="12"/>
      <c r="H268" s="9">
        <f t="shared" si="99"/>
        <v>53207.8</v>
      </c>
      <c r="I268" s="9">
        <f t="shared" si="100"/>
        <v>0</v>
      </c>
      <c r="J268" s="9">
        <f t="shared" si="100"/>
        <v>0</v>
      </c>
      <c r="K268" s="9">
        <f t="shared" si="100"/>
        <v>39490.6</v>
      </c>
      <c r="L268" s="9">
        <f t="shared" si="100"/>
        <v>13717.2</v>
      </c>
      <c r="M268" s="9">
        <f t="shared" si="100"/>
        <v>505.1</v>
      </c>
      <c r="N268" s="9">
        <f t="shared" si="100"/>
        <v>0</v>
      </c>
      <c r="O268" s="243"/>
      <c r="P268" s="243"/>
    </row>
    <row r="269" spans="1:16" x14ac:dyDescent="0.25">
      <c r="A269" s="241"/>
      <c r="B269" s="196" t="s">
        <v>10</v>
      </c>
      <c r="C269" s="4"/>
      <c r="D269" s="5"/>
      <c r="E269" s="5"/>
      <c r="F269" s="5"/>
      <c r="G269" s="12"/>
      <c r="H269" s="9">
        <f>H280</f>
        <v>0</v>
      </c>
      <c r="I269" s="9">
        <f t="shared" si="100"/>
        <v>0</v>
      </c>
      <c r="J269" s="9">
        <f t="shared" si="100"/>
        <v>0</v>
      </c>
      <c r="K269" s="9">
        <f t="shared" si="100"/>
        <v>0</v>
      </c>
      <c r="L269" s="9">
        <f t="shared" si="100"/>
        <v>0</v>
      </c>
      <c r="M269" s="9">
        <f t="shared" si="100"/>
        <v>0</v>
      </c>
      <c r="N269" s="9">
        <f t="shared" si="100"/>
        <v>0</v>
      </c>
      <c r="O269" s="244"/>
      <c r="P269" s="244"/>
    </row>
    <row r="270" spans="1:16" ht="25.5" customHeight="1" x14ac:dyDescent="0.25">
      <c r="A270" s="238" t="s">
        <v>503</v>
      </c>
      <c r="B270" s="196" t="s">
        <v>444</v>
      </c>
      <c r="C270" s="4"/>
      <c r="D270" s="5"/>
      <c r="E270" s="5"/>
      <c r="F270" s="5"/>
      <c r="G270" s="12"/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3</v>
      </c>
      <c r="N270" s="11">
        <v>0</v>
      </c>
      <c r="O270" s="268" t="s">
        <v>381</v>
      </c>
      <c r="P270" s="242" t="s">
        <v>583</v>
      </c>
    </row>
    <row r="271" spans="1:16" ht="26.4" x14ac:dyDescent="0.25">
      <c r="A271" s="239"/>
      <c r="B271" s="196" t="s">
        <v>94</v>
      </c>
      <c r="C271" s="4"/>
      <c r="D271" s="5"/>
      <c r="E271" s="5"/>
      <c r="F271" s="5"/>
      <c r="G271" s="12"/>
      <c r="H271" s="9">
        <v>0</v>
      </c>
      <c r="I271" s="9" t="s">
        <v>229</v>
      </c>
      <c r="J271" s="9" t="s">
        <v>229</v>
      </c>
      <c r="K271" s="9" t="s">
        <v>229</v>
      </c>
      <c r="L271" s="9" t="s">
        <v>229</v>
      </c>
      <c r="M271" s="9">
        <f>M272/M270</f>
        <v>153729.76666666666</v>
      </c>
      <c r="N271" s="9">
        <v>0</v>
      </c>
      <c r="O271" s="268"/>
      <c r="P271" s="243"/>
    </row>
    <row r="272" spans="1:16" x14ac:dyDescent="0.25">
      <c r="A272" s="239"/>
      <c r="B272" s="196" t="s">
        <v>74</v>
      </c>
      <c r="C272" s="4"/>
      <c r="D272" s="5"/>
      <c r="E272" s="5"/>
      <c r="F272" s="5"/>
      <c r="G272" s="12"/>
      <c r="H272" s="9">
        <f>SUM(H273:H279)</f>
        <v>1764573.6556500001</v>
      </c>
      <c r="I272" s="9">
        <f t="shared" ref="I272:N272" si="101">SUM(I273:I279)</f>
        <v>111682.60371</v>
      </c>
      <c r="J272" s="9">
        <f t="shared" si="101"/>
        <v>395960.87193999998</v>
      </c>
      <c r="K272" s="9">
        <f t="shared" si="101"/>
        <v>438181.39999999997</v>
      </c>
      <c r="L272" s="9">
        <f t="shared" si="101"/>
        <v>818748.77999999991</v>
      </c>
      <c r="M272" s="9">
        <f t="shared" si="101"/>
        <v>461189.3</v>
      </c>
      <c r="N272" s="9">
        <f t="shared" si="101"/>
        <v>0</v>
      </c>
      <c r="O272" s="268"/>
      <c r="P272" s="243"/>
    </row>
    <row r="273" spans="1:16" x14ac:dyDescent="0.25">
      <c r="A273" s="239"/>
      <c r="B273" s="238" t="s">
        <v>16</v>
      </c>
      <c r="C273" s="4">
        <v>124</v>
      </c>
      <c r="D273" s="4" t="s">
        <v>233</v>
      </c>
      <c r="E273" s="4" t="s">
        <v>234</v>
      </c>
      <c r="F273" s="4" t="s">
        <v>310</v>
      </c>
      <c r="G273" s="12" t="s">
        <v>50</v>
      </c>
      <c r="H273" s="9">
        <f t="shared" ref="H273:H278" si="102">I273+J273+K273+L273</f>
        <v>476153.87398000003</v>
      </c>
      <c r="I273" s="9">
        <v>111682.60371</v>
      </c>
      <c r="J273" s="9">
        <v>115714.47027000001</v>
      </c>
      <c r="K273" s="9">
        <v>435.6</v>
      </c>
      <c r="L273" s="9">
        <v>248321.2</v>
      </c>
      <c r="M273" s="9">
        <v>410684.2</v>
      </c>
      <c r="N273" s="9">
        <v>0</v>
      </c>
      <c r="O273" s="268"/>
      <c r="P273" s="243"/>
    </row>
    <row r="274" spans="1:16" x14ac:dyDescent="0.25">
      <c r="A274" s="239"/>
      <c r="B274" s="239"/>
      <c r="C274" s="4">
        <v>124</v>
      </c>
      <c r="D274" s="4" t="s">
        <v>233</v>
      </c>
      <c r="E274" s="4" t="s">
        <v>234</v>
      </c>
      <c r="F274" s="4" t="s">
        <v>311</v>
      </c>
      <c r="G274" s="12" t="s">
        <v>50</v>
      </c>
      <c r="H274" s="9">
        <f t="shared" si="102"/>
        <v>257826.13526999997</v>
      </c>
      <c r="I274" s="9">
        <v>0</v>
      </c>
      <c r="J274" s="9">
        <v>48095.575270000001</v>
      </c>
      <c r="K274" s="9">
        <v>75467.7</v>
      </c>
      <c r="L274" s="9">
        <v>134262.85999999999</v>
      </c>
      <c r="M274" s="9">
        <v>0</v>
      </c>
      <c r="N274" s="9">
        <v>0</v>
      </c>
      <c r="O274" s="268"/>
      <c r="P274" s="243"/>
    </row>
    <row r="275" spans="1:16" x14ac:dyDescent="0.25">
      <c r="A275" s="239"/>
      <c r="B275" s="239"/>
      <c r="C275" s="4">
        <v>124</v>
      </c>
      <c r="D275" s="4" t="s">
        <v>233</v>
      </c>
      <c r="E275" s="4" t="s">
        <v>234</v>
      </c>
      <c r="F275" s="4" t="s">
        <v>315</v>
      </c>
      <c r="G275" s="12">
        <v>522</v>
      </c>
      <c r="H275" s="9">
        <f t="shared" si="102"/>
        <v>75792.177429999996</v>
      </c>
      <c r="I275" s="9">
        <v>0</v>
      </c>
      <c r="J275" s="9">
        <v>24187.817429999999</v>
      </c>
      <c r="K275" s="9">
        <v>29586.7</v>
      </c>
      <c r="L275" s="9">
        <v>22017.66</v>
      </c>
      <c r="M275" s="9">
        <v>0</v>
      </c>
      <c r="N275" s="9">
        <v>0</v>
      </c>
      <c r="O275" s="268"/>
      <c r="P275" s="243"/>
    </row>
    <row r="276" spans="1:16" x14ac:dyDescent="0.25">
      <c r="A276" s="239"/>
      <c r="B276" s="240"/>
      <c r="C276" s="4">
        <v>124</v>
      </c>
      <c r="D276" s="4" t="s">
        <v>233</v>
      </c>
      <c r="E276" s="4" t="s">
        <v>234</v>
      </c>
      <c r="F276" s="4" t="s">
        <v>318</v>
      </c>
      <c r="G276" s="12">
        <v>522</v>
      </c>
      <c r="H276" s="9">
        <f t="shared" si="102"/>
        <v>0</v>
      </c>
      <c r="I276" s="9">
        <v>0</v>
      </c>
      <c r="J276" s="9">
        <v>0</v>
      </c>
      <c r="K276" s="9">
        <v>0</v>
      </c>
      <c r="L276" s="9">
        <v>0</v>
      </c>
      <c r="M276" s="9">
        <v>50000</v>
      </c>
      <c r="N276" s="9">
        <v>0</v>
      </c>
      <c r="O276" s="268"/>
      <c r="P276" s="243"/>
    </row>
    <row r="277" spans="1:16" x14ac:dyDescent="0.25">
      <c r="A277" s="239"/>
      <c r="B277" s="238" t="s">
        <v>14</v>
      </c>
      <c r="C277" s="12" t="s">
        <v>178</v>
      </c>
      <c r="D277" s="12" t="s">
        <v>233</v>
      </c>
      <c r="E277" s="12" t="s">
        <v>234</v>
      </c>
      <c r="F277" s="12" t="s">
        <v>311</v>
      </c>
      <c r="G277" s="12">
        <v>414</v>
      </c>
      <c r="H277" s="9">
        <f t="shared" si="102"/>
        <v>601593.66897</v>
      </c>
      <c r="I277" s="9">
        <v>0</v>
      </c>
      <c r="J277" s="9">
        <v>112223.00897</v>
      </c>
      <c r="K277" s="9">
        <v>176090.8</v>
      </c>
      <c r="L277" s="9">
        <v>313279.86</v>
      </c>
      <c r="M277" s="9">
        <v>0</v>
      </c>
      <c r="N277" s="9">
        <v>0</v>
      </c>
      <c r="O277" s="268"/>
      <c r="P277" s="243"/>
    </row>
    <row r="278" spans="1:16" x14ac:dyDescent="0.25">
      <c r="A278" s="239"/>
      <c r="B278" s="240"/>
      <c r="C278" s="12">
        <v>124</v>
      </c>
      <c r="D278" s="12" t="s">
        <v>233</v>
      </c>
      <c r="E278" s="12" t="s">
        <v>234</v>
      </c>
      <c r="F278" s="12" t="s">
        <v>315</v>
      </c>
      <c r="G278" s="12">
        <v>522</v>
      </c>
      <c r="H278" s="9">
        <f t="shared" si="102"/>
        <v>300000</v>
      </c>
      <c r="I278" s="9">
        <v>0</v>
      </c>
      <c r="J278" s="9">
        <v>95740</v>
      </c>
      <c r="K278" s="9">
        <v>117110</v>
      </c>
      <c r="L278" s="9">
        <v>87150</v>
      </c>
      <c r="M278" s="9">
        <v>0</v>
      </c>
      <c r="N278" s="9">
        <v>0</v>
      </c>
      <c r="O278" s="268"/>
      <c r="P278" s="243"/>
    </row>
    <row r="279" spans="1:16" x14ac:dyDescent="0.25">
      <c r="A279" s="239"/>
      <c r="B279" s="196" t="s">
        <v>15</v>
      </c>
      <c r="C279" s="4">
        <v>124</v>
      </c>
      <c r="D279" s="5" t="s">
        <v>233</v>
      </c>
      <c r="E279" s="5" t="s">
        <v>234</v>
      </c>
      <c r="F279" s="5"/>
      <c r="G279" s="213"/>
      <c r="H279" s="9">
        <v>53207.8</v>
      </c>
      <c r="I279" s="9">
        <v>0</v>
      </c>
      <c r="J279" s="9">
        <v>0</v>
      </c>
      <c r="K279" s="9">
        <v>39490.6</v>
      </c>
      <c r="L279" s="9">
        <v>13717.2</v>
      </c>
      <c r="M279" s="9">
        <v>505.1</v>
      </c>
      <c r="N279" s="9">
        <v>0</v>
      </c>
      <c r="O279" s="268"/>
      <c r="P279" s="243"/>
    </row>
    <row r="280" spans="1:16" x14ac:dyDescent="0.25">
      <c r="A280" s="240"/>
      <c r="B280" s="196" t="s">
        <v>12</v>
      </c>
      <c r="C280" s="6"/>
      <c r="D280" s="6"/>
      <c r="E280" s="6"/>
      <c r="F280" s="6"/>
      <c r="G280" s="13"/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268"/>
      <c r="P280" s="244"/>
    </row>
    <row r="281" spans="1:16" x14ac:dyDescent="0.25">
      <c r="A281" s="242" t="s">
        <v>17</v>
      </c>
      <c r="B281" s="196" t="s">
        <v>242</v>
      </c>
      <c r="C281" s="4"/>
      <c r="D281" s="5"/>
      <c r="E281" s="5"/>
      <c r="F281" s="5"/>
      <c r="G281" s="12"/>
      <c r="H281" s="9">
        <f>H282+H283+H284+H285</f>
        <v>6289549.2902600002</v>
      </c>
      <c r="I281" s="9">
        <f t="shared" ref="I281:N281" si="103">I282+I283+I284+I285</f>
        <v>852018.76915000007</v>
      </c>
      <c r="J281" s="9">
        <f t="shared" si="103"/>
        <v>1191043.14111</v>
      </c>
      <c r="K281" s="9">
        <f t="shared" si="103"/>
        <v>1941303.8</v>
      </c>
      <c r="L281" s="9">
        <f t="shared" si="103"/>
        <v>2305183.58</v>
      </c>
      <c r="M281" s="9">
        <f t="shared" si="103"/>
        <v>3472322.6</v>
      </c>
      <c r="N281" s="9">
        <f t="shared" si="103"/>
        <v>2646522.2000000002</v>
      </c>
      <c r="O281" s="242"/>
      <c r="P281" s="283"/>
    </row>
    <row r="282" spans="1:16" x14ac:dyDescent="0.25">
      <c r="A282" s="243"/>
      <c r="B282" s="196" t="s">
        <v>7</v>
      </c>
      <c r="C282" s="4"/>
      <c r="D282" s="5"/>
      <c r="E282" s="5"/>
      <c r="F282" s="5"/>
      <c r="G282" s="12"/>
      <c r="H282" s="9">
        <f>H172+H173+H174+H175+H176+H183+H184+H185+H186+H187+H188+H189+H190+H199+H214+H215+H222+H223+H230+H231+H247+H248+H255+H273+H274+H275+H276</f>
        <v>4829624.1212900002</v>
      </c>
      <c r="I282" s="9">
        <f t="shared" ref="I282:M282" si="104">I172+I173+I174+I175+I176+I183+I184+I185+I186+I187+I188+I189+I190+I199+I214+I215+I222+I223+I230+I231+I247+I248+I255+I273+I274+I275+I276</f>
        <v>638853.06915000011</v>
      </c>
      <c r="J282" s="9">
        <f t="shared" si="104"/>
        <v>888219.43214000016</v>
      </c>
      <c r="K282" s="9">
        <f t="shared" si="104"/>
        <v>1448295.5</v>
      </c>
      <c r="L282" s="9">
        <f t="shared" si="104"/>
        <v>1854256.1199999999</v>
      </c>
      <c r="M282" s="9">
        <f t="shared" si="104"/>
        <v>3013219.9</v>
      </c>
      <c r="N282" s="9">
        <f>N172+N173+N174+N175+N176+N183+N184+N185+N186+N187+N188+N189+N190+N199+N214+N215+N222+N223+N230+N231+N247+N248+N255+N273+N274+N275+N276</f>
        <v>2542133.5</v>
      </c>
      <c r="O282" s="243"/>
      <c r="P282" s="284"/>
    </row>
    <row r="283" spans="1:16" x14ac:dyDescent="0.25">
      <c r="A283" s="243"/>
      <c r="B283" s="196" t="s">
        <v>14</v>
      </c>
      <c r="C283" s="4"/>
      <c r="D283" s="5"/>
      <c r="E283" s="5"/>
      <c r="F283" s="5"/>
      <c r="G283" s="12"/>
      <c r="H283" s="9">
        <f>H164+H208+H241+H277+H278</f>
        <v>1276878.7689700001</v>
      </c>
      <c r="I283" s="9">
        <f t="shared" ref="I283:N283" si="105">I164+I208+I241+I277+I278</f>
        <v>205100</v>
      </c>
      <c r="J283" s="9">
        <f t="shared" si="105"/>
        <v>298963.00896999997</v>
      </c>
      <c r="K283" s="9">
        <f t="shared" si="105"/>
        <v>363740.8</v>
      </c>
      <c r="L283" s="9">
        <f t="shared" si="105"/>
        <v>409074.95999999996</v>
      </c>
      <c r="M283" s="9">
        <f t="shared" si="105"/>
        <v>346675.7</v>
      </c>
      <c r="N283" s="9">
        <f t="shared" si="105"/>
        <v>0</v>
      </c>
      <c r="O283" s="243"/>
      <c r="P283" s="284"/>
    </row>
    <row r="284" spans="1:16" x14ac:dyDescent="0.25">
      <c r="A284" s="243"/>
      <c r="B284" s="196" t="s">
        <v>15</v>
      </c>
      <c r="C284" s="4"/>
      <c r="D284" s="5"/>
      <c r="E284" s="5"/>
      <c r="F284" s="5"/>
      <c r="G284" s="12"/>
      <c r="H284" s="9">
        <f>H165+H166+H167+H209+H242+H279</f>
        <v>183046.40000000002</v>
      </c>
      <c r="I284" s="9">
        <f t="shared" ref="I284:N284" si="106">I165+I166+I167+I209+I242+I279</f>
        <v>8065.7</v>
      </c>
      <c r="J284" s="9">
        <f t="shared" si="106"/>
        <v>3860.7</v>
      </c>
      <c r="K284" s="9">
        <f t="shared" si="106"/>
        <v>129267.5</v>
      </c>
      <c r="L284" s="9">
        <f t="shared" si="106"/>
        <v>41852.5</v>
      </c>
      <c r="M284" s="9">
        <f t="shared" si="106"/>
        <v>112427</v>
      </c>
      <c r="N284" s="9">
        <f t="shared" si="106"/>
        <v>104388.70000000001</v>
      </c>
      <c r="O284" s="243"/>
      <c r="P284" s="284"/>
    </row>
    <row r="285" spans="1:16" ht="17.25" customHeight="1" x14ac:dyDescent="0.25">
      <c r="A285" s="244"/>
      <c r="B285" s="196" t="s">
        <v>10</v>
      </c>
      <c r="C285" s="4"/>
      <c r="D285" s="5"/>
      <c r="E285" s="5"/>
      <c r="F285" s="5"/>
      <c r="G285" s="12"/>
      <c r="H285" s="9">
        <f>H168+H210+H243+H280</f>
        <v>0</v>
      </c>
      <c r="I285" s="9">
        <f t="shared" ref="I285:N285" si="107">I168+I210+I243+I280</f>
        <v>0</v>
      </c>
      <c r="J285" s="9">
        <f t="shared" si="107"/>
        <v>0</v>
      </c>
      <c r="K285" s="9">
        <f t="shared" si="107"/>
        <v>0</v>
      </c>
      <c r="L285" s="9">
        <f t="shared" si="107"/>
        <v>0</v>
      </c>
      <c r="M285" s="9">
        <f t="shared" si="107"/>
        <v>0</v>
      </c>
      <c r="N285" s="9">
        <f t="shared" si="107"/>
        <v>0</v>
      </c>
      <c r="O285" s="244"/>
      <c r="P285" s="285"/>
    </row>
    <row r="286" spans="1:16" ht="13.35" customHeight="1" x14ac:dyDescent="0.25">
      <c r="A286" s="258" t="s">
        <v>125</v>
      </c>
      <c r="B286" s="260"/>
      <c r="C286" s="260"/>
      <c r="D286" s="260"/>
      <c r="E286" s="260"/>
      <c r="F286" s="260"/>
      <c r="G286" s="260"/>
      <c r="H286" s="260"/>
      <c r="I286" s="260"/>
      <c r="J286" s="260"/>
      <c r="K286" s="260"/>
      <c r="L286" s="260"/>
      <c r="M286" s="260"/>
      <c r="N286" s="260"/>
      <c r="O286" s="260"/>
      <c r="P286" s="261"/>
    </row>
    <row r="287" spans="1:16" ht="13.35" customHeight="1" x14ac:dyDescent="0.25">
      <c r="A287" s="258" t="s">
        <v>126</v>
      </c>
      <c r="B287" s="260"/>
      <c r="C287" s="260"/>
      <c r="D287" s="260"/>
      <c r="E287" s="260"/>
      <c r="F287" s="260"/>
      <c r="G287" s="260"/>
      <c r="H287" s="260"/>
      <c r="I287" s="260"/>
      <c r="J287" s="260"/>
      <c r="K287" s="260"/>
      <c r="L287" s="260"/>
      <c r="M287" s="260"/>
      <c r="N287" s="260"/>
      <c r="O287" s="260"/>
      <c r="P287" s="261"/>
    </row>
    <row r="288" spans="1:16" ht="27.75" customHeight="1" x14ac:dyDescent="0.25">
      <c r="A288" s="238" t="s">
        <v>504</v>
      </c>
      <c r="B288" s="196" t="s">
        <v>584</v>
      </c>
      <c r="C288" s="4"/>
      <c r="D288" s="5"/>
      <c r="E288" s="5"/>
      <c r="F288" s="5"/>
      <c r="G288" s="12"/>
      <c r="H288" s="9" t="s">
        <v>51</v>
      </c>
      <c r="I288" s="9" t="s">
        <v>51</v>
      </c>
      <c r="J288" s="9" t="s">
        <v>51</v>
      </c>
      <c r="K288" s="9" t="s">
        <v>51</v>
      </c>
      <c r="L288" s="9" t="s">
        <v>51</v>
      </c>
      <c r="M288" s="9" t="s">
        <v>51</v>
      </c>
      <c r="N288" s="9" t="s">
        <v>51</v>
      </c>
      <c r="O288" s="268" t="s">
        <v>356</v>
      </c>
      <c r="P288" s="268" t="s">
        <v>190</v>
      </c>
    </row>
    <row r="289" spans="1:16" ht="13.35" customHeight="1" x14ac:dyDescent="0.25">
      <c r="A289" s="239"/>
      <c r="B289" s="196" t="s">
        <v>96</v>
      </c>
      <c r="C289" s="4"/>
      <c r="D289" s="5"/>
      <c r="E289" s="5"/>
      <c r="F289" s="5"/>
      <c r="G289" s="12"/>
      <c r="H289" s="9" t="s">
        <v>51</v>
      </c>
      <c r="I289" s="9" t="s">
        <v>229</v>
      </c>
      <c r="J289" s="9" t="s">
        <v>229</v>
      </c>
      <c r="K289" s="9" t="s">
        <v>229</v>
      </c>
      <c r="L289" s="9" t="s">
        <v>229</v>
      </c>
      <c r="M289" s="9" t="s">
        <v>51</v>
      </c>
      <c r="N289" s="9" t="s">
        <v>51</v>
      </c>
      <c r="O289" s="268"/>
      <c r="P289" s="268"/>
    </row>
    <row r="290" spans="1:16" ht="13.35" customHeight="1" x14ac:dyDescent="0.25">
      <c r="A290" s="239"/>
      <c r="B290" s="196" t="s">
        <v>74</v>
      </c>
      <c r="C290" s="4"/>
      <c r="D290" s="5"/>
      <c r="E290" s="5"/>
      <c r="F290" s="5"/>
      <c r="G290" s="12"/>
      <c r="H290" s="9">
        <f t="shared" ref="H290:N290" si="108">SUM(H291:H294)</f>
        <v>1101</v>
      </c>
      <c r="I290" s="9">
        <f t="shared" si="108"/>
        <v>0</v>
      </c>
      <c r="J290" s="9">
        <f t="shared" si="108"/>
        <v>101</v>
      </c>
      <c r="K290" s="9">
        <f t="shared" si="108"/>
        <v>0</v>
      </c>
      <c r="L290" s="9">
        <f t="shared" si="108"/>
        <v>1000</v>
      </c>
      <c r="M290" s="9">
        <f t="shared" si="108"/>
        <v>501</v>
      </c>
      <c r="N290" s="9">
        <f t="shared" si="108"/>
        <v>501</v>
      </c>
      <c r="O290" s="268"/>
      <c r="P290" s="268"/>
    </row>
    <row r="291" spans="1:16" ht="13.35" customHeight="1" x14ac:dyDescent="0.25">
      <c r="A291" s="239"/>
      <c r="B291" s="196" t="s">
        <v>16</v>
      </c>
      <c r="C291" s="13" t="str">
        <f>C298</f>
        <v>136</v>
      </c>
      <c r="D291" s="13" t="str">
        <f>D298</f>
        <v>07</v>
      </c>
      <c r="E291" s="13" t="str">
        <f>E298</f>
        <v>09</v>
      </c>
      <c r="F291" s="13" t="str">
        <f>F298</f>
        <v>0710303470</v>
      </c>
      <c r="G291" s="13" t="str">
        <f>G298</f>
        <v>244</v>
      </c>
      <c r="H291" s="9">
        <f>H298+H305</f>
        <v>1101</v>
      </c>
      <c r="I291" s="9">
        <f t="shared" ref="I291:N291" si="109">I298+I305</f>
        <v>0</v>
      </c>
      <c r="J291" s="9">
        <f t="shared" si="109"/>
        <v>101</v>
      </c>
      <c r="K291" s="9">
        <f t="shared" si="109"/>
        <v>0</v>
      </c>
      <c r="L291" s="9">
        <f t="shared" si="109"/>
        <v>1000</v>
      </c>
      <c r="M291" s="9">
        <f t="shared" si="109"/>
        <v>501</v>
      </c>
      <c r="N291" s="9">
        <f t="shared" si="109"/>
        <v>501</v>
      </c>
      <c r="O291" s="268"/>
      <c r="P291" s="268"/>
    </row>
    <row r="292" spans="1:16" ht="13.35" customHeight="1" x14ac:dyDescent="0.25">
      <c r="A292" s="239"/>
      <c r="B292" s="200" t="s">
        <v>14</v>
      </c>
      <c r="C292" s="13"/>
      <c r="D292" s="13"/>
      <c r="E292" s="13"/>
      <c r="F292" s="13"/>
      <c r="G292" s="13"/>
      <c r="H292" s="9">
        <f>H299+H306</f>
        <v>0</v>
      </c>
      <c r="I292" s="9">
        <f t="shared" ref="I292:N292" si="110">I299+I306</f>
        <v>0</v>
      </c>
      <c r="J292" s="9">
        <f t="shared" si="110"/>
        <v>0</v>
      </c>
      <c r="K292" s="9">
        <f t="shared" si="110"/>
        <v>0</v>
      </c>
      <c r="L292" s="9">
        <f t="shared" si="110"/>
        <v>0</v>
      </c>
      <c r="M292" s="9">
        <f t="shared" si="110"/>
        <v>0</v>
      </c>
      <c r="N292" s="9">
        <f t="shared" si="110"/>
        <v>0</v>
      </c>
      <c r="O292" s="268"/>
      <c r="P292" s="268"/>
    </row>
    <row r="293" spans="1:16" x14ac:dyDescent="0.25">
      <c r="A293" s="239"/>
      <c r="B293" s="196" t="s">
        <v>15</v>
      </c>
      <c r="C293" s="4"/>
      <c r="D293" s="5"/>
      <c r="E293" s="5"/>
      <c r="F293" s="5"/>
      <c r="G293" s="12"/>
      <c r="H293" s="9">
        <f>H300+H307</f>
        <v>0</v>
      </c>
      <c r="I293" s="9">
        <f t="shared" ref="I293:N293" si="111">I300+I307</f>
        <v>0</v>
      </c>
      <c r="J293" s="9">
        <f t="shared" si="111"/>
        <v>0</v>
      </c>
      <c r="K293" s="9">
        <f t="shared" si="111"/>
        <v>0</v>
      </c>
      <c r="L293" s="9">
        <f t="shared" si="111"/>
        <v>0</v>
      </c>
      <c r="M293" s="9">
        <f t="shared" si="111"/>
        <v>0</v>
      </c>
      <c r="N293" s="9">
        <f t="shared" si="111"/>
        <v>0</v>
      </c>
      <c r="O293" s="268"/>
      <c r="P293" s="268"/>
    </row>
    <row r="294" spans="1:16" x14ac:dyDescent="0.25">
      <c r="A294" s="240"/>
      <c r="B294" s="196" t="s">
        <v>12</v>
      </c>
      <c r="C294" s="4"/>
      <c r="D294" s="5"/>
      <c r="E294" s="5"/>
      <c r="F294" s="5"/>
      <c r="G294" s="12"/>
      <c r="H294" s="9">
        <f>H301+H308</f>
        <v>0</v>
      </c>
      <c r="I294" s="9">
        <f t="shared" ref="I294:N294" si="112">I301+I308</f>
        <v>0</v>
      </c>
      <c r="J294" s="9">
        <f t="shared" si="112"/>
        <v>0</v>
      </c>
      <c r="K294" s="9">
        <f t="shared" si="112"/>
        <v>0</v>
      </c>
      <c r="L294" s="9">
        <f t="shared" si="112"/>
        <v>0</v>
      </c>
      <c r="M294" s="9">
        <f t="shared" si="112"/>
        <v>0</v>
      </c>
      <c r="N294" s="9">
        <f t="shared" si="112"/>
        <v>0</v>
      </c>
      <c r="O294" s="268"/>
      <c r="P294" s="268"/>
    </row>
    <row r="295" spans="1:16" x14ac:dyDescent="0.25">
      <c r="A295" s="264" t="s">
        <v>505</v>
      </c>
      <c r="B295" s="196" t="s">
        <v>573</v>
      </c>
      <c r="C295" s="4"/>
      <c r="D295" s="5"/>
      <c r="E295" s="5"/>
      <c r="F295" s="5"/>
      <c r="G295" s="12"/>
      <c r="H295" s="9">
        <v>2</v>
      </c>
      <c r="I295" s="9">
        <v>0</v>
      </c>
      <c r="J295" s="9">
        <v>2</v>
      </c>
      <c r="K295" s="9">
        <v>0</v>
      </c>
      <c r="L295" s="9">
        <v>0</v>
      </c>
      <c r="M295" s="9">
        <v>2</v>
      </c>
      <c r="N295" s="9">
        <v>2</v>
      </c>
      <c r="O295" s="268" t="s">
        <v>357</v>
      </c>
      <c r="P295" s="242" t="s">
        <v>162</v>
      </c>
    </row>
    <row r="296" spans="1:16" ht="13.35" customHeight="1" x14ac:dyDescent="0.25">
      <c r="A296" s="264"/>
      <c r="B296" s="196" t="s">
        <v>97</v>
      </c>
      <c r="C296" s="4"/>
      <c r="D296" s="5"/>
      <c r="E296" s="5"/>
      <c r="F296" s="5"/>
      <c r="G296" s="12"/>
      <c r="H296" s="9">
        <f t="shared" ref="H296:N296" si="113">ROUND(H297/H295,1)</f>
        <v>50.5</v>
      </c>
      <c r="I296" s="9" t="s">
        <v>229</v>
      </c>
      <c r="J296" s="9" t="s">
        <v>229</v>
      </c>
      <c r="K296" s="9" t="s">
        <v>229</v>
      </c>
      <c r="L296" s="9" t="s">
        <v>229</v>
      </c>
      <c r="M296" s="9">
        <f t="shared" si="113"/>
        <v>50.5</v>
      </c>
      <c r="N296" s="9">
        <f t="shared" si="113"/>
        <v>50.5</v>
      </c>
      <c r="O296" s="268"/>
      <c r="P296" s="243"/>
    </row>
    <row r="297" spans="1:16" ht="13.35" customHeight="1" x14ac:dyDescent="0.25">
      <c r="A297" s="264"/>
      <c r="B297" s="196" t="s">
        <v>77</v>
      </c>
      <c r="C297" s="4"/>
      <c r="D297" s="5"/>
      <c r="E297" s="5"/>
      <c r="F297" s="5"/>
      <c r="G297" s="12"/>
      <c r="H297" s="9">
        <f>SUM(H298:H301)</f>
        <v>101</v>
      </c>
      <c r="I297" s="9">
        <f t="shared" ref="I297:N297" si="114">SUM(I298:I301)</f>
        <v>0</v>
      </c>
      <c r="J297" s="9">
        <f t="shared" si="114"/>
        <v>101</v>
      </c>
      <c r="K297" s="9">
        <f t="shared" si="114"/>
        <v>0</v>
      </c>
      <c r="L297" s="9">
        <f t="shared" si="114"/>
        <v>0</v>
      </c>
      <c r="M297" s="9">
        <f t="shared" si="114"/>
        <v>101</v>
      </c>
      <c r="N297" s="9">
        <f t="shared" si="114"/>
        <v>101</v>
      </c>
      <c r="O297" s="268"/>
      <c r="P297" s="243"/>
    </row>
    <row r="298" spans="1:16" ht="13.35" customHeight="1" x14ac:dyDescent="0.25">
      <c r="A298" s="264"/>
      <c r="B298" s="196" t="s">
        <v>16</v>
      </c>
      <c r="C298" s="6" t="s">
        <v>41</v>
      </c>
      <c r="D298" s="13" t="s">
        <v>233</v>
      </c>
      <c r="E298" s="13" t="s">
        <v>235</v>
      </c>
      <c r="F298" s="6" t="s">
        <v>286</v>
      </c>
      <c r="G298" s="13" t="s">
        <v>47</v>
      </c>
      <c r="H298" s="9">
        <f>I298+J298+K298+L298</f>
        <v>101</v>
      </c>
      <c r="I298" s="9">
        <v>0</v>
      </c>
      <c r="J298" s="9">
        <v>101</v>
      </c>
      <c r="K298" s="9">
        <v>0</v>
      </c>
      <c r="L298" s="9">
        <v>0</v>
      </c>
      <c r="M298" s="9">
        <v>101</v>
      </c>
      <c r="N298" s="9">
        <v>101</v>
      </c>
      <c r="O298" s="268"/>
      <c r="P298" s="243"/>
    </row>
    <row r="299" spans="1:16" ht="13.35" customHeight="1" x14ac:dyDescent="0.25">
      <c r="A299" s="264"/>
      <c r="B299" s="196" t="s">
        <v>14</v>
      </c>
      <c r="C299" s="4"/>
      <c r="D299" s="5"/>
      <c r="E299" s="5"/>
      <c r="F299" s="5"/>
      <c r="G299" s="12"/>
      <c r="H299" s="9">
        <f>I299+J299+K299+L299</f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268"/>
      <c r="P299" s="243"/>
    </row>
    <row r="300" spans="1:16" ht="13.35" customHeight="1" x14ac:dyDescent="0.25">
      <c r="A300" s="264"/>
      <c r="B300" s="196" t="s">
        <v>15</v>
      </c>
      <c r="C300" s="4"/>
      <c r="D300" s="5"/>
      <c r="E300" s="5"/>
      <c r="F300" s="5"/>
      <c r="G300" s="12"/>
      <c r="H300" s="9">
        <f>I300+J300+K300+L300</f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268"/>
      <c r="P300" s="243"/>
    </row>
    <row r="301" spans="1:16" ht="24.75" customHeight="1" x14ac:dyDescent="0.25">
      <c r="A301" s="264"/>
      <c r="B301" s="196" t="s">
        <v>12</v>
      </c>
      <c r="C301" s="4"/>
      <c r="D301" s="5"/>
      <c r="E301" s="5"/>
      <c r="F301" s="5"/>
      <c r="G301" s="12"/>
      <c r="H301" s="9">
        <f>I301+J301+K301+L301</f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40">
        <v>0</v>
      </c>
      <c r="O301" s="268"/>
      <c r="P301" s="244"/>
    </row>
    <row r="302" spans="1:16" ht="32.25" customHeight="1" x14ac:dyDescent="0.25">
      <c r="A302" s="289" t="s">
        <v>506</v>
      </c>
      <c r="B302" s="196" t="s">
        <v>574</v>
      </c>
      <c r="C302" s="4"/>
      <c r="D302" s="5"/>
      <c r="E302" s="5"/>
      <c r="F302" s="5"/>
      <c r="G302" s="12"/>
      <c r="H302" s="9">
        <v>1614</v>
      </c>
      <c r="I302" s="9">
        <v>0</v>
      </c>
      <c r="J302" s="9">
        <v>0</v>
      </c>
      <c r="K302" s="9">
        <v>0</v>
      </c>
      <c r="L302" s="9">
        <v>1614</v>
      </c>
      <c r="M302" s="9">
        <v>360</v>
      </c>
      <c r="N302" s="9">
        <v>360</v>
      </c>
      <c r="O302" s="242" t="s">
        <v>358</v>
      </c>
      <c r="P302" s="242" t="s">
        <v>594</v>
      </c>
    </row>
    <row r="303" spans="1:16" ht="13.35" customHeight="1" x14ac:dyDescent="0.25">
      <c r="A303" s="239"/>
      <c r="B303" s="196" t="s">
        <v>97</v>
      </c>
      <c r="C303" s="4"/>
      <c r="D303" s="5"/>
      <c r="E303" s="5"/>
      <c r="F303" s="5"/>
      <c r="G303" s="12"/>
      <c r="H303" s="9">
        <v>0.6</v>
      </c>
      <c r="I303" s="9" t="s">
        <v>229</v>
      </c>
      <c r="J303" s="9" t="s">
        <v>229</v>
      </c>
      <c r="K303" s="9" t="s">
        <v>229</v>
      </c>
      <c r="L303" s="9" t="s">
        <v>229</v>
      </c>
      <c r="M303" s="9">
        <v>1.1000000000000001</v>
      </c>
      <c r="N303" s="9">
        <v>1.1000000000000001</v>
      </c>
      <c r="O303" s="243"/>
      <c r="P303" s="243"/>
    </row>
    <row r="304" spans="1:16" ht="12.75" customHeight="1" x14ac:dyDescent="0.25">
      <c r="A304" s="239"/>
      <c r="B304" s="196" t="s">
        <v>77</v>
      </c>
      <c r="C304" s="6"/>
      <c r="D304" s="13"/>
      <c r="E304" s="13"/>
      <c r="F304" s="6"/>
      <c r="G304" s="13"/>
      <c r="H304" s="9">
        <f>SUM(H305:H308)</f>
        <v>1000</v>
      </c>
      <c r="I304" s="9">
        <f t="shared" ref="I304:N304" si="115">SUM(I305:I308)</f>
        <v>0</v>
      </c>
      <c r="J304" s="9">
        <f t="shared" si="115"/>
        <v>0</v>
      </c>
      <c r="K304" s="9">
        <f t="shared" si="115"/>
        <v>0</v>
      </c>
      <c r="L304" s="9">
        <f t="shared" si="115"/>
        <v>1000</v>
      </c>
      <c r="M304" s="9">
        <f t="shared" si="115"/>
        <v>400</v>
      </c>
      <c r="N304" s="9">
        <f t="shared" si="115"/>
        <v>400</v>
      </c>
      <c r="O304" s="243"/>
      <c r="P304" s="243"/>
    </row>
    <row r="305" spans="1:16" ht="25.5" customHeight="1" x14ac:dyDescent="0.25">
      <c r="A305" s="239"/>
      <c r="B305" s="196" t="s">
        <v>16</v>
      </c>
      <c r="C305" s="6" t="s">
        <v>41</v>
      </c>
      <c r="D305" s="13" t="s">
        <v>233</v>
      </c>
      <c r="E305" s="13" t="s">
        <v>235</v>
      </c>
      <c r="F305" s="6" t="s">
        <v>286</v>
      </c>
      <c r="G305" s="13" t="s">
        <v>47</v>
      </c>
      <c r="H305" s="9">
        <f>I305+J305+K305+L305</f>
        <v>1000</v>
      </c>
      <c r="I305" s="9">
        <v>0</v>
      </c>
      <c r="J305" s="9">
        <v>0</v>
      </c>
      <c r="K305" s="9">
        <v>0</v>
      </c>
      <c r="L305" s="9">
        <v>1000</v>
      </c>
      <c r="M305" s="9">
        <v>400</v>
      </c>
      <c r="N305" s="26">
        <v>400</v>
      </c>
      <c r="O305" s="243"/>
      <c r="P305" s="243"/>
    </row>
    <row r="306" spans="1:16" x14ac:dyDescent="0.25">
      <c r="A306" s="239"/>
      <c r="B306" s="196" t="s">
        <v>14</v>
      </c>
      <c r="C306" s="4"/>
      <c r="D306" s="5"/>
      <c r="E306" s="5"/>
      <c r="F306" s="5"/>
      <c r="G306" s="12"/>
      <c r="H306" s="9">
        <f>I306+J306+K306+L306</f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40">
        <v>0</v>
      </c>
      <c r="O306" s="243"/>
      <c r="P306" s="243"/>
    </row>
    <row r="307" spans="1:16" x14ac:dyDescent="0.25">
      <c r="A307" s="239"/>
      <c r="B307" s="196" t="s">
        <v>15</v>
      </c>
      <c r="C307" s="4"/>
      <c r="D307" s="5"/>
      <c r="E307" s="5"/>
      <c r="F307" s="5"/>
      <c r="G307" s="12"/>
      <c r="H307" s="9">
        <f>I307+J307+K307+L307</f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40">
        <v>0</v>
      </c>
      <c r="O307" s="243"/>
      <c r="P307" s="243"/>
    </row>
    <row r="308" spans="1:16" ht="81" customHeight="1" x14ac:dyDescent="0.25">
      <c r="A308" s="240"/>
      <c r="B308" s="196" t="s">
        <v>12</v>
      </c>
      <c r="C308" s="4"/>
      <c r="D308" s="5"/>
      <c r="E308" s="5"/>
      <c r="F308" s="5"/>
      <c r="G308" s="12"/>
      <c r="H308" s="9">
        <f>I308+J308+K308+L308</f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40">
        <v>0</v>
      </c>
      <c r="O308" s="244"/>
      <c r="P308" s="244"/>
    </row>
    <row r="309" spans="1:16" x14ac:dyDescent="0.25">
      <c r="A309" s="286" t="s">
        <v>18</v>
      </c>
      <c r="B309" s="93" t="s">
        <v>242</v>
      </c>
      <c r="C309" s="94"/>
      <c r="D309" s="95"/>
      <c r="E309" s="95"/>
      <c r="F309" s="95"/>
      <c r="G309" s="212"/>
      <c r="H309" s="96">
        <f t="shared" ref="H309:N309" si="116">H310+H311+H312+H313</f>
        <v>1101</v>
      </c>
      <c r="I309" s="96">
        <f t="shared" si="116"/>
        <v>0</v>
      </c>
      <c r="J309" s="96">
        <f t="shared" si="116"/>
        <v>101</v>
      </c>
      <c r="K309" s="96">
        <f t="shared" si="116"/>
        <v>0</v>
      </c>
      <c r="L309" s="96">
        <f t="shared" si="116"/>
        <v>1000</v>
      </c>
      <c r="M309" s="96">
        <f t="shared" si="116"/>
        <v>501</v>
      </c>
      <c r="N309" s="96">
        <f t="shared" si="116"/>
        <v>501</v>
      </c>
      <c r="O309" s="286"/>
      <c r="P309" s="286"/>
    </row>
    <row r="310" spans="1:16" x14ac:dyDescent="0.25">
      <c r="A310" s="287"/>
      <c r="B310" s="93" t="s">
        <v>7</v>
      </c>
      <c r="C310" s="94"/>
      <c r="D310" s="95"/>
      <c r="E310" s="95"/>
      <c r="F310" s="95"/>
      <c r="G310" s="212"/>
      <c r="H310" s="96">
        <f>H291</f>
        <v>1101</v>
      </c>
      <c r="I310" s="96">
        <f t="shared" ref="I310:N310" si="117">I291</f>
        <v>0</v>
      </c>
      <c r="J310" s="96">
        <f t="shared" si="117"/>
        <v>101</v>
      </c>
      <c r="K310" s="96">
        <f t="shared" si="117"/>
        <v>0</v>
      </c>
      <c r="L310" s="96">
        <f t="shared" si="117"/>
        <v>1000</v>
      </c>
      <c r="M310" s="96">
        <f t="shared" si="117"/>
        <v>501</v>
      </c>
      <c r="N310" s="96">
        <f t="shared" si="117"/>
        <v>501</v>
      </c>
      <c r="O310" s="287"/>
      <c r="P310" s="287"/>
    </row>
    <row r="311" spans="1:16" x14ac:dyDescent="0.25">
      <c r="A311" s="287"/>
      <c r="B311" s="93" t="s">
        <v>14</v>
      </c>
      <c r="C311" s="94"/>
      <c r="D311" s="95"/>
      <c r="E311" s="95"/>
      <c r="F311" s="95"/>
      <c r="G311" s="212"/>
      <c r="H311" s="96">
        <f>H292</f>
        <v>0</v>
      </c>
      <c r="I311" s="96">
        <f t="shared" ref="I311:N311" si="118">I292</f>
        <v>0</v>
      </c>
      <c r="J311" s="96">
        <f t="shared" si="118"/>
        <v>0</v>
      </c>
      <c r="K311" s="96">
        <f t="shared" si="118"/>
        <v>0</v>
      </c>
      <c r="L311" s="96">
        <f t="shared" si="118"/>
        <v>0</v>
      </c>
      <c r="M311" s="96">
        <f t="shared" si="118"/>
        <v>0</v>
      </c>
      <c r="N311" s="96">
        <f t="shared" si="118"/>
        <v>0</v>
      </c>
      <c r="O311" s="287"/>
      <c r="P311" s="287"/>
    </row>
    <row r="312" spans="1:16" x14ac:dyDescent="0.25">
      <c r="A312" s="287"/>
      <c r="B312" s="93" t="s">
        <v>15</v>
      </c>
      <c r="C312" s="94"/>
      <c r="D312" s="95"/>
      <c r="E312" s="95"/>
      <c r="F312" s="95"/>
      <c r="G312" s="212"/>
      <c r="H312" s="96">
        <f>H293</f>
        <v>0</v>
      </c>
      <c r="I312" s="96">
        <f t="shared" ref="I312:N312" si="119">I293</f>
        <v>0</v>
      </c>
      <c r="J312" s="96">
        <f t="shared" si="119"/>
        <v>0</v>
      </c>
      <c r="K312" s="96">
        <f t="shared" si="119"/>
        <v>0</v>
      </c>
      <c r="L312" s="96">
        <f t="shared" si="119"/>
        <v>0</v>
      </c>
      <c r="M312" s="96">
        <f t="shared" si="119"/>
        <v>0</v>
      </c>
      <c r="N312" s="96">
        <f t="shared" si="119"/>
        <v>0</v>
      </c>
      <c r="O312" s="287"/>
      <c r="P312" s="287"/>
    </row>
    <row r="313" spans="1:16" x14ac:dyDescent="0.25">
      <c r="A313" s="288"/>
      <c r="B313" s="93" t="s">
        <v>10</v>
      </c>
      <c r="C313" s="94"/>
      <c r="D313" s="95"/>
      <c r="E313" s="95"/>
      <c r="F313" s="95"/>
      <c r="G313" s="212"/>
      <c r="H313" s="96">
        <f>H294</f>
        <v>0</v>
      </c>
      <c r="I313" s="96">
        <f t="shared" ref="I313:N313" si="120">I294</f>
        <v>0</v>
      </c>
      <c r="J313" s="96">
        <f t="shared" si="120"/>
        <v>0</v>
      </c>
      <c r="K313" s="96">
        <f t="shared" si="120"/>
        <v>0</v>
      </c>
      <c r="L313" s="96">
        <f t="shared" si="120"/>
        <v>0</v>
      </c>
      <c r="M313" s="96">
        <f t="shared" si="120"/>
        <v>0</v>
      </c>
      <c r="N313" s="96">
        <f t="shared" si="120"/>
        <v>0</v>
      </c>
      <c r="O313" s="288"/>
      <c r="P313" s="288"/>
    </row>
    <row r="314" spans="1:16" x14ac:dyDescent="0.25">
      <c r="A314" s="258" t="s">
        <v>127</v>
      </c>
      <c r="B314" s="260"/>
      <c r="C314" s="260"/>
      <c r="D314" s="260"/>
      <c r="E314" s="260"/>
      <c r="F314" s="260"/>
      <c r="G314" s="260"/>
      <c r="H314" s="260"/>
      <c r="I314" s="260"/>
      <c r="J314" s="260"/>
      <c r="K314" s="260"/>
      <c r="L314" s="260"/>
      <c r="M314" s="260"/>
      <c r="N314" s="260"/>
      <c r="O314" s="260"/>
      <c r="P314" s="261"/>
    </row>
    <row r="315" spans="1:16" ht="26.4" x14ac:dyDescent="0.25">
      <c r="A315" s="264" t="s">
        <v>507</v>
      </c>
      <c r="B315" s="196" t="s">
        <v>29</v>
      </c>
      <c r="C315" s="4"/>
      <c r="D315" s="5"/>
      <c r="E315" s="5"/>
      <c r="F315" s="5"/>
      <c r="G315" s="12"/>
      <c r="H315" s="9" t="s">
        <v>51</v>
      </c>
      <c r="I315" s="9" t="s">
        <v>51</v>
      </c>
      <c r="J315" s="9" t="s">
        <v>51</v>
      </c>
      <c r="K315" s="9" t="s">
        <v>51</v>
      </c>
      <c r="L315" s="9" t="s">
        <v>51</v>
      </c>
      <c r="M315" s="9" t="s">
        <v>51</v>
      </c>
      <c r="N315" s="9" t="s">
        <v>51</v>
      </c>
      <c r="O315" s="268" t="s">
        <v>359</v>
      </c>
      <c r="P315" s="268" t="s">
        <v>163</v>
      </c>
    </row>
    <row r="316" spans="1:16" ht="26.4" x14ac:dyDescent="0.25">
      <c r="A316" s="264"/>
      <c r="B316" s="196" t="s">
        <v>95</v>
      </c>
      <c r="C316" s="4"/>
      <c r="D316" s="5"/>
      <c r="E316" s="5"/>
      <c r="F316" s="5"/>
      <c r="G316" s="12"/>
      <c r="H316" s="9" t="s">
        <v>51</v>
      </c>
      <c r="I316" s="1" t="s">
        <v>229</v>
      </c>
      <c r="J316" s="1" t="s">
        <v>229</v>
      </c>
      <c r="K316" s="1" t="s">
        <v>229</v>
      </c>
      <c r="L316" s="1" t="s">
        <v>229</v>
      </c>
      <c r="M316" s="9" t="s">
        <v>51</v>
      </c>
      <c r="N316" s="9" t="s">
        <v>51</v>
      </c>
      <c r="O316" s="268"/>
      <c r="P316" s="268"/>
    </row>
    <row r="317" spans="1:16" x14ac:dyDescent="0.25">
      <c r="A317" s="264"/>
      <c r="B317" s="196" t="s">
        <v>74</v>
      </c>
      <c r="C317" s="4"/>
      <c r="D317" s="5"/>
      <c r="E317" s="5"/>
      <c r="F317" s="5"/>
      <c r="G317" s="12"/>
      <c r="H317" s="9">
        <f t="shared" ref="H317:N317" si="121">SUM(H318:H335)</f>
        <v>27831519.400000002</v>
      </c>
      <c r="I317" s="9">
        <f t="shared" si="121"/>
        <v>6548550.1149999984</v>
      </c>
      <c r="J317" s="9">
        <f t="shared" si="121"/>
        <v>9102261.0850000028</v>
      </c>
      <c r="K317" s="9">
        <f t="shared" si="121"/>
        <v>4309902.5999999996</v>
      </c>
      <c r="L317" s="9">
        <f t="shared" si="121"/>
        <v>7870805.6000000006</v>
      </c>
      <c r="M317" s="9">
        <f t="shared" si="121"/>
        <v>29277580</v>
      </c>
      <c r="N317" s="9">
        <f t="shared" si="121"/>
        <v>30792347.699999999</v>
      </c>
      <c r="O317" s="268"/>
      <c r="P317" s="268"/>
    </row>
    <row r="318" spans="1:16" x14ac:dyDescent="0.25">
      <c r="A318" s="264"/>
      <c r="B318" s="242" t="s">
        <v>16</v>
      </c>
      <c r="C318" s="4">
        <f t="shared" ref="C318:H318" si="122">C339</f>
        <v>136</v>
      </c>
      <c r="D318" s="4" t="str">
        <f t="shared" si="122"/>
        <v>07</v>
      </c>
      <c r="E318" s="4" t="str">
        <f t="shared" si="122"/>
        <v>01</v>
      </c>
      <c r="F318" s="4" t="str">
        <f t="shared" si="122"/>
        <v>0710470110</v>
      </c>
      <c r="G318" s="12">
        <f t="shared" si="122"/>
        <v>530</v>
      </c>
      <c r="H318" s="9">
        <f t="shared" si="122"/>
        <v>9199572.4000000004</v>
      </c>
      <c r="I318" s="9">
        <f t="shared" ref="I318:N318" si="123">I339</f>
        <v>2140668.9</v>
      </c>
      <c r="J318" s="9">
        <f t="shared" si="123"/>
        <v>2734566.5</v>
      </c>
      <c r="K318" s="9">
        <f t="shared" si="123"/>
        <v>1669623.7</v>
      </c>
      <c r="L318" s="9">
        <f t="shared" si="123"/>
        <v>2654713.2999999998</v>
      </c>
      <c r="M318" s="9">
        <f t="shared" si="123"/>
        <v>9166683.8000000007</v>
      </c>
      <c r="N318" s="9">
        <f t="shared" si="123"/>
        <v>9662238.3000000007</v>
      </c>
      <c r="O318" s="268"/>
      <c r="P318" s="268"/>
    </row>
    <row r="319" spans="1:16" ht="12.75" customHeight="1" x14ac:dyDescent="0.25">
      <c r="A319" s="264"/>
      <c r="B319" s="243"/>
      <c r="C319" s="4">
        <f t="shared" ref="C319:H319" si="124">C346</f>
        <v>136</v>
      </c>
      <c r="D319" s="4" t="str">
        <f t="shared" si="124"/>
        <v>07</v>
      </c>
      <c r="E319" s="4" t="str">
        <f t="shared" si="124"/>
        <v>02</v>
      </c>
      <c r="F319" s="4" t="str">
        <f t="shared" si="124"/>
        <v>0710470140</v>
      </c>
      <c r="G319" s="12">
        <f t="shared" si="124"/>
        <v>530</v>
      </c>
      <c r="H319" s="9">
        <f t="shared" si="124"/>
        <v>1084030</v>
      </c>
      <c r="I319" s="9">
        <f t="shared" ref="I319:N319" si="125">I346</f>
        <v>266284.09999999998</v>
      </c>
      <c r="J319" s="9">
        <f t="shared" si="125"/>
        <v>337041.2</v>
      </c>
      <c r="K319" s="9">
        <f t="shared" si="125"/>
        <v>198188.6</v>
      </c>
      <c r="L319" s="9">
        <f t="shared" si="125"/>
        <v>282516.09999999998</v>
      </c>
      <c r="M319" s="9">
        <f t="shared" si="125"/>
        <v>1141460.8999999999</v>
      </c>
      <c r="N319" s="9">
        <f t="shared" si="125"/>
        <v>1201875.0999999999</v>
      </c>
      <c r="O319" s="268"/>
      <c r="P319" s="268"/>
    </row>
    <row r="320" spans="1:16" x14ac:dyDescent="0.25">
      <c r="A320" s="264"/>
      <c r="B320" s="243"/>
      <c r="C320" s="4">
        <f t="shared" ref="C320:H320" si="126">C353</f>
        <v>136</v>
      </c>
      <c r="D320" s="4" t="str">
        <f t="shared" si="126"/>
        <v>07</v>
      </c>
      <c r="E320" s="4" t="str">
        <f t="shared" si="126"/>
        <v>02</v>
      </c>
      <c r="F320" s="4" t="str">
        <f t="shared" si="126"/>
        <v>0710470120</v>
      </c>
      <c r="G320" s="12">
        <f t="shared" si="126"/>
        <v>530</v>
      </c>
      <c r="H320" s="9">
        <f t="shared" si="126"/>
        <v>15296600.500000002</v>
      </c>
      <c r="I320" s="9">
        <f t="shared" ref="I320:N320" si="127">I353</f>
        <v>3611102.6</v>
      </c>
      <c r="J320" s="9">
        <f t="shared" si="127"/>
        <v>5439135.7000000002</v>
      </c>
      <c r="K320" s="9">
        <f t="shared" si="127"/>
        <v>2070213.3</v>
      </c>
      <c r="L320" s="9">
        <f t="shared" si="127"/>
        <v>4176148.9</v>
      </c>
      <c r="M320" s="9">
        <f t="shared" si="127"/>
        <v>16601703.5</v>
      </c>
      <c r="N320" s="9">
        <f t="shared" si="127"/>
        <v>17520495.100000001</v>
      </c>
      <c r="O320" s="268"/>
      <c r="P320" s="268"/>
    </row>
    <row r="321" spans="1:16" x14ac:dyDescent="0.25">
      <c r="A321" s="264"/>
      <c r="B321" s="243"/>
      <c r="C321" s="4">
        <f t="shared" ref="C321:N321" si="128">C360</f>
        <v>136</v>
      </c>
      <c r="D321" s="4" t="str">
        <f t="shared" si="128"/>
        <v>10</v>
      </c>
      <c r="E321" s="4" t="str">
        <f t="shared" si="128"/>
        <v>03</v>
      </c>
      <c r="F321" s="5" t="str">
        <f t="shared" si="128"/>
        <v>0710470849</v>
      </c>
      <c r="G321" s="12">
        <f t="shared" si="128"/>
        <v>530</v>
      </c>
      <c r="H321" s="9">
        <f t="shared" si="128"/>
        <v>1320447.2</v>
      </c>
      <c r="I321" s="9">
        <f t="shared" si="128"/>
        <v>344261.1</v>
      </c>
      <c r="J321" s="9">
        <f t="shared" si="128"/>
        <v>355998.9</v>
      </c>
      <c r="K321" s="9">
        <f t="shared" si="128"/>
        <v>169291.5</v>
      </c>
      <c r="L321" s="9">
        <f t="shared" si="128"/>
        <v>450895.7</v>
      </c>
      <c r="M321" s="9">
        <f t="shared" si="128"/>
        <v>1398436.5</v>
      </c>
      <c r="N321" s="9">
        <f t="shared" si="128"/>
        <v>1398436.5</v>
      </c>
      <c r="O321" s="268"/>
      <c r="P321" s="268"/>
    </row>
    <row r="322" spans="1:16" x14ac:dyDescent="0.25">
      <c r="A322" s="264"/>
      <c r="B322" s="243"/>
      <c r="C322" s="4">
        <f t="shared" ref="C322:N327" si="129">C367</f>
        <v>136</v>
      </c>
      <c r="D322" s="4" t="str">
        <f t="shared" si="129"/>
        <v>07</v>
      </c>
      <c r="E322" s="4" t="str">
        <f t="shared" si="129"/>
        <v>02</v>
      </c>
      <c r="F322" s="4" t="str">
        <f t="shared" si="129"/>
        <v>0710400620</v>
      </c>
      <c r="G322" s="12">
        <f t="shared" si="129"/>
        <v>611</v>
      </c>
      <c r="H322" s="9">
        <f t="shared" si="129"/>
        <v>111876.4</v>
      </c>
      <c r="I322" s="9">
        <f t="shared" si="129"/>
        <v>22000</v>
      </c>
      <c r="J322" s="9">
        <f t="shared" si="129"/>
        <v>35000</v>
      </c>
      <c r="K322" s="9">
        <f t="shared" si="129"/>
        <v>21000</v>
      </c>
      <c r="L322" s="9">
        <f t="shared" si="129"/>
        <v>33876.400000000001</v>
      </c>
      <c r="M322" s="9">
        <f t="shared" si="129"/>
        <v>116567.3</v>
      </c>
      <c r="N322" s="9">
        <f t="shared" si="129"/>
        <v>121511.3</v>
      </c>
      <c r="O322" s="268"/>
      <c r="P322" s="268"/>
    </row>
    <row r="323" spans="1:16" ht="13.35" customHeight="1" x14ac:dyDescent="0.25">
      <c r="A323" s="264"/>
      <c r="B323" s="243"/>
      <c r="C323" s="4">
        <f t="shared" si="129"/>
        <v>136</v>
      </c>
      <c r="D323" s="4" t="str">
        <f t="shared" si="129"/>
        <v>07</v>
      </c>
      <c r="E323" s="4" t="str">
        <f t="shared" si="129"/>
        <v>02</v>
      </c>
      <c r="F323" s="4" t="str">
        <f t="shared" si="129"/>
        <v>0710400630</v>
      </c>
      <c r="G323" s="12">
        <f t="shared" si="129"/>
        <v>611</v>
      </c>
      <c r="H323" s="9">
        <f t="shared" si="129"/>
        <v>273734.3</v>
      </c>
      <c r="I323" s="9">
        <f t="shared" si="129"/>
        <v>62706</v>
      </c>
      <c r="J323" s="9">
        <f t="shared" si="129"/>
        <v>83888.8</v>
      </c>
      <c r="K323" s="9">
        <f t="shared" si="129"/>
        <v>59067.9</v>
      </c>
      <c r="L323" s="9">
        <f t="shared" si="129"/>
        <v>68071.600000000006</v>
      </c>
      <c r="M323" s="9">
        <f t="shared" si="129"/>
        <v>279389.90000000002</v>
      </c>
      <c r="N323" s="9">
        <f t="shared" si="129"/>
        <v>291100.7</v>
      </c>
      <c r="O323" s="268"/>
      <c r="P323" s="268"/>
    </row>
    <row r="324" spans="1:16" ht="13.35" customHeight="1" x14ac:dyDescent="0.25">
      <c r="A324" s="264"/>
      <c r="B324" s="243"/>
      <c r="C324" s="4">
        <f t="shared" si="129"/>
        <v>136</v>
      </c>
      <c r="D324" s="4" t="str">
        <f t="shared" si="129"/>
        <v>07</v>
      </c>
      <c r="E324" s="4" t="str">
        <f t="shared" si="129"/>
        <v>02</v>
      </c>
      <c r="F324" s="4" t="str">
        <f t="shared" si="129"/>
        <v>0710400630</v>
      </c>
      <c r="G324" s="12">
        <f t="shared" si="129"/>
        <v>621</v>
      </c>
      <c r="H324" s="9">
        <f t="shared" si="129"/>
        <v>83761.600000000006</v>
      </c>
      <c r="I324" s="9">
        <f t="shared" si="129"/>
        <v>20700</v>
      </c>
      <c r="J324" s="9">
        <f t="shared" si="129"/>
        <v>22300</v>
      </c>
      <c r="K324" s="9">
        <f t="shared" si="129"/>
        <v>18900</v>
      </c>
      <c r="L324" s="9">
        <f t="shared" si="129"/>
        <v>21861.599999999999</v>
      </c>
      <c r="M324" s="9">
        <f t="shared" si="129"/>
        <v>86409.7</v>
      </c>
      <c r="N324" s="9">
        <f t="shared" si="129"/>
        <v>89192</v>
      </c>
      <c r="O324" s="268"/>
      <c r="P324" s="268"/>
    </row>
    <row r="325" spans="1:16" ht="13.35" customHeight="1" x14ac:dyDescent="0.25">
      <c r="A325" s="264"/>
      <c r="B325" s="243"/>
      <c r="C325" s="4">
        <f t="shared" si="129"/>
        <v>136</v>
      </c>
      <c r="D325" s="4" t="str">
        <f t="shared" si="129"/>
        <v>07</v>
      </c>
      <c r="E325" s="4" t="str">
        <f t="shared" si="129"/>
        <v>09</v>
      </c>
      <c r="F325" s="4" t="str">
        <f t="shared" si="129"/>
        <v>0710400660</v>
      </c>
      <c r="G325" s="12">
        <f t="shared" si="129"/>
        <v>611</v>
      </c>
      <c r="H325" s="9">
        <f t="shared" si="129"/>
        <v>117702</v>
      </c>
      <c r="I325" s="9">
        <f t="shared" si="129"/>
        <v>28706</v>
      </c>
      <c r="J325" s="9">
        <f t="shared" si="129"/>
        <v>36478.300000000003</v>
      </c>
      <c r="K325" s="9">
        <f t="shared" si="129"/>
        <v>21092.5</v>
      </c>
      <c r="L325" s="9">
        <f t="shared" si="129"/>
        <v>31425.200000000001</v>
      </c>
      <c r="M325" s="9">
        <f t="shared" si="129"/>
        <v>122886</v>
      </c>
      <c r="N325" s="9">
        <f t="shared" si="129"/>
        <v>128303.5</v>
      </c>
      <c r="O325" s="268"/>
      <c r="P325" s="268"/>
    </row>
    <row r="326" spans="1:16" x14ac:dyDescent="0.25">
      <c r="A326" s="264"/>
      <c r="B326" s="243"/>
      <c r="C326" s="4">
        <f t="shared" si="129"/>
        <v>136</v>
      </c>
      <c r="D326" s="4" t="str">
        <f t="shared" si="129"/>
        <v>07</v>
      </c>
      <c r="E326" s="4" t="str">
        <f t="shared" si="129"/>
        <v>03</v>
      </c>
      <c r="F326" s="6" t="s">
        <v>264</v>
      </c>
      <c r="G326" s="12">
        <f t="shared" si="129"/>
        <v>611</v>
      </c>
      <c r="H326" s="9">
        <f t="shared" si="129"/>
        <v>30264.100000000002</v>
      </c>
      <c r="I326" s="9">
        <f t="shared" si="129"/>
        <v>7890.3</v>
      </c>
      <c r="J326" s="9">
        <f t="shared" si="129"/>
        <v>7537.6</v>
      </c>
      <c r="K326" s="9">
        <f t="shared" si="129"/>
        <v>6700.9</v>
      </c>
      <c r="L326" s="9">
        <f t="shared" si="129"/>
        <v>8135.3</v>
      </c>
      <c r="M326" s="9">
        <f t="shared" si="129"/>
        <v>31982.9</v>
      </c>
      <c r="N326" s="9">
        <f t="shared" si="129"/>
        <v>33470.6</v>
      </c>
      <c r="O326" s="268"/>
      <c r="P326" s="268"/>
    </row>
    <row r="327" spans="1:16" x14ac:dyDescent="0.25">
      <c r="A327" s="264"/>
      <c r="B327" s="243"/>
      <c r="C327" s="4">
        <f t="shared" si="129"/>
        <v>136</v>
      </c>
      <c r="D327" s="4" t="str">
        <f t="shared" si="129"/>
        <v>07</v>
      </c>
      <c r="E327" s="4" t="str">
        <f t="shared" si="129"/>
        <v>03</v>
      </c>
      <c r="F327" s="6" t="s">
        <v>264</v>
      </c>
      <c r="G327" s="12">
        <f t="shared" si="129"/>
        <v>621</v>
      </c>
      <c r="H327" s="9">
        <f t="shared" si="129"/>
        <v>106658.70000000001</v>
      </c>
      <c r="I327" s="9">
        <f t="shared" si="129"/>
        <v>26490</v>
      </c>
      <c r="J327" s="9">
        <f t="shared" si="129"/>
        <v>26390</v>
      </c>
      <c r="K327" s="9">
        <f t="shared" si="129"/>
        <v>19342.3</v>
      </c>
      <c r="L327" s="9">
        <f t="shared" si="129"/>
        <v>34436.400000000001</v>
      </c>
      <c r="M327" s="9">
        <f t="shared" si="129"/>
        <v>122685.1</v>
      </c>
      <c r="N327" s="9">
        <f t="shared" si="129"/>
        <v>134384.9</v>
      </c>
      <c r="O327" s="268"/>
      <c r="P327" s="268"/>
    </row>
    <row r="328" spans="1:16" x14ac:dyDescent="0.25">
      <c r="A328" s="264"/>
      <c r="B328" s="243"/>
      <c r="C328" s="4">
        <f t="shared" ref="C328:H328" si="130">C379</f>
        <v>136</v>
      </c>
      <c r="D328" s="4" t="str">
        <f t="shared" si="130"/>
        <v>07</v>
      </c>
      <c r="E328" s="4" t="str">
        <f t="shared" si="130"/>
        <v>09</v>
      </c>
      <c r="F328" s="4" t="str">
        <f t="shared" si="130"/>
        <v>0710400660</v>
      </c>
      <c r="G328" s="12" t="str">
        <f t="shared" si="130"/>
        <v>-</v>
      </c>
      <c r="H328" s="9">
        <f t="shared" si="130"/>
        <v>192874.8</v>
      </c>
      <c r="I328" s="9">
        <f t="shared" ref="I328:N328" si="131">I379</f>
        <v>14512.715</v>
      </c>
      <c r="J328" s="9">
        <f t="shared" si="131"/>
        <v>20519.685000000001</v>
      </c>
      <c r="K328" s="9">
        <f t="shared" si="131"/>
        <v>54145.2</v>
      </c>
      <c r="L328" s="9">
        <f t="shared" si="131"/>
        <v>103697.2</v>
      </c>
      <c r="M328" s="9">
        <f t="shared" si="131"/>
        <v>195377</v>
      </c>
      <c r="N328" s="9">
        <f t="shared" si="131"/>
        <v>197342.3</v>
      </c>
      <c r="O328" s="268"/>
      <c r="P328" s="268"/>
    </row>
    <row r="329" spans="1:16" x14ac:dyDescent="0.25">
      <c r="A329" s="264"/>
      <c r="B329" s="243"/>
      <c r="C329" s="4">
        <f>C386</f>
        <v>136</v>
      </c>
      <c r="D329" s="4" t="str">
        <f t="shared" ref="D329:N332" si="132">D386</f>
        <v>10</v>
      </c>
      <c r="E329" s="4" t="str">
        <f t="shared" si="132"/>
        <v>04</v>
      </c>
      <c r="F329" s="4" t="str">
        <f t="shared" si="132"/>
        <v>0710403589</v>
      </c>
      <c r="G329" s="12">
        <f t="shared" si="132"/>
        <v>321</v>
      </c>
      <c r="H329" s="9">
        <f t="shared" si="132"/>
        <v>66.3</v>
      </c>
      <c r="I329" s="9">
        <f t="shared" si="132"/>
        <v>8.5</v>
      </c>
      <c r="J329" s="9">
        <f t="shared" si="132"/>
        <v>8.9</v>
      </c>
      <c r="K329" s="9">
        <f t="shared" si="132"/>
        <v>34.6</v>
      </c>
      <c r="L329" s="9">
        <f t="shared" si="132"/>
        <v>14.3</v>
      </c>
      <c r="M329" s="9">
        <f t="shared" si="132"/>
        <v>66.3</v>
      </c>
      <c r="N329" s="9">
        <f t="shared" si="132"/>
        <v>66.3</v>
      </c>
      <c r="O329" s="268"/>
      <c r="P329" s="268"/>
    </row>
    <row r="330" spans="1:16" x14ac:dyDescent="0.25">
      <c r="A330" s="264"/>
      <c r="B330" s="243"/>
      <c r="C330" s="4">
        <f>C387</f>
        <v>136</v>
      </c>
      <c r="D330" s="4" t="str">
        <f t="shared" ref="D330:M330" si="133">D387</f>
        <v>10</v>
      </c>
      <c r="E330" s="4" t="str">
        <f t="shared" si="133"/>
        <v>04</v>
      </c>
      <c r="F330" s="4" t="str">
        <f t="shared" si="133"/>
        <v>0710403589</v>
      </c>
      <c r="G330" s="12">
        <f t="shared" si="133"/>
        <v>612</v>
      </c>
      <c r="H330" s="9">
        <f t="shared" si="133"/>
        <v>644</v>
      </c>
      <c r="I330" s="9">
        <f t="shared" si="133"/>
        <v>114.3</v>
      </c>
      <c r="J330" s="9">
        <f t="shared" si="133"/>
        <v>140.30000000000001</v>
      </c>
      <c r="K330" s="9">
        <f t="shared" si="133"/>
        <v>147.19999999999999</v>
      </c>
      <c r="L330" s="9">
        <f t="shared" si="133"/>
        <v>242.2</v>
      </c>
      <c r="M330" s="9">
        <f t="shared" si="133"/>
        <v>644</v>
      </c>
      <c r="N330" s="9">
        <f t="shared" si="132"/>
        <v>644</v>
      </c>
      <c r="O330" s="268"/>
      <c r="P330" s="268"/>
    </row>
    <row r="331" spans="1:16" ht="13.35" customHeight="1" x14ac:dyDescent="0.25">
      <c r="A331" s="264"/>
      <c r="B331" s="243"/>
      <c r="C331" s="4">
        <f>C388</f>
        <v>136</v>
      </c>
      <c r="D331" s="4" t="str">
        <f t="shared" si="132"/>
        <v>07</v>
      </c>
      <c r="E331" s="4" t="str">
        <f t="shared" si="132"/>
        <v>02</v>
      </c>
      <c r="F331" s="4" t="str">
        <f t="shared" si="132"/>
        <v>0710403349</v>
      </c>
      <c r="G331" s="12">
        <f t="shared" si="132"/>
        <v>612</v>
      </c>
      <c r="H331" s="9">
        <f t="shared" si="132"/>
        <v>12654.7</v>
      </c>
      <c r="I331" s="9">
        <f t="shared" si="132"/>
        <v>2925</v>
      </c>
      <c r="J331" s="9">
        <f t="shared" si="132"/>
        <v>3093.6</v>
      </c>
      <c r="K331" s="9">
        <f t="shared" si="132"/>
        <v>2078.6</v>
      </c>
      <c r="L331" s="9">
        <f t="shared" si="132"/>
        <v>4557.5</v>
      </c>
      <c r="M331" s="9">
        <f t="shared" si="132"/>
        <v>12654.7</v>
      </c>
      <c r="N331" s="9">
        <f t="shared" si="132"/>
        <v>12654.7</v>
      </c>
      <c r="O331" s="268"/>
      <c r="P331" s="268"/>
    </row>
    <row r="332" spans="1:16" ht="13.35" customHeight="1" x14ac:dyDescent="0.25">
      <c r="A332" s="264"/>
      <c r="B332" s="243"/>
      <c r="C332" s="4">
        <f>C389</f>
        <v>136</v>
      </c>
      <c r="D332" s="4" t="str">
        <f t="shared" si="132"/>
        <v>07</v>
      </c>
      <c r="E332" s="4" t="str">
        <f t="shared" si="132"/>
        <v>02</v>
      </c>
      <c r="F332" s="4" t="str">
        <f t="shared" si="132"/>
        <v>0710403349</v>
      </c>
      <c r="G332" s="12">
        <f t="shared" si="132"/>
        <v>622</v>
      </c>
      <c r="H332" s="9">
        <f t="shared" si="132"/>
        <v>632.4</v>
      </c>
      <c r="I332" s="9">
        <f t="shared" si="132"/>
        <v>180.6</v>
      </c>
      <c r="J332" s="9">
        <f t="shared" si="132"/>
        <v>161.6</v>
      </c>
      <c r="K332" s="9">
        <f t="shared" si="132"/>
        <v>76.3</v>
      </c>
      <c r="L332" s="9">
        <f t="shared" si="132"/>
        <v>213.9</v>
      </c>
      <c r="M332" s="9">
        <f t="shared" si="132"/>
        <v>632.4</v>
      </c>
      <c r="N332" s="9">
        <f t="shared" si="132"/>
        <v>632.4</v>
      </c>
      <c r="O332" s="268"/>
      <c r="P332" s="268"/>
    </row>
    <row r="333" spans="1:16" x14ac:dyDescent="0.25">
      <c r="A333" s="264"/>
      <c r="B333" s="196" t="s">
        <v>14</v>
      </c>
      <c r="C333" s="4"/>
      <c r="D333" s="5"/>
      <c r="E333" s="5"/>
      <c r="F333" s="5"/>
      <c r="G333" s="12"/>
      <c r="H333" s="1">
        <f>H340+H347+H354+H361+H373+H380</f>
        <v>0</v>
      </c>
      <c r="I333" s="9">
        <f t="shared" ref="I333:N335" si="134">I340+I347+I354+I361+I373+I380</f>
        <v>0</v>
      </c>
      <c r="J333" s="9">
        <f t="shared" si="134"/>
        <v>0</v>
      </c>
      <c r="K333" s="9">
        <f t="shared" si="134"/>
        <v>0</v>
      </c>
      <c r="L333" s="9">
        <f t="shared" si="134"/>
        <v>0</v>
      </c>
      <c r="M333" s="9">
        <f t="shared" si="134"/>
        <v>0</v>
      </c>
      <c r="N333" s="9">
        <f t="shared" si="134"/>
        <v>0</v>
      </c>
      <c r="O333" s="268"/>
      <c r="P333" s="268"/>
    </row>
    <row r="334" spans="1:16" x14ac:dyDescent="0.25">
      <c r="A334" s="264"/>
      <c r="B334" s="196" t="s">
        <v>15</v>
      </c>
      <c r="C334" s="4"/>
      <c r="D334" s="5"/>
      <c r="E334" s="5"/>
      <c r="F334" s="5"/>
      <c r="G334" s="12"/>
      <c r="H334" s="1">
        <f>H341+H348+H355+H362+H374+H381</f>
        <v>0</v>
      </c>
      <c r="I334" s="9">
        <f t="shared" si="134"/>
        <v>0</v>
      </c>
      <c r="J334" s="9">
        <f t="shared" si="134"/>
        <v>0</v>
      </c>
      <c r="K334" s="9">
        <f t="shared" si="134"/>
        <v>0</v>
      </c>
      <c r="L334" s="9">
        <f t="shared" si="134"/>
        <v>0</v>
      </c>
      <c r="M334" s="9">
        <f t="shared" si="134"/>
        <v>0</v>
      </c>
      <c r="N334" s="9">
        <f t="shared" si="134"/>
        <v>0</v>
      </c>
      <c r="O334" s="268"/>
      <c r="P334" s="268"/>
    </row>
    <row r="335" spans="1:16" x14ac:dyDescent="0.25">
      <c r="A335" s="264"/>
      <c r="B335" s="196" t="s">
        <v>12</v>
      </c>
      <c r="C335" s="4"/>
      <c r="D335" s="5"/>
      <c r="E335" s="5"/>
      <c r="F335" s="5"/>
      <c r="G335" s="12"/>
      <c r="H335" s="1">
        <f>H342+H349+H356+H363+H375+H382</f>
        <v>0</v>
      </c>
      <c r="I335" s="1">
        <f t="shared" si="134"/>
        <v>0</v>
      </c>
      <c r="J335" s="1">
        <f t="shared" si="134"/>
        <v>0</v>
      </c>
      <c r="K335" s="1">
        <f t="shared" si="134"/>
        <v>0</v>
      </c>
      <c r="L335" s="1">
        <f t="shared" si="134"/>
        <v>0</v>
      </c>
      <c r="M335" s="1">
        <f t="shared" si="134"/>
        <v>0</v>
      </c>
      <c r="N335" s="1">
        <f t="shared" si="134"/>
        <v>0</v>
      </c>
      <c r="O335" s="268"/>
      <c r="P335" s="268"/>
    </row>
    <row r="336" spans="1:16" ht="26.4" x14ac:dyDescent="0.25">
      <c r="A336" s="264" t="s">
        <v>508</v>
      </c>
      <c r="B336" s="196" t="s">
        <v>79</v>
      </c>
      <c r="C336" s="4"/>
      <c r="D336" s="5"/>
      <c r="E336" s="5"/>
      <c r="F336" s="5"/>
      <c r="G336" s="12"/>
      <c r="H336" s="11">
        <v>143259</v>
      </c>
      <c r="I336" s="11">
        <v>143259</v>
      </c>
      <c r="J336" s="11">
        <v>143259</v>
      </c>
      <c r="K336" s="11">
        <v>143259</v>
      </c>
      <c r="L336" s="11">
        <v>143259</v>
      </c>
      <c r="M336" s="11">
        <v>143259</v>
      </c>
      <c r="N336" s="11">
        <v>143259</v>
      </c>
      <c r="O336" s="268" t="s">
        <v>608</v>
      </c>
      <c r="P336" s="268" t="s">
        <v>207</v>
      </c>
    </row>
    <row r="337" spans="1:16" ht="13.35" customHeight="1" x14ac:dyDescent="0.25">
      <c r="A337" s="264"/>
      <c r="B337" s="196" t="s">
        <v>95</v>
      </c>
      <c r="C337" s="4"/>
      <c r="D337" s="5"/>
      <c r="E337" s="5"/>
      <c r="F337" s="5"/>
      <c r="G337" s="12"/>
      <c r="H337" s="1">
        <f>ROUND(H338/H336,1)</f>
        <v>64.2</v>
      </c>
      <c r="I337" s="1" t="s">
        <v>229</v>
      </c>
      <c r="J337" s="1" t="s">
        <v>229</v>
      </c>
      <c r="K337" s="1" t="s">
        <v>229</v>
      </c>
      <c r="L337" s="1" t="s">
        <v>229</v>
      </c>
      <c r="M337" s="1">
        <f>ROUND(M338/M336,1)</f>
        <v>64</v>
      </c>
      <c r="N337" s="1">
        <f>ROUND(N338/N336,1)</f>
        <v>67.400000000000006</v>
      </c>
      <c r="O337" s="268"/>
      <c r="P337" s="268"/>
    </row>
    <row r="338" spans="1:16" ht="13.35" customHeight="1" x14ac:dyDescent="0.25">
      <c r="A338" s="264"/>
      <c r="B338" s="196" t="s">
        <v>74</v>
      </c>
      <c r="C338" s="4"/>
      <c r="D338" s="5"/>
      <c r="E338" s="5"/>
      <c r="F338" s="5"/>
      <c r="G338" s="12"/>
      <c r="H338" s="9">
        <f t="shared" ref="H338:N338" si="135">SUM(H339:H342)</f>
        <v>9199572.4000000004</v>
      </c>
      <c r="I338" s="9">
        <f t="shared" si="135"/>
        <v>2140668.9</v>
      </c>
      <c r="J338" s="9">
        <f t="shared" si="135"/>
        <v>2734566.5</v>
      </c>
      <c r="K338" s="9">
        <f t="shared" si="135"/>
        <v>1669623.7</v>
      </c>
      <c r="L338" s="9">
        <f t="shared" si="135"/>
        <v>2654713.2999999998</v>
      </c>
      <c r="M338" s="9">
        <f t="shared" si="135"/>
        <v>9166683.8000000007</v>
      </c>
      <c r="N338" s="9">
        <f t="shared" si="135"/>
        <v>9662238.3000000007</v>
      </c>
      <c r="O338" s="268"/>
      <c r="P338" s="268"/>
    </row>
    <row r="339" spans="1:16" ht="13.35" customHeight="1" x14ac:dyDescent="0.25">
      <c r="A339" s="264"/>
      <c r="B339" s="196" t="s">
        <v>16</v>
      </c>
      <c r="C339" s="4">
        <v>136</v>
      </c>
      <c r="D339" s="5" t="s">
        <v>233</v>
      </c>
      <c r="E339" s="6" t="s">
        <v>232</v>
      </c>
      <c r="F339" s="5" t="s">
        <v>253</v>
      </c>
      <c r="G339" s="12">
        <v>530</v>
      </c>
      <c r="H339" s="9">
        <f>I339+J339+K339+L339</f>
        <v>9199572.4000000004</v>
      </c>
      <c r="I339" s="9">
        <v>2140668.9</v>
      </c>
      <c r="J339" s="9">
        <v>2734566.5</v>
      </c>
      <c r="K339" s="9">
        <v>1669623.7</v>
      </c>
      <c r="L339" s="9">
        <v>2654713.2999999998</v>
      </c>
      <c r="M339" s="9">
        <v>9166683.8000000007</v>
      </c>
      <c r="N339" s="9">
        <v>9662238.3000000007</v>
      </c>
      <c r="O339" s="268"/>
      <c r="P339" s="268"/>
    </row>
    <row r="340" spans="1:16" ht="13.35" customHeight="1" x14ac:dyDescent="0.25">
      <c r="A340" s="264"/>
      <c r="B340" s="196" t="s">
        <v>14</v>
      </c>
      <c r="C340" s="4"/>
      <c r="D340" s="5"/>
      <c r="E340" s="5"/>
      <c r="F340" s="5"/>
      <c r="G340" s="12"/>
      <c r="H340" s="1">
        <f>I340+J340+K340+L340</f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268"/>
      <c r="P340" s="268"/>
    </row>
    <row r="341" spans="1:16" ht="26.4" customHeight="1" x14ac:dyDescent="0.25">
      <c r="A341" s="264"/>
      <c r="B341" s="196" t="s">
        <v>15</v>
      </c>
      <c r="C341" s="4"/>
      <c r="D341" s="5"/>
      <c r="E341" s="5"/>
      <c r="F341" s="5"/>
      <c r="G341" s="12"/>
      <c r="H341" s="1">
        <f>I341+J341+K341+L341</f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268"/>
      <c r="P341" s="268"/>
    </row>
    <row r="342" spans="1:16" ht="26.4" customHeight="1" x14ac:dyDescent="0.25">
      <c r="A342" s="264"/>
      <c r="B342" s="196" t="s">
        <v>12</v>
      </c>
      <c r="C342" s="4"/>
      <c r="D342" s="5"/>
      <c r="E342" s="5"/>
      <c r="F342" s="5"/>
      <c r="G342" s="12"/>
      <c r="H342" s="1">
        <f>I342+J342+K342+L342</f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268"/>
      <c r="P342" s="268"/>
    </row>
    <row r="343" spans="1:16" ht="32.1" customHeight="1" x14ac:dyDescent="0.25">
      <c r="A343" s="264" t="s">
        <v>509</v>
      </c>
      <c r="B343" s="196" t="s">
        <v>78</v>
      </c>
      <c r="C343" s="4"/>
      <c r="D343" s="5"/>
      <c r="E343" s="5"/>
      <c r="F343" s="5"/>
      <c r="G343" s="12"/>
      <c r="H343" s="11">
        <v>3917</v>
      </c>
      <c r="I343" s="11">
        <v>3917</v>
      </c>
      <c r="J343" s="11">
        <v>3917</v>
      </c>
      <c r="K343" s="11">
        <v>3917</v>
      </c>
      <c r="L343" s="11">
        <v>3917</v>
      </c>
      <c r="M343" s="11">
        <v>3917</v>
      </c>
      <c r="N343" s="11">
        <v>3917</v>
      </c>
      <c r="O343" s="268" t="s">
        <v>608</v>
      </c>
      <c r="P343" s="268" t="s">
        <v>621</v>
      </c>
    </row>
    <row r="344" spans="1:16" ht="26.4" x14ac:dyDescent="0.25">
      <c r="A344" s="264"/>
      <c r="B344" s="196" t="s">
        <v>97</v>
      </c>
      <c r="C344" s="4"/>
      <c r="D344" s="5"/>
      <c r="E344" s="5"/>
      <c r="F344" s="5"/>
      <c r="G344" s="12"/>
      <c r="H344" s="1">
        <f t="shared" ref="H344:N344" si="136">ROUND(H345/H343,1)</f>
        <v>276.8</v>
      </c>
      <c r="I344" s="1" t="s">
        <v>229</v>
      </c>
      <c r="J344" s="1" t="s">
        <v>229</v>
      </c>
      <c r="K344" s="1" t="s">
        <v>229</v>
      </c>
      <c r="L344" s="1" t="s">
        <v>229</v>
      </c>
      <c r="M344" s="1">
        <f t="shared" si="136"/>
        <v>291.39999999999998</v>
      </c>
      <c r="N344" s="1">
        <f t="shared" si="136"/>
        <v>306.8</v>
      </c>
      <c r="O344" s="268"/>
      <c r="P344" s="268"/>
    </row>
    <row r="345" spans="1:16" x14ac:dyDescent="0.25">
      <c r="A345" s="264"/>
      <c r="B345" s="196" t="s">
        <v>74</v>
      </c>
      <c r="C345" s="4"/>
      <c r="D345" s="5"/>
      <c r="E345" s="5"/>
      <c r="F345" s="5"/>
      <c r="G345" s="12"/>
      <c r="H345" s="9">
        <f t="shared" ref="H345:N345" si="137">SUM(H346:H349)</f>
        <v>1084030</v>
      </c>
      <c r="I345" s="9">
        <f t="shared" si="137"/>
        <v>266284.09999999998</v>
      </c>
      <c r="J345" s="9">
        <f t="shared" si="137"/>
        <v>337041.2</v>
      </c>
      <c r="K345" s="9">
        <f t="shared" si="137"/>
        <v>198188.6</v>
      </c>
      <c r="L345" s="9">
        <f t="shared" si="137"/>
        <v>282516.09999999998</v>
      </c>
      <c r="M345" s="9">
        <f t="shared" si="137"/>
        <v>1141460.8999999999</v>
      </c>
      <c r="N345" s="9">
        <f t="shared" si="137"/>
        <v>1201875.0999999999</v>
      </c>
      <c r="O345" s="268"/>
      <c r="P345" s="268"/>
    </row>
    <row r="346" spans="1:16" x14ac:dyDescent="0.25">
      <c r="A346" s="264"/>
      <c r="B346" s="196" t="s">
        <v>16</v>
      </c>
      <c r="C346" s="4">
        <v>136</v>
      </c>
      <c r="D346" s="5" t="s">
        <v>233</v>
      </c>
      <c r="E346" s="6" t="s">
        <v>234</v>
      </c>
      <c r="F346" s="5" t="s">
        <v>260</v>
      </c>
      <c r="G346" s="12">
        <v>530</v>
      </c>
      <c r="H346" s="9">
        <f>I346+J346+K346+L346</f>
        <v>1084030</v>
      </c>
      <c r="I346" s="9">
        <v>266284.09999999998</v>
      </c>
      <c r="J346" s="9">
        <v>337041.2</v>
      </c>
      <c r="K346" s="9">
        <v>198188.6</v>
      </c>
      <c r="L346" s="9">
        <v>282516.09999999998</v>
      </c>
      <c r="M346" s="9">
        <v>1141460.8999999999</v>
      </c>
      <c r="N346" s="9">
        <v>1201875.0999999999</v>
      </c>
      <c r="O346" s="268"/>
      <c r="P346" s="268"/>
    </row>
    <row r="347" spans="1:16" ht="12.75" customHeight="1" x14ac:dyDescent="0.25">
      <c r="A347" s="264"/>
      <c r="B347" s="196" t="s">
        <v>14</v>
      </c>
      <c r="C347" s="4"/>
      <c r="D347" s="5"/>
      <c r="E347" s="5"/>
      <c r="F347" s="5"/>
      <c r="G347" s="12"/>
      <c r="H347" s="1">
        <f>I347+J347+K347+L347</f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268"/>
      <c r="P347" s="268"/>
    </row>
    <row r="348" spans="1:16" ht="27.75" customHeight="1" x14ac:dyDescent="0.25">
      <c r="A348" s="264"/>
      <c r="B348" s="196" t="s">
        <v>15</v>
      </c>
      <c r="C348" s="4"/>
      <c r="D348" s="5"/>
      <c r="E348" s="5"/>
      <c r="F348" s="5"/>
      <c r="G348" s="12"/>
      <c r="H348" s="1">
        <f>I348+J348+K348+L348</f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268"/>
      <c r="P348" s="268"/>
    </row>
    <row r="349" spans="1:16" ht="106.5" customHeight="1" x14ac:dyDescent="0.25">
      <c r="A349" s="264"/>
      <c r="B349" s="196" t="s">
        <v>12</v>
      </c>
      <c r="C349" s="4"/>
      <c r="D349" s="5"/>
      <c r="E349" s="5"/>
      <c r="F349" s="5"/>
      <c r="G349" s="12"/>
      <c r="H349" s="1">
        <f>I349+J349+K349+L349</f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268"/>
      <c r="P349" s="268"/>
    </row>
    <row r="350" spans="1:16" ht="26.4" x14ac:dyDescent="0.25">
      <c r="A350" s="264" t="s">
        <v>510</v>
      </c>
      <c r="B350" s="196" t="s">
        <v>79</v>
      </c>
      <c r="C350" s="4"/>
      <c r="D350" s="5"/>
      <c r="E350" s="5"/>
      <c r="F350" s="5"/>
      <c r="G350" s="12"/>
      <c r="H350" s="11">
        <v>318859</v>
      </c>
      <c r="I350" s="11">
        <v>318859</v>
      </c>
      <c r="J350" s="11">
        <v>318859</v>
      </c>
      <c r="K350" s="11">
        <v>318859</v>
      </c>
      <c r="L350" s="11">
        <v>318859</v>
      </c>
      <c r="M350" s="11">
        <v>318859</v>
      </c>
      <c r="N350" s="11">
        <v>318859</v>
      </c>
      <c r="O350" s="268" t="s">
        <v>608</v>
      </c>
      <c r="P350" s="268" t="s">
        <v>208</v>
      </c>
    </row>
    <row r="351" spans="1:16" ht="26.4" x14ac:dyDescent="0.25">
      <c r="A351" s="264"/>
      <c r="B351" s="196" t="s">
        <v>95</v>
      </c>
      <c r="C351" s="4"/>
      <c r="D351" s="5"/>
      <c r="E351" s="5"/>
      <c r="F351" s="5"/>
      <c r="G351" s="12"/>
      <c r="H351" s="1">
        <f t="shared" ref="H351:N351" si="138">ROUND(H352/H350,1)</f>
        <v>48</v>
      </c>
      <c r="I351" s="1" t="s">
        <v>229</v>
      </c>
      <c r="J351" s="1" t="s">
        <v>229</v>
      </c>
      <c r="K351" s="1" t="s">
        <v>229</v>
      </c>
      <c r="L351" s="1" t="s">
        <v>229</v>
      </c>
      <c r="M351" s="1">
        <f t="shared" si="138"/>
        <v>52.1</v>
      </c>
      <c r="N351" s="1">
        <f t="shared" si="138"/>
        <v>54.9</v>
      </c>
      <c r="O351" s="268"/>
      <c r="P351" s="268"/>
    </row>
    <row r="352" spans="1:16" x14ac:dyDescent="0.25">
      <c r="A352" s="264"/>
      <c r="B352" s="196" t="s">
        <v>74</v>
      </c>
      <c r="C352" s="4"/>
      <c r="D352" s="5"/>
      <c r="E352" s="5"/>
      <c r="F352" s="5"/>
      <c r="G352" s="12"/>
      <c r="H352" s="9">
        <f t="shared" ref="H352:N352" si="139">SUM(H353:H356)</f>
        <v>15296600.500000002</v>
      </c>
      <c r="I352" s="9">
        <f t="shared" si="139"/>
        <v>3611102.6</v>
      </c>
      <c r="J352" s="9">
        <f t="shared" si="139"/>
        <v>5439135.7000000002</v>
      </c>
      <c r="K352" s="9">
        <f t="shared" si="139"/>
        <v>2070213.3</v>
      </c>
      <c r="L352" s="9">
        <f t="shared" si="139"/>
        <v>4176148.9</v>
      </c>
      <c r="M352" s="9">
        <f t="shared" si="139"/>
        <v>16601703.5</v>
      </c>
      <c r="N352" s="9">
        <f t="shared" si="139"/>
        <v>17520495.100000001</v>
      </c>
      <c r="O352" s="268"/>
      <c r="P352" s="268"/>
    </row>
    <row r="353" spans="1:16" x14ac:dyDescent="0.25">
      <c r="A353" s="264"/>
      <c r="B353" s="196" t="s">
        <v>16</v>
      </c>
      <c r="C353" s="4">
        <v>136</v>
      </c>
      <c r="D353" s="5" t="s">
        <v>233</v>
      </c>
      <c r="E353" s="6" t="s">
        <v>234</v>
      </c>
      <c r="F353" s="5" t="s">
        <v>259</v>
      </c>
      <c r="G353" s="12">
        <v>530</v>
      </c>
      <c r="H353" s="9">
        <f>I353+J353+K353+L353</f>
        <v>15296600.500000002</v>
      </c>
      <c r="I353" s="9">
        <v>3611102.6</v>
      </c>
      <c r="J353" s="9">
        <v>5439135.7000000002</v>
      </c>
      <c r="K353" s="9">
        <v>2070213.3</v>
      </c>
      <c r="L353" s="9">
        <v>4176148.9</v>
      </c>
      <c r="M353" s="9">
        <v>16601703.5</v>
      </c>
      <c r="N353" s="9">
        <v>17520495.100000001</v>
      </c>
      <c r="O353" s="268"/>
      <c r="P353" s="268"/>
    </row>
    <row r="354" spans="1:16" x14ac:dyDescent="0.25">
      <c r="A354" s="264"/>
      <c r="B354" s="196" t="s">
        <v>14</v>
      </c>
      <c r="C354" s="4"/>
      <c r="D354" s="5"/>
      <c r="E354" s="5"/>
      <c r="F354" s="5"/>
      <c r="G354" s="12"/>
      <c r="H354" s="1">
        <f>I354+J354+K354+L354</f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268"/>
      <c r="P354" s="268"/>
    </row>
    <row r="355" spans="1:16" x14ac:dyDescent="0.25">
      <c r="A355" s="264"/>
      <c r="B355" s="196" t="s">
        <v>15</v>
      </c>
      <c r="C355" s="4"/>
      <c r="D355" s="5"/>
      <c r="E355" s="5"/>
      <c r="F355" s="5"/>
      <c r="G355" s="12"/>
      <c r="H355" s="1">
        <f>I355+J355+K355+L355</f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268"/>
      <c r="P355" s="268"/>
    </row>
    <row r="356" spans="1:16" ht="26.25" customHeight="1" x14ac:dyDescent="0.25">
      <c r="A356" s="264"/>
      <c r="B356" s="196" t="s">
        <v>12</v>
      </c>
      <c r="C356" s="4"/>
      <c r="D356" s="5"/>
      <c r="E356" s="5"/>
      <c r="F356" s="5"/>
      <c r="G356" s="12"/>
      <c r="H356" s="1">
        <f>I356+J356+K356+L356</f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268"/>
      <c r="P356" s="268"/>
    </row>
    <row r="357" spans="1:16" ht="26.4" x14ac:dyDescent="0.25">
      <c r="A357" s="264" t="s">
        <v>511</v>
      </c>
      <c r="B357" s="196" t="s">
        <v>79</v>
      </c>
      <c r="C357" s="4"/>
      <c r="D357" s="5"/>
      <c r="E357" s="5"/>
      <c r="F357" s="5"/>
      <c r="G357" s="12"/>
      <c r="H357" s="11">
        <v>96152</v>
      </c>
      <c r="I357" s="11">
        <v>96152</v>
      </c>
      <c r="J357" s="11">
        <v>96152</v>
      </c>
      <c r="K357" s="11">
        <v>96152</v>
      </c>
      <c r="L357" s="11">
        <v>96152</v>
      </c>
      <c r="M357" s="11">
        <v>96152</v>
      </c>
      <c r="N357" s="11">
        <v>96152</v>
      </c>
      <c r="O357" s="268" t="s">
        <v>609</v>
      </c>
      <c r="P357" s="242" t="s">
        <v>209</v>
      </c>
    </row>
    <row r="358" spans="1:16" ht="13.35" customHeight="1" x14ac:dyDescent="0.25">
      <c r="A358" s="264"/>
      <c r="B358" s="196" t="s">
        <v>98</v>
      </c>
      <c r="C358" s="4"/>
      <c r="D358" s="5"/>
      <c r="E358" s="5"/>
      <c r="F358" s="5"/>
      <c r="G358" s="12"/>
      <c r="H358" s="1">
        <f t="shared" ref="H358:N358" si="140">ROUND(H359/H357,1)</f>
        <v>13.7</v>
      </c>
      <c r="I358" s="1" t="s">
        <v>229</v>
      </c>
      <c r="J358" s="1" t="s">
        <v>229</v>
      </c>
      <c r="K358" s="1" t="s">
        <v>229</v>
      </c>
      <c r="L358" s="1" t="s">
        <v>229</v>
      </c>
      <c r="M358" s="1">
        <f t="shared" si="140"/>
        <v>14.5</v>
      </c>
      <c r="N358" s="1">
        <f t="shared" si="140"/>
        <v>14.5</v>
      </c>
      <c r="O358" s="268"/>
      <c r="P358" s="243"/>
    </row>
    <row r="359" spans="1:16" ht="13.35" customHeight="1" x14ac:dyDescent="0.25">
      <c r="A359" s="264"/>
      <c r="B359" s="196" t="s">
        <v>74</v>
      </c>
      <c r="C359" s="4"/>
      <c r="D359" s="5"/>
      <c r="E359" s="5"/>
      <c r="F359" s="5"/>
      <c r="G359" s="12"/>
      <c r="H359" s="9">
        <f t="shared" ref="H359:N359" si="141">SUM(H360:H362)</f>
        <v>1320447.2</v>
      </c>
      <c r="I359" s="9">
        <f t="shared" si="141"/>
        <v>344261.1</v>
      </c>
      <c r="J359" s="9">
        <f t="shared" si="141"/>
        <v>355998.9</v>
      </c>
      <c r="K359" s="9">
        <f t="shared" si="141"/>
        <v>169291.5</v>
      </c>
      <c r="L359" s="9">
        <f t="shared" si="141"/>
        <v>450895.7</v>
      </c>
      <c r="M359" s="9">
        <f t="shared" si="141"/>
        <v>1398436.5</v>
      </c>
      <c r="N359" s="9">
        <f t="shared" si="141"/>
        <v>1398436.5</v>
      </c>
      <c r="O359" s="268"/>
      <c r="P359" s="243"/>
    </row>
    <row r="360" spans="1:16" ht="13.35" customHeight="1" x14ac:dyDescent="0.25">
      <c r="A360" s="264"/>
      <c r="B360" s="193" t="s">
        <v>16</v>
      </c>
      <c r="C360" s="4">
        <v>136</v>
      </c>
      <c r="D360" s="5" t="s">
        <v>237</v>
      </c>
      <c r="E360" s="6" t="s">
        <v>238</v>
      </c>
      <c r="F360" s="5" t="s">
        <v>261</v>
      </c>
      <c r="G360" s="12">
        <v>530</v>
      </c>
      <c r="H360" s="9">
        <f>I360+J360+K360+L360</f>
        <v>1320447.2</v>
      </c>
      <c r="I360" s="9">
        <v>344261.1</v>
      </c>
      <c r="J360" s="9">
        <v>355998.9</v>
      </c>
      <c r="K360" s="9">
        <v>169291.5</v>
      </c>
      <c r="L360" s="9">
        <v>450895.7</v>
      </c>
      <c r="M360" s="9">
        <v>1398436.5</v>
      </c>
      <c r="N360" s="9">
        <v>1398436.5</v>
      </c>
      <c r="O360" s="268"/>
      <c r="P360" s="243"/>
    </row>
    <row r="361" spans="1:16" ht="13.35" customHeight="1" x14ac:dyDescent="0.25">
      <c r="A361" s="264"/>
      <c r="B361" s="196" t="s">
        <v>14</v>
      </c>
      <c r="C361" s="4"/>
      <c r="D361" s="5"/>
      <c r="E361" s="5"/>
      <c r="F361" s="5"/>
      <c r="G361" s="12"/>
      <c r="H361" s="1">
        <f>I361+J361+K361+L361</f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268"/>
      <c r="P361" s="243"/>
    </row>
    <row r="362" spans="1:16" ht="13.35" customHeight="1" x14ac:dyDescent="0.25">
      <c r="A362" s="264"/>
      <c r="B362" s="196" t="s">
        <v>15</v>
      </c>
      <c r="C362" s="4"/>
      <c r="D362" s="5"/>
      <c r="E362" s="5"/>
      <c r="F362" s="5"/>
      <c r="G362" s="12"/>
      <c r="H362" s="1">
        <f>I362+J362+K362+L362</f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268"/>
      <c r="P362" s="243"/>
    </row>
    <row r="363" spans="1:16" ht="13.35" customHeight="1" x14ac:dyDescent="0.25">
      <c r="A363" s="264"/>
      <c r="B363" s="196" t="s">
        <v>12</v>
      </c>
      <c r="C363" s="4"/>
      <c r="D363" s="5"/>
      <c r="E363" s="5"/>
      <c r="F363" s="5"/>
      <c r="G363" s="12"/>
      <c r="H363" s="1">
        <f>I363+J363+K363+L363</f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268"/>
      <c r="P363" s="244"/>
    </row>
    <row r="364" spans="1:16" ht="23.25" customHeight="1" x14ac:dyDescent="0.25">
      <c r="A364" s="264" t="s">
        <v>512</v>
      </c>
      <c r="B364" s="196" t="s">
        <v>79</v>
      </c>
      <c r="C364" s="4"/>
      <c r="D364" s="5"/>
      <c r="E364" s="5"/>
      <c r="F364" s="5"/>
      <c r="G364" s="12"/>
      <c r="H364" s="11">
        <v>5730</v>
      </c>
      <c r="I364" s="11">
        <v>5730</v>
      </c>
      <c r="J364" s="11">
        <v>5730</v>
      </c>
      <c r="K364" s="11">
        <v>5730</v>
      </c>
      <c r="L364" s="11">
        <v>5730</v>
      </c>
      <c r="M364" s="11">
        <v>5730</v>
      </c>
      <c r="N364" s="11">
        <v>5730</v>
      </c>
      <c r="O364" s="268" t="s">
        <v>607</v>
      </c>
      <c r="P364" s="268" t="s">
        <v>164</v>
      </c>
    </row>
    <row r="365" spans="1:16" ht="36" customHeight="1" x14ac:dyDescent="0.25">
      <c r="A365" s="264"/>
      <c r="B365" s="196" t="s">
        <v>92</v>
      </c>
      <c r="C365" s="4"/>
      <c r="D365" s="5"/>
      <c r="E365" s="5"/>
      <c r="F365" s="5"/>
      <c r="G365" s="12"/>
      <c r="H365" s="1">
        <f t="shared" ref="H365:N365" si="142">ROUND(H366/H364,1)</f>
        <v>126.4</v>
      </c>
      <c r="I365" s="1" t="s">
        <v>229</v>
      </c>
      <c r="J365" s="1" t="s">
        <v>229</v>
      </c>
      <c r="K365" s="1" t="s">
        <v>229</v>
      </c>
      <c r="L365" s="1" t="s">
        <v>229</v>
      </c>
      <c r="M365" s="1">
        <f t="shared" si="142"/>
        <v>132.6</v>
      </c>
      <c r="N365" s="1">
        <f t="shared" si="142"/>
        <v>139.30000000000001</v>
      </c>
      <c r="O365" s="268"/>
      <c r="P365" s="268"/>
    </row>
    <row r="366" spans="1:16" ht="26.4" customHeight="1" x14ac:dyDescent="0.25">
      <c r="A366" s="264"/>
      <c r="B366" s="196" t="s">
        <v>74</v>
      </c>
      <c r="C366" s="4"/>
      <c r="D366" s="5"/>
      <c r="E366" s="5"/>
      <c r="F366" s="5"/>
      <c r="G366" s="12"/>
      <c r="H366" s="9">
        <f t="shared" ref="H366:N366" si="143">SUM(H367:H375)</f>
        <v>723997.09999999986</v>
      </c>
      <c r="I366" s="9">
        <f t="shared" si="143"/>
        <v>168492.3</v>
      </c>
      <c r="J366" s="9">
        <f t="shared" si="143"/>
        <v>211594.69999999998</v>
      </c>
      <c r="K366" s="9">
        <f t="shared" si="143"/>
        <v>146103.59999999998</v>
      </c>
      <c r="L366" s="9">
        <f t="shared" si="143"/>
        <v>197806.5</v>
      </c>
      <c r="M366" s="9">
        <f t="shared" si="143"/>
        <v>759920.9</v>
      </c>
      <c r="N366" s="9">
        <f t="shared" si="143"/>
        <v>797963</v>
      </c>
      <c r="O366" s="268"/>
      <c r="P366" s="268"/>
    </row>
    <row r="367" spans="1:16" x14ac:dyDescent="0.25">
      <c r="A367" s="264"/>
      <c r="B367" s="238" t="s">
        <v>16</v>
      </c>
      <c r="C367" s="4">
        <v>136</v>
      </c>
      <c r="D367" s="5" t="s">
        <v>233</v>
      </c>
      <c r="E367" s="6" t="s">
        <v>234</v>
      </c>
      <c r="F367" s="5" t="s">
        <v>292</v>
      </c>
      <c r="G367" s="12">
        <v>611</v>
      </c>
      <c r="H367" s="9">
        <f t="shared" ref="H367:H375" si="144">I367+J367+K367+L367</f>
        <v>111876.4</v>
      </c>
      <c r="I367" s="9">
        <v>22000</v>
      </c>
      <c r="J367" s="9">
        <v>35000</v>
      </c>
      <c r="K367" s="9">
        <v>21000</v>
      </c>
      <c r="L367" s="9">
        <v>33876.400000000001</v>
      </c>
      <c r="M367" s="9">
        <v>116567.3</v>
      </c>
      <c r="N367" s="9">
        <v>121511.3</v>
      </c>
      <c r="O367" s="268"/>
      <c r="P367" s="268"/>
    </row>
    <row r="368" spans="1:16" ht="13.35" customHeight="1" x14ac:dyDescent="0.25">
      <c r="A368" s="264"/>
      <c r="B368" s="239"/>
      <c r="C368" s="4">
        <v>136</v>
      </c>
      <c r="D368" s="5" t="s">
        <v>233</v>
      </c>
      <c r="E368" s="6" t="s">
        <v>234</v>
      </c>
      <c r="F368" s="5" t="s">
        <v>293</v>
      </c>
      <c r="G368" s="12">
        <v>611</v>
      </c>
      <c r="H368" s="9">
        <f t="shared" si="144"/>
        <v>273734.3</v>
      </c>
      <c r="I368" s="9">
        <v>62706</v>
      </c>
      <c r="J368" s="9">
        <v>83888.8</v>
      </c>
      <c r="K368" s="9">
        <v>59067.9</v>
      </c>
      <c r="L368" s="9">
        <v>68071.600000000006</v>
      </c>
      <c r="M368" s="9">
        <v>279389.90000000002</v>
      </c>
      <c r="N368" s="9">
        <v>291100.7</v>
      </c>
      <c r="O368" s="268"/>
      <c r="P368" s="268"/>
    </row>
    <row r="369" spans="1:16" ht="13.35" customHeight="1" x14ac:dyDescent="0.25">
      <c r="A369" s="264"/>
      <c r="B369" s="239"/>
      <c r="C369" s="4">
        <v>136</v>
      </c>
      <c r="D369" s="5" t="s">
        <v>233</v>
      </c>
      <c r="E369" s="6" t="s">
        <v>234</v>
      </c>
      <c r="F369" s="5" t="s">
        <v>293</v>
      </c>
      <c r="G369" s="12">
        <v>621</v>
      </c>
      <c r="H369" s="9">
        <f t="shared" si="144"/>
        <v>83761.600000000006</v>
      </c>
      <c r="I369" s="9">
        <v>20700</v>
      </c>
      <c r="J369" s="9">
        <v>22300</v>
      </c>
      <c r="K369" s="9">
        <v>18900</v>
      </c>
      <c r="L369" s="9">
        <v>21861.599999999999</v>
      </c>
      <c r="M369" s="9">
        <v>86409.7</v>
      </c>
      <c r="N369" s="9">
        <v>89192</v>
      </c>
      <c r="O369" s="268"/>
      <c r="P369" s="268"/>
    </row>
    <row r="370" spans="1:16" ht="13.35" customHeight="1" x14ac:dyDescent="0.25">
      <c r="A370" s="264"/>
      <c r="B370" s="239"/>
      <c r="C370" s="197">
        <v>136</v>
      </c>
      <c r="D370" s="5" t="s">
        <v>233</v>
      </c>
      <c r="E370" s="6" t="s">
        <v>235</v>
      </c>
      <c r="F370" s="6" t="s">
        <v>291</v>
      </c>
      <c r="G370" s="13">
        <v>611</v>
      </c>
      <c r="H370" s="9">
        <f t="shared" si="144"/>
        <v>117702</v>
      </c>
      <c r="I370" s="9">
        <v>28706</v>
      </c>
      <c r="J370" s="9">
        <v>36478.300000000003</v>
      </c>
      <c r="K370" s="9">
        <v>21092.5</v>
      </c>
      <c r="L370" s="9">
        <v>31425.200000000001</v>
      </c>
      <c r="M370" s="9">
        <f>124619.4-1733.4</f>
        <v>122886</v>
      </c>
      <c r="N370" s="9">
        <f>130036.9-1733.4</f>
        <v>128303.5</v>
      </c>
      <c r="O370" s="268"/>
      <c r="P370" s="268"/>
    </row>
    <row r="371" spans="1:16" ht="13.35" customHeight="1" x14ac:dyDescent="0.25">
      <c r="A371" s="264"/>
      <c r="B371" s="239"/>
      <c r="C371" s="197">
        <v>136</v>
      </c>
      <c r="D371" s="5" t="s">
        <v>233</v>
      </c>
      <c r="E371" s="6" t="s">
        <v>238</v>
      </c>
      <c r="F371" s="6" t="s">
        <v>264</v>
      </c>
      <c r="G371" s="13">
        <v>611</v>
      </c>
      <c r="H371" s="9">
        <f>I371+J371+K371+L371</f>
        <v>30264.100000000002</v>
      </c>
      <c r="I371" s="9">
        <v>7890.3</v>
      </c>
      <c r="J371" s="9">
        <v>7537.6</v>
      </c>
      <c r="K371" s="9">
        <v>6700.9</v>
      </c>
      <c r="L371" s="9">
        <v>8135.3</v>
      </c>
      <c r="M371" s="9">
        <v>31982.9</v>
      </c>
      <c r="N371" s="9">
        <v>33470.6</v>
      </c>
      <c r="O371" s="268"/>
      <c r="P371" s="268"/>
    </row>
    <row r="372" spans="1:16" ht="13.35" customHeight="1" x14ac:dyDescent="0.25">
      <c r="A372" s="264"/>
      <c r="B372" s="240"/>
      <c r="C372" s="197">
        <v>136</v>
      </c>
      <c r="D372" s="5" t="s">
        <v>233</v>
      </c>
      <c r="E372" s="6" t="s">
        <v>238</v>
      </c>
      <c r="F372" s="6" t="s">
        <v>264</v>
      </c>
      <c r="G372" s="13">
        <v>621</v>
      </c>
      <c r="H372" s="9">
        <f t="shared" si="144"/>
        <v>106658.70000000001</v>
      </c>
      <c r="I372" s="9">
        <v>26490</v>
      </c>
      <c r="J372" s="9">
        <v>26390</v>
      </c>
      <c r="K372" s="9">
        <v>19342.3</v>
      </c>
      <c r="L372" s="9">
        <v>34436.400000000001</v>
      </c>
      <c r="M372" s="9">
        <f>131276.1-8591</f>
        <v>122685.1</v>
      </c>
      <c r="N372" s="9">
        <f>137655.9-3271</f>
        <v>134384.9</v>
      </c>
      <c r="O372" s="268"/>
      <c r="P372" s="268"/>
    </row>
    <row r="373" spans="1:16" ht="15.75" customHeight="1" x14ac:dyDescent="0.25">
      <c r="A373" s="264"/>
      <c r="B373" s="196" t="s">
        <v>14</v>
      </c>
      <c r="C373" s="4"/>
      <c r="D373" s="5"/>
      <c r="E373" s="5"/>
      <c r="F373" s="5"/>
      <c r="G373" s="12"/>
      <c r="H373" s="1">
        <f t="shared" si="144"/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268"/>
      <c r="P373" s="268"/>
    </row>
    <row r="374" spans="1:16" ht="18" customHeight="1" x14ac:dyDescent="0.25">
      <c r="A374" s="264"/>
      <c r="B374" s="196" t="s">
        <v>15</v>
      </c>
      <c r="C374" s="4"/>
      <c r="D374" s="5"/>
      <c r="E374" s="5"/>
      <c r="F374" s="5"/>
      <c r="G374" s="12"/>
      <c r="H374" s="1">
        <f t="shared" si="144"/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268"/>
      <c r="P374" s="268"/>
    </row>
    <row r="375" spans="1:16" ht="13.35" customHeight="1" x14ac:dyDescent="0.25">
      <c r="A375" s="264"/>
      <c r="B375" s="196" t="s">
        <v>12</v>
      </c>
      <c r="C375" s="4"/>
      <c r="D375" s="5"/>
      <c r="E375" s="5"/>
      <c r="F375" s="5"/>
      <c r="G375" s="12"/>
      <c r="H375" s="1">
        <f t="shared" si="144"/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268"/>
      <c r="P375" s="268"/>
    </row>
    <row r="376" spans="1:16" ht="13.35" customHeight="1" x14ac:dyDescent="0.25">
      <c r="A376" s="241" t="s">
        <v>513</v>
      </c>
      <c r="B376" s="196" t="s">
        <v>102</v>
      </c>
      <c r="C376" s="4"/>
      <c r="D376" s="5"/>
      <c r="E376" s="5"/>
      <c r="F376" s="5"/>
      <c r="G376" s="12"/>
      <c r="H376" s="1">
        <v>2</v>
      </c>
      <c r="I376" s="1">
        <v>2</v>
      </c>
      <c r="J376" s="1">
        <v>2</v>
      </c>
      <c r="K376" s="1">
        <v>2</v>
      </c>
      <c r="L376" s="1">
        <v>2</v>
      </c>
      <c r="M376" s="1">
        <v>2</v>
      </c>
      <c r="N376" s="1">
        <v>2</v>
      </c>
      <c r="O376" s="268" t="s">
        <v>219</v>
      </c>
      <c r="P376" s="268" t="s">
        <v>331</v>
      </c>
    </row>
    <row r="377" spans="1:16" ht="13.35" customHeight="1" x14ac:dyDescent="0.25">
      <c r="A377" s="241"/>
      <c r="B377" s="196" t="s">
        <v>92</v>
      </c>
      <c r="C377" s="4"/>
      <c r="D377" s="5"/>
      <c r="E377" s="5"/>
      <c r="F377" s="5"/>
      <c r="G377" s="12"/>
      <c r="H377" s="9">
        <f t="shared" ref="H377:N377" si="145">ROUND(H378/H376,1)</f>
        <v>96437.4</v>
      </c>
      <c r="I377" s="1" t="s">
        <v>229</v>
      </c>
      <c r="J377" s="1" t="s">
        <v>229</v>
      </c>
      <c r="K377" s="1" t="s">
        <v>229</v>
      </c>
      <c r="L377" s="1" t="s">
        <v>229</v>
      </c>
      <c r="M377" s="9">
        <f t="shared" si="145"/>
        <v>97688.5</v>
      </c>
      <c r="N377" s="9">
        <f t="shared" si="145"/>
        <v>98671.2</v>
      </c>
      <c r="O377" s="268"/>
      <c r="P377" s="268"/>
    </row>
    <row r="378" spans="1:16" x14ac:dyDescent="0.25">
      <c r="A378" s="241"/>
      <c r="B378" s="196" t="s">
        <v>74</v>
      </c>
      <c r="C378" s="4"/>
      <c r="D378" s="5"/>
      <c r="E378" s="5"/>
      <c r="F378" s="5"/>
      <c r="G378" s="12"/>
      <c r="H378" s="9">
        <f t="shared" ref="H378:N378" si="146">SUM(H379:H382)</f>
        <v>192874.8</v>
      </c>
      <c r="I378" s="9">
        <f t="shared" si="146"/>
        <v>14512.715</v>
      </c>
      <c r="J378" s="9">
        <f t="shared" si="146"/>
        <v>20519.685000000001</v>
      </c>
      <c r="K378" s="9">
        <f t="shared" si="146"/>
        <v>54145.2</v>
      </c>
      <c r="L378" s="9">
        <f t="shared" si="146"/>
        <v>103697.2</v>
      </c>
      <c r="M378" s="9">
        <f t="shared" si="146"/>
        <v>195377</v>
      </c>
      <c r="N378" s="9">
        <f t="shared" si="146"/>
        <v>197342.3</v>
      </c>
      <c r="O378" s="268"/>
      <c r="P378" s="268"/>
    </row>
    <row r="379" spans="1:16" ht="12.75" customHeight="1" x14ac:dyDescent="0.25">
      <c r="A379" s="241"/>
      <c r="B379" s="196" t="s">
        <v>16</v>
      </c>
      <c r="C379" s="4">
        <v>136</v>
      </c>
      <c r="D379" s="5" t="s">
        <v>233</v>
      </c>
      <c r="E379" s="6" t="s">
        <v>235</v>
      </c>
      <c r="F379" s="5" t="s">
        <v>291</v>
      </c>
      <c r="G379" s="12" t="s">
        <v>51</v>
      </c>
      <c r="H379" s="9">
        <f>I379+J379+K379+L379</f>
        <v>192874.8</v>
      </c>
      <c r="I379" s="9">
        <v>14512.715</v>
      </c>
      <c r="J379" s="9">
        <v>20519.685000000001</v>
      </c>
      <c r="K379" s="9">
        <v>54145.2</v>
      </c>
      <c r="L379" s="9">
        <v>103697.2</v>
      </c>
      <c r="M379" s="9">
        <v>195377</v>
      </c>
      <c r="N379" s="9">
        <v>197342.3</v>
      </c>
      <c r="O379" s="268"/>
      <c r="P379" s="268"/>
    </row>
    <row r="380" spans="1:16" x14ac:dyDescent="0.25">
      <c r="A380" s="241"/>
      <c r="B380" s="196" t="s">
        <v>14</v>
      </c>
      <c r="C380" s="4"/>
      <c r="D380" s="5"/>
      <c r="E380" s="5"/>
      <c r="F380" s="5"/>
      <c r="G380" s="12"/>
      <c r="H380" s="9">
        <f>I380+J380+K380+L380</f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268"/>
      <c r="P380" s="268"/>
    </row>
    <row r="381" spans="1:16" x14ac:dyDescent="0.25">
      <c r="A381" s="241"/>
      <c r="B381" s="196" t="s">
        <v>15</v>
      </c>
      <c r="C381" s="4"/>
      <c r="D381" s="5"/>
      <c r="E381" s="5"/>
      <c r="F381" s="5"/>
      <c r="G381" s="12"/>
      <c r="H381" s="1">
        <f>I381+J381+K381+L381</f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268"/>
      <c r="P381" s="268"/>
    </row>
    <row r="382" spans="1:16" x14ac:dyDescent="0.25">
      <c r="A382" s="241"/>
      <c r="B382" s="200" t="s">
        <v>12</v>
      </c>
      <c r="C382" s="4"/>
      <c r="D382" s="5"/>
      <c r="E382" s="5"/>
      <c r="F382" s="5"/>
      <c r="G382" s="12"/>
      <c r="H382" s="1">
        <f>I382+J382+K382+L382</f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72">
        <v>0</v>
      </c>
      <c r="O382" s="268"/>
      <c r="P382" s="268"/>
    </row>
    <row r="383" spans="1:16" ht="13.35" customHeight="1" x14ac:dyDescent="0.25">
      <c r="A383" s="264" t="s">
        <v>514</v>
      </c>
      <c r="B383" s="196" t="s">
        <v>79</v>
      </c>
      <c r="C383" s="4"/>
      <c r="D383" s="5"/>
      <c r="E383" s="5"/>
      <c r="F383" s="5"/>
      <c r="G383" s="12"/>
      <c r="H383" s="11">
        <v>565</v>
      </c>
      <c r="I383" s="11">
        <v>565</v>
      </c>
      <c r="J383" s="11">
        <v>565</v>
      </c>
      <c r="K383" s="11">
        <v>565</v>
      </c>
      <c r="L383" s="11">
        <v>565</v>
      </c>
      <c r="M383" s="11">
        <v>565</v>
      </c>
      <c r="N383" s="11">
        <v>565</v>
      </c>
      <c r="O383" s="268" t="s">
        <v>217</v>
      </c>
      <c r="P383" s="268" t="s">
        <v>200</v>
      </c>
    </row>
    <row r="384" spans="1:16" ht="13.35" customHeight="1" x14ac:dyDescent="0.25">
      <c r="A384" s="264"/>
      <c r="B384" s="196" t="s">
        <v>95</v>
      </c>
      <c r="C384" s="4"/>
      <c r="D384" s="5"/>
      <c r="E384" s="5"/>
      <c r="F384" s="5"/>
      <c r="G384" s="12"/>
      <c r="H384" s="1">
        <f>ROUND(H385/H383,1)</f>
        <v>24.8</v>
      </c>
      <c r="I384" s="1" t="s">
        <v>229</v>
      </c>
      <c r="J384" s="1" t="s">
        <v>229</v>
      </c>
      <c r="K384" s="1" t="s">
        <v>229</v>
      </c>
      <c r="L384" s="1" t="s">
        <v>229</v>
      </c>
      <c r="M384" s="1">
        <f>ROUND(M385/M383,1)</f>
        <v>24.8</v>
      </c>
      <c r="N384" s="1">
        <f>ROUND(N385/N383,1)</f>
        <v>24.8</v>
      </c>
      <c r="O384" s="268"/>
      <c r="P384" s="268"/>
    </row>
    <row r="385" spans="1:16" x14ac:dyDescent="0.25">
      <c r="A385" s="264"/>
      <c r="B385" s="196" t="s">
        <v>74</v>
      </c>
      <c r="C385" s="4"/>
      <c r="D385" s="5"/>
      <c r="E385" s="5"/>
      <c r="F385" s="5"/>
      <c r="G385" s="12"/>
      <c r="H385" s="9">
        <f t="shared" ref="H385:N385" si="147">SUM(H386:H392)</f>
        <v>13997.4</v>
      </c>
      <c r="I385" s="9">
        <f t="shared" si="147"/>
        <v>3228.4</v>
      </c>
      <c r="J385" s="9">
        <f t="shared" si="147"/>
        <v>3404.3999999999996</v>
      </c>
      <c r="K385" s="9">
        <f t="shared" si="147"/>
        <v>2336.7000000000003</v>
      </c>
      <c r="L385" s="9">
        <f t="shared" si="147"/>
        <v>5027.8999999999996</v>
      </c>
      <c r="M385" s="9">
        <f t="shared" si="147"/>
        <v>13997.4</v>
      </c>
      <c r="N385" s="9">
        <f t="shared" si="147"/>
        <v>13997.4</v>
      </c>
      <c r="O385" s="268"/>
      <c r="P385" s="268"/>
    </row>
    <row r="386" spans="1:16" x14ac:dyDescent="0.25">
      <c r="A386" s="264"/>
      <c r="B386" s="238" t="s">
        <v>7</v>
      </c>
      <c r="C386" s="4">
        <v>136</v>
      </c>
      <c r="D386" s="5" t="s">
        <v>237</v>
      </c>
      <c r="E386" s="6" t="s">
        <v>240</v>
      </c>
      <c r="F386" s="5" t="s">
        <v>289</v>
      </c>
      <c r="G386" s="12">
        <v>321</v>
      </c>
      <c r="H386" s="9">
        <f t="shared" ref="H386:H392" si="148">I386+J386+K386+L386</f>
        <v>66.3</v>
      </c>
      <c r="I386" s="1">
        <v>8.5</v>
      </c>
      <c r="J386" s="1">
        <v>8.9</v>
      </c>
      <c r="K386" s="1">
        <v>34.6</v>
      </c>
      <c r="L386" s="1">
        <v>14.3</v>
      </c>
      <c r="M386" s="1">
        <v>66.3</v>
      </c>
      <c r="N386" s="1">
        <v>66.3</v>
      </c>
      <c r="O386" s="268"/>
      <c r="P386" s="268"/>
    </row>
    <row r="387" spans="1:16" ht="13.35" customHeight="1" x14ac:dyDescent="0.25">
      <c r="A387" s="264"/>
      <c r="B387" s="239"/>
      <c r="C387" s="4">
        <v>136</v>
      </c>
      <c r="D387" s="5" t="s">
        <v>237</v>
      </c>
      <c r="E387" s="6" t="s">
        <v>240</v>
      </c>
      <c r="F387" s="5" t="s">
        <v>289</v>
      </c>
      <c r="G387" s="12">
        <v>612</v>
      </c>
      <c r="H387" s="9">
        <f t="shared" si="148"/>
        <v>644</v>
      </c>
      <c r="I387" s="1">
        <v>114.3</v>
      </c>
      <c r="J387" s="1">
        <v>140.30000000000001</v>
      </c>
      <c r="K387" s="1">
        <v>147.19999999999999</v>
      </c>
      <c r="L387" s="1">
        <v>242.2</v>
      </c>
      <c r="M387" s="1">
        <v>644</v>
      </c>
      <c r="N387" s="1">
        <v>644</v>
      </c>
      <c r="O387" s="268"/>
      <c r="P387" s="268"/>
    </row>
    <row r="388" spans="1:16" ht="13.35" customHeight="1" x14ac:dyDescent="0.25">
      <c r="A388" s="264"/>
      <c r="B388" s="239"/>
      <c r="C388" s="4">
        <v>136</v>
      </c>
      <c r="D388" s="5" t="s">
        <v>233</v>
      </c>
      <c r="E388" s="6" t="s">
        <v>234</v>
      </c>
      <c r="F388" s="5" t="s">
        <v>290</v>
      </c>
      <c r="G388" s="12">
        <v>612</v>
      </c>
      <c r="H388" s="9">
        <f t="shared" si="148"/>
        <v>12654.7</v>
      </c>
      <c r="I388" s="9">
        <v>2925</v>
      </c>
      <c r="J388" s="9">
        <v>3093.6</v>
      </c>
      <c r="K388" s="9">
        <v>2078.6</v>
      </c>
      <c r="L388" s="9">
        <v>4557.5</v>
      </c>
      <c r="M388" s="9">
        <v>12654.7</v>
      </c>
      <c r="N388" s="9">
        <v>12654.7</v>
      </c>
      <c r="O388" s="268"/>
      <c r="P388" s="268"/>
    </row>
    <row r="389" spans="1:16" ht="13.35" customHeight="1" x14ac:dyDescent="0.25">
      <c r="A389" s="264"/>
      <c r="B389" s="240"/>
      <c r="C389" s="4">
        <v>136</v>
      </c>
      <c r="D389" s="5" t="s">
        <v>233</v>
      </c>
      <c r="E389" s="6" t="s">
        <v>234</v>
      </c>
      <c r="F389" s="5" t="s">
        <v>290</v>
      </c>
      <c r="G389" s="12">
        <v>622</v>
      </c>
      <c r="H389" s="9">
        <f t="shared" si="148"/>
        <v>632.4</v>
      </c>
      <c r="I389" s="9">
        <v>180.6</v>
      </c>
      <c r="J389" s="9">
        <v>161.6</v>
      </c>
      <c r="K389" s="9">
        <v>76.3</v>
      </c>
      <c r="L389" s="9">
        <v>213.9</v>
      </c>
      <c r="M389" s="9">
        <v>632.4</v>
      </c>
      <c r="N389" s="9">
        <v>632.4</v>
      </c>
      <c r="O389" s="268"/>
      <c r="P389" s="268"/>
    </row>
    <row r="390" spans="1:16" ht="13.35" customHeight="1" x14ac:dyDescent="0.25">
      <c r="A390" s="264"/>
      <c r="B390" s="196" t="s">
        <v>8</v>
      </c>
      <c r="C390" s="4"/>
      <c r="D390" s="5"/>
      <c r="E390" s="5"/>
      <c r="F390" s="5"/>
      <c r="G390" s="12"/>
      <c r="H390" s="9">
        <f t="shared" si="148"/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268"/>
      <c r="P390" s="268"/>
    </row>
    <row r="391" spans="1:16" ht="13.35" customHeight="1" x14ac:dyDescent="0.25">
      <c r="A391" s="264"/>
      <c r="B391" s="196" t="s">
        <v>9</v>
      </c>
      <c r="C391" s="4"/>
      <c r="D391" s="5"/>
      <c r="E391" s="5"/>
      <c r="F391" s="5"/>
      <c r="G391" s="12"/>
      <c r="H391" s="9">
        <f t="shared" si="148"/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268"/>
      <c r="P391" s="268"/>
    </row>
    <row r="392" spans="1:16" x14ac:dyDescent="0.25">
      <c r="A392" s="264"/>
      <c r="B392" s="200" t="s">
        <v>10</v>
      </c>
      <c r="C392" s="4"/>
      <c r="D392" s="5"/>
      <c r="E392" s="5"/>
      <c r="F392" s="5"/>
      <c r="G392" s="12"/>
      <c r="H392" s="9">
        <f t="shared" si="148"/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268"/>
      <c r="P392" s="268"/>
    </row>
    <row r="393" spans="1:16" ht="13.35" customHeight="1" x14ac:dyDescent="0.25">
      <c r="A393" s="290" t="s">
        <v>515</v>
      </c>
      <c r="B393" s="196" t="s">
        <v>78</v>
      </c>
      <c r="C393" s="25"/>
      <c r="D393" s="5"/>
      <c r="E393" s="5"/>
      <c r="F393" s="5"/>
      <c r="G393" s="12"/>
      <c r="H393" s="11">
        <f>H401+H408</f>
        <v>4503</v>
      </c>
      <c r="I393" s="11">
        <f t="shared" ref="I393:N393" si="149">I401+I408</f>
        <v>4503</v>
      </c>
      <c r="J393" s="11">
        <f t="shared" si="149"/>
        <v>4503</v>
      </c>
      <c r="K393" s="11">
        <f t="shared" si="149"/>
        <v>4503</v>
      </c>
      <c r="L393" s="11">
        <f t="shared" si="149"/>
        <v>4503</v>
      </c>
      <c r="M393" s="11">
        <f t="shared" si="149"/>
        <v>4503</v>
      </c>
      <c r="N393" s="11">
        <f t="shared" si="149"/>
        <v>4503</v>
      </c>
      <c r="O393" s="268" t="s">
        <v>217</v>
      </c>
      <c r="P393" s="268" t="s">
        <v>165</v>
      </c>
    </row>
    <row r="394" spans="1:16" ht="26.4" customHeight="1" x14ac:dyDescent="0.25">
      <c r="A394" s="290"/>
      <c r="B394" s="196" t="s">
        <v>95</v>
      </c>
      <c r="C394" s="25"/>
      <c r="D394" s="5"/>
      <c r="E394" s="5"/>
      <c r="F394" s="5"/>
      <c r="G394" s="12"/>
      <c r="H394" s="1">
        <f t="shared" ref="H394:N394" si="150">ROUND(H395/H393,1)</f>
        <v>50.2</v>
      </c>
      <c r="I394" s="1" t="s">
        <v>229</v>
      </c>
      <c r="J394" s="1" t="s">
        <v>229</v>
      </c>
      <c r="K394" s="1" t="s">
        <v>229</v>
      </c>
      <c r="L394" s="1" t="s">
        <v>229</v>
      </c>
      <c r="M394" s="1">
        <f t="shared" si="150"/>
        <v>54.6</v>
      </c>
      <c r="N394" s="1">
        <f t="shared" si="150"/>
        <v>59.2</v>
      </c>
      <c r="O394" s="268"/>
      <c r="P394" s="268"/>
    </row>
    <row r="395" spans="1:16" x14ac:dyDescent="0.25">
      <c r="A395" s="264"/>
      <c r="B395" s="201" t="s">
        <v>74</v>
      </c>
      <c r="C395" s="4"/>
      <c r="D395" s="5"/>
      <c r="E395" s="5"/>
      <c r="F395" s="5"/>
      <c r="G395" s="12"/>
      <c r="H395" s="9">
        <f>SUM(H396:H400)</f>
        <v>225997.57949999999</v>
      </c>
      <c r="I395" s="9">
        <f t="shared" ref="I395:N395" si="151">SUM(I396:I400)</f>
        <v>49145</v>
      </c>
      <c r="J395" s="9">
        <f t="shared" si="151"/>
        <v>49446.7</v>
      </c>
      <c r="K395" s="9">
        <f t="shared" si="151"/>
        <v>49824.7</v>
      </c>
      <c r="L395" s="9">
        <f t="shared" si="151"/>
        <v>77581.179499999998</v>
      </c>
      <c r="M395" s="9">
        <f t="shared" si="151"/>
        <v>245734.5</v>
      </c>
      <c r="N395" s="9">
        <f t="shared" si="151"/>
        <v>266613</v>
      </c>
      <c r="O395" s="268"/>
      <c r="P395" s="268"/>
    </row>
    <row r="396" spans="1:16" x14ac:dyDescent="0.25">
      <c r="A396" s="264"/>
      <c r="B396" s="238" t="s">
        <v>16</v>
      </c>
      <c r="C396" s="4">
        <f t="shared" ref="C396:N396" si="152">C404</f>
        <v>136</v>
      </c>
      <c r="D396" s="4" t="str">
        <f t="shared" si="152"/>
        <v>07</v>
      </c>
      <c r="E396" s="4" t="str">
        <f t="shared" si="152"/>
        <v>01</v>
      </c>
      <c r="F396" s="4" t="str">
        <f t="shared" si="152"/>
        <v>0710520120</v>
      </c>
      <c r="G396" s="12">
        <f t="shared" si="152"/>
        <v>810</v>
      </c>
      <c r="H396" s="9">
        <f t="shared" si="152"/>
        <v>112240.8795</v>
      </c>
      <c r="I396" s="9">
        <f t="shared" si="152"/>
        <v>25376.799999999999</v>
      </c>
      <c r="J396" s="9">
        <f t="shared" si="152"/>
        <v>25660</v>
      </c>
      <c r="K396" s="9">
        <f t="shared" si="152"/>
        <v>25023.1</v>
      </c>
      <c r="L396" s="9">
        <f t="shared" si="152"/>
        <v>36180.979500000001</v>
      </c>
      <c r="M396" s="9">
        <f t="shared" si="152"/>
        <v>120849.2</v>
      </c>
      <c r="N396" s="9">
        <f t="shared" si="152"/>
        <v>129935.8</v>
      </c>
      <c r="O396" s="268"/>
      <c r="P396" s="268"/>
    </row>
    <row r="397" spans="1:16" ht="13.35" customHeight="1" x14ac:dyDescent="0.25">
      <c r="A397" s="264"/>
      <c r="B397" s="240"/>
      <c r="C397" s="4">
        <f>C411</f>
        <v>136</v>
      </c>
      <c r="D397" s="4" t="str">
        <f t="shared" ref="D397:N397" si="153">D411</f>
        <v>07</v>
      </c>
      <c r="E397" s="4" t="str">
        <f t="shared" si="153"/>
        <v>02</v>
      </c>
      <c r="F397" s="4" t="str">
        <f t="shared" si="153"/>
        <v>0710520130</v>
      </c>
      <c r="G397" s="12">
        <f t="shared" si="153"/>
        <v>810</v>
      </c>
      <c r="H397" s="9">
        <f t="shared" si="153"/>
        <v>113756.7</v>
      </c>
      <c r="I397" s="9">
        <f t="shared" si="153"/>
        <v>23768.2</v>
      </c>
      <c r="J397" s="9">
        <f t="shared" si="153"/>
        <v>23786.7</v>
      </c>
      <c r="K397" s="9">
        <f t="shared" si="153"/>
        <v>24801.599999999999</v>
      </c>
      <c r="L397" s="9">
        <f t="shared" si="153"/>
        <v>41400.199999999997</v>
      </c>
      <c r="M397" s="9">
        <f t="shared" si="153"/>
        <v>124885.3</v>
      </c>
      <c r="N397" s="9">
        <f t="shared" si="153"/>
        <v>136677.20000000001</v>
      </c>
      <c r="O397" s="268"/>
      <c r="P397" s="268"/>
    </row>
    <row r="398" spans="1:16" ht="13.35" customHeight="1" x14ac:dyDescent="0.25">
      <c r="A398" s="264"/>
      <c r="B398" s="196" t="s">
        <v>14</v>
      </c>
      <c r="C398" s="4"/>
      <c r="D398" s="5"/>
      <c r="E398" s="5"/>
      <c r="F398" s="5"/>
      <c r="G398" s="12"/>
      <c r="H398" s="1">
        <f t="shared" ref="H398:N400" si="154">H405+H412</f>
        <v>0</v>
      </c>
      <c r="I398" s="1">
        <f t="shared" si="154"/>
        <v>0</v>
      </c>
      <c r="J398" s="1">
        <f t="shared" si="154"/>
        <v>0</v>
      </c>
      <c r="K398" s="1">
        <f t="shared" si="154"/>
        <v>0</v>
      </c>
      <c r="L398" s="1">
        <f t="shared" si="154"/>
        <v>0</v>
      </c>
      <c r="M398" s="1">
        <f t="shared" si="154"/>
        <v>0</v>
      </c>
      <c r="N398" s="1">
        <f t="shared" si="154"/>
        <v>0</v>
      </c>
      <c r="O398" s="268"/>
      <c r="P398" s="268"/>
    </row>
    <row r="399" spans="1:16" x14ac:dyDescent="0.25">
      <c r="A399" s="264"/>
      <c r="B399" s="196" t="s">
        <v>15</v>
      </c>
      <c r="C399" s="4"/>
      <c r="D399" s="5"/>
      <c r="E399" s="5"/>
      <c r="F399" s="5"/>
      <c r="G399" s="12"/>
      <c r="H399" s="1">
        <f t="shared" si="154"/>
        <v>0</v>
      </c>
      <c r="I399" s="1">
        <f t="shared" si="154"/>
        <v>0</v>
      </c>
      <c r="J399" s="1">
        <f t="shared" si="154"/>
        <v>0</v>
      </c>
      <c r="K399" s="1">
        <f t="shared" si="154"/>
        <v>0</v>
      </c>
      <c r="L399" s="1">
        <f t="shared" si="154"/>
        <v>0</v>
      </c>
      <c r="M399" s="1">
        <f t="shared" si="154"/>
        <v>0</v>
      </c>
      <c r="N399" s="1">
        <f t="shared" si="154"/>
        <v>0</v>
      </c>
      <c r="O399" s="268"/>
      <c r="P399" s="268"/>
    </row>
    <row r="400" spans="1:16" ht="13.35" customHeight="1" x14ac:dyDescent="0.25">
      <c r="A400" s="264"/>
      <c r="B400" s="200" t="s">
        <v>12</v>
      </c>
      <c r="C400" s="4"/>
      <c r="D400" s="5"/>
      <c r="E400" s="5"/>
      <c r="F400" s="5"/>
      <c r="G400" s="12"/>
      <c r="H400" s="1">
        <f t="shared" si="154"/>
        <v>0</v>
      </c>
      <c r="I400" s="1">
        <f t="shared" si="154"/>
        <v>0</v>
      </c>
      <c r="J400" s="1">
        <f t="shared" si="154"/>
        <v>0</v>
      </c>
      <c r="K400" s="1">
        <f t="shared" si="154"/>
        <v>0</v>
      </c>
      <c r="L400" s="1">
        <f t="shared" si="154"/>
        <v>0</v>
      </c>
      <c r="M400" s="1">
        <f t="shared" si="154"/>
        <v>0</v>
      </c>
      <c r="N400" s="1">
        <f t="shared" si="154"/>
        <v>0</v>
      </c>
      <c r="O400" s="268"/>
      <c r="P400" s="268"/>
    </row>
    <row r="401" spans="1:16" ht="26.4" customHeight="1" x14ac:dyDescent="0.25">
      <c r="A401" s="290" t="s">
        <v>516</v>
      </c>
      <c r="B401" s="196" t="s">
        <v>80</v>
      </c>
      <c r="C401" s="25"/>
      <c r="D401" s="5"/>
      <c r="E401" s="5"/>
      <c r="F401" s="5"/>
      <c r="G401" s="12"/>
      <c r="H401" s="11">
        <v>2301</v>
      </c>
      <c r="I401" s="11">
        <v>2301</v>
      </c>
      <c r="J401" s="11">
        <v>2301</v>
      </c>
      <c r="K401" s="11">
        <v>2301</v>
      </c>
      <c r="L401" s="11">
        <v>2301</v>
      </c>
      <c r="M401" s="11">
        <v>2301</v>
      </c>
      <c r="N401" s="11">
        <v>2301</v>
      </c>
      <c r="O401" s="242" t="s">
        <v>217</v>
      </c>
      <c r="P401" s="268" t="s">
        <v>192</v>
      </c>
    </row>
    <row r="402" spans="1:16" ht="37.35" customHeight="1" x14ac:dyDescent="0.25">
      <c r="A402" s="290"/>
      <c r="B402" s="196" t="s">
        <v>6</v>
      </c>
      <c r="C402" s="25"/>
      <c r="D402" s="5"/>
      <c r="E402" s="5"/>
      <c r="F402" s="5"/>
      <c r="G402" s="12"/>
      <c r="H402" s="1">
        <f t="shared" ref="H402:N402" si="155">ROUND(H403/H401,1)</f>
        <v>48.8</v>
      </c>
      <c r="I402" s="1" t="s">
        <v>229</v>
      </c>
      <c r="J402" s="1" t="s">
        <v>229</v>
      </c>
      <c r="K402" s="1" t="s">
        <v>229</v>
      </c>
      <c r="L402" s="1" t="s">
        <v>229</v>
      </c>
      <c r="M402" s="1">
        <f t="shared" si="155"/>
        <v>52.5</v>
      </c>
      <c r="N402" s="1">
        <f t="shared" si="155"/>
        <v>56.5</v>
      </c>
      <c r="O402" s="243"/>
      <c r="P402" s="268"/>
    </row>
    <row r="403" spans="1:16" x14ac:dyDescent="0.25">
      <c r="A403" s="264"/>
      <c r="B403" s="201" t="s">
        <v>74</v>
      </c>
      <c r="C403" s="4"/>
      <c r="D403" s="5"/>
      <c r="E403" s="5"/>
      <c r="F403" s="5"/>
      <c r="G403" s="12"/>
      <c r="H403" s="9">
        <f t="shared" ref="H403:N403" si="156">SUM(H404:H407)</f>
        <v>112240.8795</v>
      </c>
      <c r="I403" s="9">
        <f t="shared" si="156"/>
        <v>25376.799999999999</v>
      </c>
      <c r="J403" s="9">
        <f t="shared" si="156"/>
        <v>25660</v>
      </c>
      <c r="K403" s="9">
        <f t="shared" si="156"/>
        <v>25023.1</v>
      </c>
      <c r="L403" s="9">
        <f t="shared" si="156"/>
        <v>36180.979500000001</v>
      </c>
      <c r="M403" s="9">
        <f t="shared" si="156"/>
        <v>120849.2</v>
      </c>
      <c r="N403" s="9">
        <f t="shared" si="156"/>
        <v>129935.8</v>
      </c>
      <c r="O403" s="243"/>
      <c r="P403" s="268"/>
    </row>
    <row r="404" spans="1:16" ht="13.35" customHeight="1" x14ac:dyDescent="0.25">
      <c r="A404" s="264"/>
      <c r="B404" s="196" t="s">
        <v>16</v>
      </c>
      <c r="C404" s="4">
        <v>136</v>
      </c>
      <c r="D404" s="5" t="s">
        <v>233</v>
      </c>
      <c r="E404" s="6" t="s">
        <v>232</v>
      </c>
      <c r="F404" s="5" t="s">
        <v>254</v>
      </c>
      <c r="G404" s="12">
        <v>810</v>
      </c>
      <c r="H404" s="9">
        <f>I404+J404+K404+L404</f>
        <v>112240.8795</v>
      </c>
      <c r="I404" s="9">
        <v>25376.799999999999</v>
      </c>
      <c r="J404" s="9">
        <v>25660</v>
      </c>
      <c r="K404" s="9">
        <v>25023.1</v>
      </c>
      <c r="L404" s="9">
        <v>36180.979500000001</v>
      </c>
      <c r="M404" s="9">
        <v>120849.2</v>
      </c>
      <c r="N404" s="9">
        <v>129935.8</v>
      </c>
      <c r="O404" s="243"/>
      <c r="P404" s="268"/>
    </row>
    <row r="405" spans="1:16" ht="13.35" customHeight="1" x14ac:dyDescent="0.25">
      <c r="A405" s="264"/>
      <c r="B405" s="196" t="s">
        <v>14</v>
      </c>
      <c r="C405" s="4"/>
      <c r="D405" s="5"/>
      <c r="E405" s="5"/>
      <c r="F405" s="5"/>
      <c r="G405" s="12"/>
      <c r="H405" s="1">
        <f>I405+J405+K405+L405</f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243"/>
      <c r="P405" s="268"/>
    </row>
    <row r="406" spans="1:16" ht="13.35" customHeight="1" x14ac:dyDescent="0.25">
      <c r="A406" s="264"/>
      <c r="B406" s="196" t="s">
        <v>15</v>
      </c>
      <c r="C406" s="4"/>
      <c r="D406" s="5"/>
      <c r="E406" s="5"/>
      <c r="F406" s="5"/>
      <c r="G406" s="12"/>
      <c r="H406" s="1">
        <f>I406+J406+K406+L406</f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243"/>
      <c r="P406" s="268"/>
    </row>
    <row r="407" spans="1:16" ht="78" customHeight="1" x14ac:dyDescent="0.25">
      <c r="A407" s="264"/>
      <c r="B407" s="200" t="s">
        <v>12</v>
      </c>
      <c r="C407" s="4"/>
      <c r="D407" s="5"/>
      <c r="E407" s="5"/>
      <c r="F407" s="5"/>
      <c r="G407" s="12"/>
      <c r="H407" s="1">
        <f>I407+J407+K407+L407</f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244"/>
      <c r="P407" s="268"/>
    </row>
    <row r="408" spans="1:16" ht="13.35" customHeight="1" x14ac:dyDescent="0.25">
      <c r="A408" s="290" t="s">
        <v>517</v>
      </c>
      <c r="B408" s="200" t="s">
        <v>83</v>
      </c>
      <c r="C408" s="25"/>
      <c r="D408" s="5"/>
      <c r="E408" s="5"/>
      <c r="F408" s="5"/>
      <c r="G408" s="12"/>
      <c r="H408" s="11">
        <v>2202</v>
      </c>
      <c r="I408" s="11">
        <v>2202</v>
      </c>
      <c r="J408" s="11">
        <v>2202</v>
      </c>
      <c r="K408" s="11">
        <v>2202</v>
      </c>
      <c r="L408" s="11">
        <v>2202</v>
      </c>
      <c r="M408" s="11">
        <v>2202</v>
      </c>
      <c r="N408" s="11">
        <v>2202</v>
      </c>
      <c r="O408" s="268" t="s">
        <v>217</v>
      </c>
      <c r="P408" s="268" t="s">
        <v>193</v>
      </c>
    </row>
    <row r="409" spans="1:16" ht="26.4" customHeight="1" x14ac:dyDescent="0.25">
      <c r="A409" s="264"/>
      <c r="B409" s="196" t="s">
        <v>95</v>
      </c>
      <c r="C409" s="4"/>
      <c r="D409" s="5"/>
      <c r="E409" s="5"/>
      <c r="F409" s="5"/>
      <c r="G409" s="12"/>
      <c r="H409" s="1">
        <f t="shared" ref="H409:N409" si="157">ROUND(H410/H408,1)</f>
        <v>51.7</v>
      </c>
      <c r="I409" s="1" t="s">
        <v>229</v>
      </c>
      <c r="J409" s="1" t="s">
        <v>229</v>
      </c>
      <c r="K409" s="1" t="s">
        <v>229</v>
      </c>
      <c r="L409" s="1" t="s">
        <v>229</v>
      </c>
      <c r="M409" s="1">
        <f t="shared" si="157"/>
        <v>56.7</v>
      </c>
      <c r="N409" s="1">
        <f t="shared" si="157"/>
        <v>62.1</v>
      </c>
      <c r="O409" s="268"/>
      <c r="P409" s="268"/>
    </row>
    <row r="410" spans="1:16" ht="13.35" customHeight="1" x14ac:dyDescent="0.25">
      <c r="A410" s="264"/>
      <c r="B410" s="196" t="s">
        <v>74</v>
      </c>
      <c r="C410" s="4"/>
      <c r="D410" s="5"/>
      <c r="E410" s="5"/>
      <c r="F410" s="5"/>
      <c r="G410" s="12"/>
      <c r="H410" s="9">
        <f t="shared" ref="H410:N410" si="158">SUM(H411:H414)</f>
        <v>113756.7</v>
      </c>
      <c r="I410" s="9">
        <f t="shared" si="158"/>
        <v>23768.2</v>
      </c>
      <c r="J410" s="9">
        <f t="shared" si="158"/>
        <v>23786.7</v>
      </c>
      <c r="K410" s="9">
        <f t="shared" si="158"/>
        <v>24801.599999999999</v>
      </c>
      <c r="L410" s="9">
        <f t="shared" si="158"/>
        <v>41400.199999999997</v>
      </c>
      <c r="M410" s="9">
        <f t="shared" si="158"/>
        <v>124885.3</v>
      </c>
      <c r="N410" s="9">
        <f t="shared" si="158"/>
        <v>136677.20000000001</v>
      </c>
      <c r="O410" s="268"/>
      <c r="P410" s="268"/>
    </row>
    <row r="411" spans="1:16" ht="13.35" customHeight="1" x14ac:dyDescent="0.25">
      <c r="A411" s="264"/>
      <c r="B411" s="196" t="s">
        <v>16</v>
      </c>
      <c r="C411" s="4">
        <v>136</v>
      </c>
      <c r="D411" s="5" t="s">
        <v>233</v>
      </c>
      <c r="E411" s="6" t="s">
        <v>234</v>
      </c>
      <c r="F411" s="5" t="s">
        <v>258</v>
      </c>
      <c r="G411" s="12">
        <v>810</v>
      </c>
      <c r="H411" s="9">
        <f>I411+J411+K411+L411</f>
        <v>113756.7</v>
      </c>
      <c r="I411" s="9">
        <v>23768.2</v>
      </c>
      <c r="J411" s="9">
        <v>23786.7</v>
      </c>
      <c r="K411" s="9">
        <v>24801.599999999999</v>
      </c>
      <c r="L411" s="9">
        <v>41400.199999999997</v>
      </c>
      <c r="M411" s="9">
        <v>124885.3</v>
      </c>
      <c r="N411" s="9">
        <v>136677.20000000001</v>
      </c>
      <c r="O411" s="268"/>
      <c r="P411" s="268"/>
    </row>
    <row r="412" spans="1:16" ht="13.35" customHeight="1" x14ac:dyDescent="0.25">
      <c r="A412" s="264"/>
      <c r="B412" s="196" t="s">
        <v>14</v>
      </c>
      <c r="C412" s="4"/>
      <c r="D412" s="5"/>
      <c r="E412" s="5"/>
      <c r="F412" s="5"/>
      <c r="G412" s="12"/>
      <c r="H412" s="1">
        <f>I412+J412+K412+L412</f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268"/>
      <c r="P412" s="268"/>
    </row>
    <row r="413" spans="1:16" x14ac:dyDescent="0.25">
      <c r="A413" s="264"/>
      <c r="B413" s="196" t="s">
        <v>15</v>
      </c>
      <c r="C413" s="4"/>
      <c r="D413" s="5"/>
      <c r="E413" s="5"/>
      <c r="F413" s="5"/>
      <c r="G413" s="12"/>
      <c r="H413" s="1">
        <f>I413+J413+K413+L413</f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268"/>
      <c r="P413" s="268"/>
    </row>
    <row r="414" spans="1:16" x14ac:dyDescent="0.25">
      <c r="A414" s="264"/>
      <c r="B414" s="200" t="s">
        <v>12</v>
      </c>
      <c r="C414" s="4"/>
      <c r="D414" s="5"/>
      <c r="E414" s="5"/>
      <c r="F414" s="5"/>
      <c r="G414" s="12"/>
      <c r="H414" s="1">
        <f>I414+J414+K414+L414</f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72">
        <v>0</v>
      </c>
      <c r="O414" s="268"/>
      <c r="P414" s="268"/>
    </row>
    <row r="415" spans="1:16" x14ac:dyDescent="0.25">
      <c r="A415" s="290" t="s">
        <v>518</v>
      </c>
      <c r="B415" s="196" t="s">
        <v>113</v>
      </c>
      <c r="C415" s="25"/>
      <c r="D415" s="5"/>
      <c r="E415" s="5"/>
      <c r="F415" s="5"/>
      <c r="G415" s="12"/>
      <c r="H415" s="11">
        <f>H422</f>
        <v>65</v>
      </c>
      <c r="I415" s="11">
        <f t="shared" ref="I415:N415" si="159">I422</f>
        <v>0</v>
      </c>
      <c r="J415" s="11">
        <f t="shared" si="159"/>
        <v>0</v>
      </c>
      <c r="K415" s="11">
        <f t="shared" si="159"/>
        <v>65</v>
      </c>
      <c r="L415" s="11">
        <f t="shared" si="159"/>
        <v>0</v>
      </c>
      <c r="M415" s="11">
        <f t="shared" si="159"/>
        <v>70</v>
      </c>
      <c r="N415" s="11">
        <f t="shared" si="159"/>
        <v>70</v>
      </c>
      <c r="O415" s="268" t="s">
        <v>386</v>
      </c>
      <c r="P415" s="268" t="s">
        <v>166</v>
      </c>
    </row>
    <row r="416" spans="1:16" ht="26.4" x14ac:dyDescent="0.25">
      <c r="A416" s="264"/>
      <c r="B416" s="196" t="s">
        <v>95</v>
      </c>
      <c r="C416" s="4"/>
      <c r="D416" s="5"/>
      <c r="E416" s="5"/>
      <c r="F416" s="5"/>
      <c r="G416" s="12"/>
      <c r="H416" s="9">
        <f>H417/H415</f>
        <v>1669.2415384615385</v>
      </c>
      <c r="I416" s="1" t="s">
        <v>229</v>
      </c>
      <c r="J416" s="1" t="s">
        <v>229</v>
      </c>
      <c r="K416" s="1" t="s">
        <v>229</v>
      </c>
      <c r="L416" s="1" t="s">
        <v>229</v>
      </c>
      <c r="M416" s="9">
        <f>M417/M415</f>
        <v>1550.01</v>
      </c>
      <c r="N416" s="9">
        <f>N417/N415</f>
        <v>1550.01</v>
      </c>
      <c r="O416" s="268"/>
      <c r="P416" s="268"/>
    </row>
    <row r="417" spans="1:16" x14ac:dyDescent="0.25">
      <c r="A417" s="264"/>
      <c r="B417" s="196" t="s">
        <v>74</v>
      </c>
      <c r="C417" s="4"/>
      <c r="D417" s="5"/>
      <c r="E417" s="5"/>
      <c r="F417" s="5"/>
      <c r="G417" s="12"/>
      <c r="H417" s="9">
        <f t="shared" ref="H417:N417" si="160">SUM(H418:H421)</f>
        <v>108500.70000000001</v>
      </c>
      <c r="I417" s="9">
        <f t="shared" si="160"/>
        <v>0</v>
      </c>
      <c r="J417" s="9">
        <f t="shared" si="160"/>
        <v>0</v>
      </c>
      <c r="K417" s="9">
        <f t="shared" si="160"/>
        <v>46936.040500000003</v>
      </c>
      <c r="L417" s="9">
        <f t="shared" si="160"/>
        <v>61564.659500000002</v>
      </c>
      <c r="M417" s="9">
        <f t="shared" si="160"/>
        <v>108500.7</v>
      </c>
      <c r="N417" s="9">
        <f t="shared" si="160"/>
        <v>108500.7</v>
      </c>
      <c r="O417" s="268"/>
      <c r="P417" s="268"/>
    </row>
    <row r="418" spans="1:16" x14ac:dyDescent="0.25">
      <c r="A418" s="264"/>
      <c r="B418" s="193" t="s">
        <v>7</v>
      </c>
      <c r="C418" s="13" t="str">
        <f t="shared" ref="C418:H418" si="161">C425</f>
        <v>136</v>
      </c>
      <c r="D418" s="13" t="str">
        <f t="shared" si="161"/>
        <v>07</v>
      </c>
      <c r="E418" s="13" t="str">
        <f t="shared" si="161"/>
        <v>09</v>
      </c>
      <c r="F418" s="13" t="str">
        <f t="shared" si="161"/>
        <v>0710603470</v>
      </c>
      <c r="G418" s="13" t="str">
        <f t="shared" si="161"/>
        <v>244</v>
      </c>
      <c r="H418" s="9">
        <f t="shared" si="161"/>
        <v>108500.70000000001</v>
      </c>
      <c r="I418" s="9">
        <f t="shared" ref="I418:N418" si="162">I425</f>
        <v>0</v>
      </c>
      <c r="J418" s="9">
        <f t="shared" si="162"/>
        <v>0</v>
      </c>
      <c r="K418" s="9">
        <f t="shared" si="162"/>
        <v>46936.040500000003</v>
      </c>
      <c r="L418" s="9">
        <f t="shared" si="162"/>
        <v>61564.659500000002</v>
      </c>
      <c r="M418" s="9">
        <f t="shared" si="162"/>
        <v>108500.7</v>
      </c>
      <c r="N418" s="9">
        <f t="shared" si="162"/>
        <v>108500.7</v>
      </c>
      <c r="O418" s="268"/>
      <c r="P418" s="268"/>
    </row>
    <row r="419" spans="1:16" x14ac:dyDescent="0.25">
      <c r="A419" s="264"/>
      <c r="B419" s="196" t="s">
        <v>8</v>
      </c>
      <c r="C419" s="12"/>
      <c r="D419" s="12"/>
      <c r="E419" s="12"/>
      <c r="F419" s="12"/>
      <c r="G419" s="12"/>
      <c r="H419" s="1">
        <f>H426</f>
        <v>0</v>
      </c>
      <c r="I419" s="1">
        <f t="shared" ref="I419:N419" si="163">I426</f>
        <v>0</v>
      </c>
      <c r="J419" s="1">
        <f t="shared" si="163"/>
        <v>0</v>
      </c>
      <c r="K419" s="1">
        <f t="shared" si="163"/>
        <v>0</v>
      </c>
      <c r="L419" s="1">
        <f t="shared" si="163"/>
        <v>0</v>
      </c>
      <c r="M419" s="1">
        <f t="shared" si="163"/>
        <v>0</v>
      </c>
      <c r="N419" s="1">
        <f t="shared" si="163"/>
        <v>0</v>
      </c>
      <c r="O419" s="268"/>
      <c r="P419" s="268"/>
    </row>
    <row r="420" spans="1:16" x14ac:dyDescent="0.25">
      <c r="A420" s="264"/>
      <c r="B420" s="196" t="s">
        <v>9</v>
      </c>
      <c r="C420" s="12"/>
      <c r="D420" s="12"/>
      <c r="E420" s="12"/>
      <c r="F420" s="12"/>
      <c r="G420" s="12"/>
      <c r="H420" s="1">
        <f>H427</f>
        <v>0</v>
      </c>
      <c r="I420" s="1">
        <f t="shared" ref="I420:N420" si="164">I427</f>
        <v>0</v>
      </c>
      <c r="J420" s="1">
        <f t="shared" si="164"/>
        <v>0</v>
      </c>
      <c r="K420" s="1">
        <f t="shared" si="164"/>
        <v>0</v>
      </c>
      <c r="L420" s="1">
        <f t="shared" si="164"/>
        <v>0</v>
      </c>
      <c r="M420" s="1">
        <f t="shared" si="164"/>
        <v>0</v>
      </c>
      <c r="N420" s="1">
        <f t="shared" si="164"/>
        <v>0</v>
      </c>
      <c r="O420" s="268"/>
      <c r="P420" s="268"/>
    </row>
    <row r="421" spans="1:16" x14ac:dyDescent="0.25">
      <c r="A421" s="264"/>
      <c r="B421" s="196" t="s">
        <v>10</v>
      </c>
      <c r="C421" s="12"/>
      <c r="D421" s="12"/>
      <c r="E421" s="12"/>
      <c r="F421" s="12"/>
      <c r="G421" s="12"/>
      <c r="H421" s="1">
        <f>H428</f>
        <v>0</v>
      </c>
      <c r="I421" s="1">
        <f t="shared" ref="I421:N421" si="165">I428</f>
        <v>0</v>
      </c>
      <c r="J421" s="1">
        <f t="shared" si="165"/>
        <v>0</v>
      </c>
      <c r="K421" s="1">
        <f t="shared" si="165"/>
        <v>0</v>
      </c>
      <c r="L421" s="1">
        <f t="shared" si="165"/>
        <v>0</v>
      </c>
      <c r="M421" s="1">
        <f t="shared" si="165"/>
        <v>0</v>
      </c>
      <c r="N421" s="1">
        <f t="shared" si="165"/>
        <v>0</v>
      </c>
      <c r="O421" s="268"/>
      <c r="P421" s="268"/>
    </row>
    <row r="422" spans="1:16" x14ac:dyDescent="0.25">
      <c r="A422" s="264" t="s">
        <v>519</v>
      </c>
      <c r="B422" s="196" t="s">
        <v>113</v>
      </c>
      <c r="C422" s="4"/>
      <c r="D422" s="5"/>
      <c r="E422" s="5"/>
      <c r="F422" s="5"/>
      <c r="G422" s="12"/>
      <c r="H422" s="11">
        <v>65</v>
      </c>
      <c r="I422" s="11">
        <v>0</v>
      </c>
      <c r="J422" s="11">
        <v>0</v>
      </c>
      <c r="K422" s="11">
        <v>65</v>
      </c>
      <c r="L422" s="11">
        <v>0</v>
      </c>
      <c r="M422" s="11">
        <v>70</v>
      </c>
      <c r="N422" s="11">
        <v>70</v>
      </c>
      <c r="O422" s="268" t="s">
        <v>217</v>
      </c>
      <c r="P422" s="242" t="s">
        <v>167</v>
      </c>
    </row>
    <row r="423" spans="1:16" ht="26.4" x14ac:dyDescent="0.25">
      <c r="A423" s="264"/>
      <c r="B423" s="196" t="s">
        <v>95</v>
      </c>
      <c r="C423" s="4"/>
      <c r="D423" s="5"/>
      <c r="E423" s="5"/>
      <c r="F423" s="5"/>
      <c r="G423" s="12"/>
      <c r="H423" s="9">
        <f>ROUND(H424/H422,1)</f>
        <v>1669.2</v>
      </c>
      <c r="I423" s="1" t="s">
        <v>229</v>
      </c>
      <c r="J423" s="1" t="s">
        <v>229</v>
      </c>
      <c r="K423" s="1" t="s">
        <v>229</v>
      </c>
      <c r="L423" s="1" t="s">
        <v>229</v>
      </c>
      <c r="M423" s="9">
        <f>ROUND(M424/M422,1)</f>
        <v>1550</v>
      </c>
      <c r="N423" s="9">
        <f>ROUND(N424/N422,1)</f>
        <v>1550</v>
      </c>
      <c r="O423" s="268"/>
      <c r="P423" s="243"/>
    </row>
    <row r="424" spans="1:16" x14ac:dyDescent="0.25">
      <c r="A424" s="264"/>
      <c r="B424" s="196" t="s">
        <v>74</v>
      </c>
      <c r="C424" s="4"/>
      <c r="D424" s="5"/>
      <c r="E424" s="5"/>
      <c r="F424" s="5"/>
      <c r="G424" s="12"/>
      <c r="H424" s="9">
        <f t="shared" ref="H424:N424" si="166">SUM(H425:H428)</f>
        <v>108500.70000000001</v>
      </c>
      <c r="I424" s="9">
        <f t="shared" si="166"/>
        <v>0</v>
      </c>
      <c r="J424" s="9">
        <f t="shared" si="166"/>
        <v>0</v>
      </c>
      <c r="K424" s="9">
        <f t="shared" si="166"/>
        <v>46936.040500000003</v>
      </c>
      <c r="L424" s="9">
        <f t="shared" si="166"/>
        <v>61564.659500000002</v>
      </c>
      <c r="M424" s="9">
        <f t="shared" si="166"/>
        <v>108500.7</v>
      </c>
      <c r="N424" s="9">
        <f t="shared" si="166"/>
        <v>108500.7</v>
      </c>
      <c r="O424" s="268"/>
      <c r="P424" s="243"/>
    </row>
    <row r="425" spans="1:16" x14ac:dyDescent="0.25">
      <c r="A425" s="264"/>
      <c r="B425" s="196" t="s">
        <v>7</v>
      </c>
      <c r="C425" s="6" t="s">
        <v>41</v>
      </c>
      <c r="D425" s="5" t="s">
        <v>233</v>
      </c>
      <c r="E425" s="6" t="s">
        <v>235</v>
      </c>
      <c r="F425" s="6" t="s">
        <v>287</v>
      </c>
      <c r="G425" s="13" t="s">
        <v>47</v>
      </c>
      <c r="H425" s="9">
        <f>I425+J425+K425+L425</f>
        <v>108500.70000000001</v>
      </c>
      <c r="I425" s="9">
        <v>0</v>
      </c>
      <c r="J425" s="9">
        <v>0</v>
      </c>
      <c r="K425" s="9">
        <v>46936.040500000003</v>
      </c>
      <c r="L425" s="9">
        <v>61564.659500000002</v>
      </c>
      <c r="M425" s="9">
        <v>108500.7</v>
      </c>
      <c r="N425" s="9">
        <v>108500.7</v>
      </c>
      <c r="O425" s="268"/>
      <c r="P425" s="243"/>
    </row>
    <row r="426" spans="1:16" x14ac:dyDescent="0.25">
      <c r="A426" s="264"/>
      <c r="B426" s="196" t="s">
        <v>8</v>
      </c>
      <c r="C426" s="4"/>
      <c r="D426" s="5"/>
      <c r="E426" s="5"/>
      <c r="F426" s="5"/>
      <c r="G426" s="12"/>
      <c r="H426" s="1">
        <f>I426+J426+K426+L426</f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268"/>
      <c r="P426" s="243"/>
    </row>
    <row r="427" spans="1:16" x14ac:dyDescent="0.25">
      <c r="A427" s="264"/>
      <c r="B427" s="196" t="s">
        <v>9</v>
      </c>
      <c r="C427" s="4"/>
      <c r="D427" s="5"/>
      <c r="E427" s="5"/>
      <c r="F427" s="5"/>
      <c r="G427" s="12"/>
      <c r="H427" s="1">
        <f>I427+J427+K427+L427</f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268"/>
      <c r="P427" s="243"/>
    </row>
    <row r="428" spans="1:16" ht="84" customHeight="1" x14ac:dyDescent="0.25">
      <c r="A428" s="264"/>
      <c r="B428" s="196" t="s">
        <v>10</v>
      </c>
      <c r="C428" s="4"/>
      <c r="D428" s="5"/>
      <c r="E428" s="5"/>
      <c r="F428" s="5"/>
      <c r="G428" s="12"/>
      <c r="H428" s="1">
        <f>I428+J428+K428+L428</f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268"/>
      <c r="P428" s="244"/>
    </row>
    <row r="429" spans="1:16" ht="26.4" x14ac:dyDescent="0.25">
      <c r="A429" s="258" t="s">
        <v>520</v>
      </c>
      <c r="B429" s="195" t="s">
        <v>101</v>
      </c>
      <c r="C429" s="25"/>
      <c r="D429" s="5"/>
      <c r="E429" s="5"/>
      <c r="F429" s="5"/>
      <c r="G429" s="12"/>
      <c r="H429" s="9" t="s">
        <v>51</v>
      </c>
      <c r="I429" s="9" t="s">
        <v>51</v>
      </c>
      <c r="J429" s="9" t="s">
        <v>51</v>
      </c>
      <c r="K429" s="9" t="s">
        <v>51</v>
      </c>
      <c r="L429" s="9" t="s">
        <v>51</v>
      </c>
      <c r="M429" s="9" t="s">
        <v>51</v>
      </c>
      <c r="N429" s="9" t="s">
        <v>51</v>
      </c>
      <c r="O429" s="268" t="s">
        <v>360</v>
      </c>
      <c r="P429" s="268" t="s">
        <v>168</v>
      </c>
    </row>
    <row r="430" spans="1:16" ht="26.4" x14ac:dyDescent="0.25">
      <c r="A430" s="241"/>
      <c r="B430" s="195" t="s">
        <v>6</v>
      </c>
      <c r="C430" s="4"/>
      <c r="D430" s="5"/>
      <c r="E430" s="5"/>
      <c r="F430" s="5"/>
      <c r="G430" s="12"/>
      <c r="H430" s="9" t="s">
        <v>51</v>
      </c>
      <c r="I430" s="9" t="s">
        <v>229</v>
      </c>
      <c r="J430" s="9" t="s">
        <v>229</v>
      </c>
      <c r="K430" s="9" t="s">
        <v>229</v>
      </c>
      <c r="L430" s="9" t="s">
        <v>229</v>
      </c>
      <c r="M430" s="9" t="s">
        <v>51</v>
      </c>
      <c r="N430" s="9" t="s">
        <v>51</v>
      </c>
      <c r="O430" s="268"/>
      <c r="P430" s="268"/>
    </row>
    <row r="431" spans="1:16" x14ac:dyDescent="0.25">
      <c r="A431" s="241"/>
      <c r="B431" s="195" t="s">
        <v>74</v>
      </c>
      <c r="C431" s="4"/>
      <c r="D431" s="5"/>
      <c r="E431" s="5"/>
      <c r="F431" s="5"/>
      <c r="G431" s="12"/>
      <c r="H431" s="9">
        <f>SUM(H432:H443)</f>
        <v>15160.800000000001</v>
      </c>
      <c r="I431" s="9">
        <f t="shared" ref="I431:N431" si="167">SUM(I432:I443)</f>
        <v>600</v>
      </c>
      <c r="J431" s="9">
        <f t="shared" si="167"/>
        <v>4100</v>
      </c>
      <c r="K431" s="9">
        <f t="shared" si="167"/>
        <v>3584.1168600000001</v>
      </c>
      <c r="L431" s="9">
        <f>SUM(L432:L443)</f>
        <v>6876.6831400000001</v>
      </c>
      <c r="M431" s="9">
        <f t="shared" si="167"/>
        <v>5200</v>
      </c>
      <c r="N431" s="9">
        <f t="shared" si="167"/>
        <v>5200</v>
      </c>
      <c r="O431" s="268"/>
      <c r="P431" s="268"/>
    </row>
    <row r="432" spans="1:16" x14ac:dyDescent="0.25">
      <c r="A432" s="241"/>
      <c r="B432" s="241" t="s">
        <v>7</v>
      </c>
      <c r="C432" s="4">
        <f t="shared" ref="C432:H432" si="168">C447</f>
        <v>136</v>
      </c>
      <c r="D432" s="4" t="str">
        <f t="shared" si="168"/>
        <v>07</v>
      </c>
      <c r="E432" s="4" t="str">
        <f t="shared" si="168"/>
        <v>02</v>
      </c>
      <c r="F432" s="4" t="str">
        <f t="shared" si="168"/>
        <v>0710703480</v>
      </c>
      <c r="G432" s="12">
        <f t="shared" si="168"/>
        <v>612</v>
      </c>
      <c r="H432" s="9">
        <f t="shared" si="168"/>
        <v>4700</v>
      </c>
      <c r="I432" s="9">
        <f t="shared" ref="I432:N432" si="169">I447</f>
        <v>600</v>
      </c>
      <c r="J432" s="9">
        <f t="shared" si="169"/>
        <v>4100</v>
      </c>
      <c r="K432" s="9">
        <f t="shared" si="169"/>
        <v>0</v>
      </c>
      <c r="L432" s="9">
        <f>L447</f>
        <v>0</v>
      </c>
      <c r="M432" s="9">
        <f t="shared" si="169"/>
        <v>5200</v>
      </c>
      <c r="N432" s="9">
        <f t="shared" si="169"/>
        <v>5200</v>
      </c>
      <c r="O432" s="268"/>
      <c r="P432" s="268"/>
    </row>
    <row r="433" spans="1:16" hidden="1" x14ac:dyDescent="0.25">
      <c r="A433" s="241"/>
      <c r="B433" s="241"/>
      <c r="C433" s="4">
        <f>C467</f>
        <v>136</v>
      </c>
      <c r="D433" s="4" t="str">
        <f t="shared" ref="D433:N433" si="170">D467</f>
        <v>10</v>
      </c>
      <c r="E433" s="4" t="str">
        <f t="shared" si="170"/>
        <v>03</v>
      </c>
      <c r="F433" s="4" t="str">
        <f t="shared" si="170"/>
        <v>0710703480</v>
      </c>
      <c r="G433" s="12">
        <f t="shared" si="170"/>
        <v>313</v>
      </c>
      <c r="H433" s="222">
        <f t="shared" si="170"/>
        <v>0</v>
      </c>
      <c r="I433" s="222">
        <f t="shared" si="170"/>
        <v>0</v>
      </c>
      <c r="J433" s="222">
        <f t="shared" si="170"/>
        <v>0</v>
      </c>
      <c r="K433" s="222">
        <f t="shared" si="170"/>
        <v>0</v>
      </c>
      <c r="L433" s="222">
        <f t="shared" si="170"/>
        <v>0</v>
      </c>
      <c r="M433" s="222">
        <f t="shared" si="170"/>
        <v>0</v>
      </c>
      <c r="N433" s="222">
        <f t="shared" si="170"/>
        <v>0</v>
      </c>
      <c r="O433" s="268"/>
      <c r="P433" s="268"/>
    </row>
    <row r="434" spans="1:16" hidden="1" x14ac:dyDescent="0.25">
      <c r="A434" s="241"/>
      <c r="B434" s="241"/>
      <c r="C434" s="4">
        <f t="shared" ref="C434:N434" si="171">C454</f>
        <v>136</v>
      </c>
      <c r="D434" s="4" t="str">
        <f t="shared" si="171"/>
        <v>07</v>
      </c>
      <c r="E434" s="4" t="str">
        <f t="shared" si="171"/>
        <v>02</v>
      </c>
      <c r="F434" s="4" t="str">
        <f t="shared" si="171"/>
        <v>07107R0273</v>
      </c>
      <c r="G434" s="12">
        <f t="shared" si="171"/>
        <v>244</v>
      </c>
      <c r="H434" s="222">
        <f t="shared" si="171"/>
        <v>0</v>
      </c>
      <c r="I434" s="222">
        <f t="shared" si="171"/>
        <v>0</v>
      </c>
      <c r="J434" s="222">
        <f t="shared" si="171"/>
        <v>0</v>
      </c>
      <c r="K434" s="222">
        <f t="shared" si="171"/>
        <v>0</v>
      </c>
      <c r="L434" s="222">
        <f t="shared" si="171"/>
        <v>0</v>
      </c>
      <c r="M434" s="222">
        <f t="shared" si="171"/>
        <v>0</v>
      </c>
      <c r="N434" s="222">
        <f t="shared" si="171"/>
        <v>0</v>
      </c>
      <c r="O434" s="268"/>
      <c r="P434" s="268"/>
    </row>
    <row r="435" spans="1:16" x14ac:dyDescent="0.25">
      <c r="A435" s="241"/>
      <c r="B435" s="241"/>
      <c r="C435" s="4">
        <v>136</v>
      </c>
      <c r="D435" s="4" t="str">
        <f>D456</f>
        <v>07</v>
      </c>
      <c r="E435" s="5" t="s">
        <v>232</v>
      </c>
      <c r="F435" s="5" t="s">
        <v>298</v>
      </c>
      <c r="G435" s="12">
        <v>523</v>
      </c>
      <c r="H435" s="9">
        <f t="shared" ref="H435:H441" si="172">H455</f>
        <v>998.2</v>
      </c>
      <c r="I435" s="9">
        <f t="shared" ref="I435:N440" si="173">I455</f>
        <v>0</v>
      </c>
      <c r="J435" s="9">
        <f t="shared" si="173"/>
        <v>0</v>
      </c>
      <c r="K435" s="9">
        <f t="shared" si="173"/>
        <v>314.28273999999999</v>
      </c>
      <c r="L435" s="9">
        <f t="shared" si="173"/>
        <v>683.91726000000006</v>
      </c>
      <c r="M435" s="9">
        <f t="shared" si="173"/>
        <v>0</v>
      </c>
      <c r="N435" s="9">
        <f t="shared" si="173"/>
        <v>0</v>
      </c>
      <c r="O435" s="268"/>
      <c r="P435" s="268"/>
    </row>
    <row r="436" spans="1:16" x14ac:dyDescent="0.25">
      <c r="A436" s="241"/>
      <c r="B436" s="241"/>
      <c r="C436" s="4">
        <v>136</v>
      </c>
      <c r="D436" s="5" t="s">
        <v>233</v>
      </c>
      <c r="E436" s="6" t="s">
        <v>234</v>
      </c>
      <c r="F436" s="5" t="s">
        <v>298</v>
      </c>
      <c r="G436" s="12">
        <v>523</v>
      </c>
      <c r="H436" s="9">
        <f t="shared" si="172"/>
        <v>902</v>
      </c>
      <c r="I436" s="9">
        <f t="shared" si="173"/>
        <v>0</v>
      </c>
      <c r="J436" s="9">
        <f t="shared" si="173"/>
        <v>0</v>
      </c>
      <c r="K436" s="9">
        <f t="shared" si="173"/>
        <v>150.68061</v>
      </c>
      <c r="L436" s="9">
        <f t="shared" si="173"/>
        <v>751.31939</v>
      </c>
      <c r="M436" s="9">
        <f t="shared" si="173"/>
        <v>0</v>
      </c>
      <c r="N436" s="9">
        <f t="shared" si="173"/>
        <v>0</v>
      </c>
      <c r="O436" s="268"/>
      <c r="P436" s="268"/>
    </row>
    <row r="437" spans="1:16" x14ac:dyDescent="0.25">
      <c r="A437" s="241"/>
      <c r="B437" s="241"/>
      <c r="C437" s="4">
        <f>C456</f>
        <v>136</v>
      </c>
      <c r="D437" s="4" t="str">
        <f>D456</f>
        <v>07</v>
      </c>
      <c r="E437" s="6" t="s">
        <v>238</v>
      </c>
      <c r="F437" s="4" t="str">
        <f>F456</f>
        <v>07107R0272</v>
      </c>
      <c r="G437" s="12">
        <f>G456</f>
        <v>523</v>
      </c>
      <c r="H437" s="9">
        <f t="shared" si="172"/>
        <v>286</v>
      </c>
      <c r="I437" s="9">
        <f t="shared" si="173"/>
        <v>0</v>
      </c>
      <c r="J437" s="9">
        <f t="shared" si="173"/>
        <v>0</v>
      </c>
      <c r="K437" s="9">
        <f t="shared" si="173"/>
        <v>286</v>
      </c>
      <c r="L437" s="9">
        <f t="shared" si="173"/>
        <v>0</v>
      </c>
      <c r="M437" s="9">
        <f t="shared" si="173"/>
        <v>0</v>
      </c>
      <c r="N437" s="9">
        <f t="shared" si="173"/>
        <v>0</v>
      </c>
      <c r="O437" s="268"/>
      <c r="P437" s="268"/>
    </row>
    <row r="438" spans="1:16" hidden="1" x14ac:dyDescent="0.25">
      <c r="A438" s="241"/>
      <c r="B438" s="241" t="s">
        <v>8</v>
      </c>
      <c r="C438" s="4">
        <f>C458</f>
        <v>136</v>
      </c>
      <c r="D438" s="4" t="str">
        <f>D458</f>
        <v>07</v>
      </c>
      <c r="E438" s="4" t="str">
        <f>E458</f>
        <v>02</v>
      </c>
      <c r="F438" s="4" t="str">
        <f>F458</f>
        <v>07107R0273</v>
      </c>
      <c r="G438" s="12">
        <f>G458</f>
        <v>244</v>
      </c>
      <c r="H438" s="9">
        <f t="shared" si="172"/>
        <v>0</v>
      </c>
      <c r="I438" s="9">
        <f t="shared" si="173"/>
        <v>0</v>
      </c>
      <c r="J438" s="9">
        <f t="shared" si="173"/>
        <v>0</v>
      </c>
      <c r="K438" s="9">
        <f t="shared" si="173"/>
        <v>0</v>
      </c>
      <c r="L438" s="9">
        <f t="shared" si="173"/>
        <v>0</v>
      </c>
      <c r="M438" s="9">
        <f t="shared" si="173"/>
        <v>0</v>
      </c>
      <c r="N438" s="9">
        <f t="shared" si="173"/>
        <v>0</v>
      </c>
      <c r="O438" s="268"/>
      <c r="P438" s="268"/>
    </row>
    <row r="439" spans="1:16" x14ac:dyDescent="0.25">
      <c r="A439" s="241"/>
      <c r="B439" s="241"/>
      <c r="C439" s="4">
        <v>136</v>
      </c>
      <c r="D439" s="5" t="s">
        <v>233</v>
      </c>
      <c r="E439" s="5" t="s">
        <v>232</v>
      </c>
      <c r="F439" s="5" t="s">
        <v>298</v>
      </c>
      <c r="G439" s="12">
        <v>523</v>
      </c>
      <c r="H439" s="9">
        <f t="shared" si="172"/>
        <v>3539</v>
      </c>
      <c r="I439" s="9">
        <f t="shared" si="173"/>
        <v>0</v>
      </c>
      <c r="J439" s="9">
        <f t="shared" si="173"/>
        <v>0</v>
      </c>
      <c r="K439" s="9">
        <f t="shared" si="173"/>
        <v>1114.25226</v>
      </c>
      <c r="L439" s="9">
        <f t="shared" si="173"/>
        <v>2424.7477399999998</v>
      </c>
      <c r="M439" s="9">
        <v>0</v>
      </c>
      <c r="N439" s="9">
        <v>0</v>
      </c>
      <c r="O439" s="268"/>
      <c r="P439" s="268"/>
    </row>
    <row r="440" spans="1:16" x14ac:dyDescent="0.25">
      <c r="A440" s="241"/>
      <c r="B440" s="241"/>
      <c r="C440" s="4">
        <f>C460</f>
        <v>136</v>
      </c>
      <c r="D440" s="4" t="str">
        <f>D460</f>
        <v>07</v>
      </c>
      <c r="E440" s="4" t="str">
        <f>E460</f>
        <v>02</v>
      </c>
      <c r="F440" s="4" t="str">
        <f>F460</f>
        <v>07107R0272</v>
      </c>
      <c r="G440" s="12">
        <f>G460</f>
        <v>523</v>
      </c>
      <c r="H440" s="9">
        <f t="shared" si="172"/>
        <v>3198</v>
      </c>
      <c r="I440" s="9">
        <f t="shared" ref="I440:K441" si="174">I460</f>
        <v>0</v>
      </c>
      <c r="J440" s="9">
        <f t="shared" si="174"/>
        <v>0</v>
      </c>
      <c r="K440" s="9">
        <f t="shared" si="174"/>
        <v>534.23125000000005</v>
      </c>
      <c r="L440" s="9">
        <f t="shared" si="173"/>
        <v>2663.7687500000002</v>
      </c>
      <c r="M440" s="9">
        <f>M460</f>
        <v>0</v>
      </c>
      <c r="N440" s="9">
        <f>N460</f>
        <v>0</v>
      </c>
      <c r="O440" s="268"/>
      <c r="P440" s="268"/>
    </row>
    <row r="441" spans="1:16" x14ac:dyDescent="0.25">
      <c r="A441" s="241"/>
      <c r="B441" s="241"/>
      <c r="C441" s="4">
        <v>136</v>
      </c>
      <c r="D441" s="5" t="s">
        <v>233</v>
      </c>
      <c r="E441" s="6" t="s">
        <v>238</v>
      </c>
      <c r="F441" s="5" t="s">
        <v>298</v>
      </c>
      <c r="G441" s="12">
        <v>523</v>
      </c>
      <c r="H441" s="9">
        <f t="shared" si="172"/>
        <v>1014</v>
      </c>
      <c r="I441" s="9">
        <f t="shared" si="174"/>
        <v>0</v>
      </c>
      <c r="J441" s="9">
        <f t="shared" si="174"/>
        <v>0</v>
      </c>
      <c r="K441" s="9">
        <f t="shared" si="174"/>
        <v>1014</v>
      </c>
      <c r="L441" s="9">
        <f>L461</f>
        <v>0</v>
      </c>
      <c r="M441" s="9">
        <f>M461</f>
        <v>0</v>
      </c>
      <c r="N441" s="9">
        <f>N461</f>
        <v>0</v>
      </c>
      <c r="O441" s="268"/>
      <c r="P441" s="268"/>
    </row>
    <row r="442" spans="1:16" x14ac:dyDescent="0.25">
      <c r="A442" s="241"/>
      <c r="B442" s="195" t="s">
        <v>9</v>
      </c>
      <c r="C442" s="4">
        <v>136</v>
      </c>
      <c r="D442" s="5"/>
      <c r="E442" s="5"/>
      <c r="F442" s="5"/>
      <c r="G442" s="12"/>
      <c r="H442" s="9">
        <f>H449+H462</f>
        <v>523.6</v>
      </c>
      <c r="I442" s="9">
        <f t="shared" ref="I442:N443" si="175">I449+I462</f>
        <v>0</v>
      </c>
      <c r="J442" s="9">
        <f t="shared" si="175"/>
        <v>0</v>
      </c>
      <c r="K442" s="9">
        <f t="shared" si="175"/>
        <v>170.67</v>
      </c>
      <c r="L442" s="9">
        <f t="shared" si="175"/>
        <v>352.93000000000006</v>
      </c>
      <c r="M442" s="9">
        <f t="shared" si="175"/>
        <v>0</v>
      </c>
      <c r="N442" s="9">
        <f t="shared" si="175"/>
        <v>0</v>
      </c>
      <c r="O442" s="268"/>
      <c r="P442" s="268"/>
    </row>
    <row r="443" spans="1:16" x14ac:dyDescent="0.25">
      <c r="A443" s="241"/>
      <c r="B443" s="195" t="s">
        <v>10</v>
      </c>
      <c r="C443" s="4"/>
      <c r="D443" s="5"/>
      <c r="E443" s="5"/>
      <c r="F443" s="5"/>
      <c r="G443" s="12"/>
      <c r="H443" s="8">
        <f>H450+H463</f>
        <v>0</v>
      </c>
      <c r="I443" s="9">
        <f t="shared" si="175"/>
        <v>0</v>
      </c>
      <c r="J443" s="9">
        <f t="shared" si="175"/>
        <v>0</v>
      </c>
      <c r="K443" s="9">
        <f t="shared" si="175"/>
        <v>0</v>
      </c>
      <c r="L443" s="9">
        <f t="shared" si="175"/>
        <v>0</v>
      </c>
      <c r="M443" s="9">
        <f t="shared" si="175"/>
        <v>0</v>
      </c>
      <c r="N443" s="9">
        <f t="shared" si="175"/>
        <v>0</v>
      </c>
      <c r="O443" s="268"/>
      <c r="P443" s="268"/>
    </row>
    <row r="444" spans="1:16" x14ac:dyDescent="0.25">
      <c r="A444" s="241" t="s">
        <v>521</v>
      </c>
      <c r="B444" s="195" t="s">
        <v>82</v>
      </c>
      <c r="C444" s="4"/>
      <c r="D444" s="5"/>
      <c r="E444" s="5"/>
      <c r="F444" s="5"/>
      <c r="G444" s="12"/>
      <c r="H444" s="9">
        <v>1</v>
      </c>
      <c r="I444" s="9">
        <v>0</v>
      </c>
      <c r="J444" s="9">
        <v>1</v>
      </c>
      <c r="K444" s="9">
        <v>0</v>
      </c>
      <c r="L444" s="9">
        <v>0</v>
      </c>
      <c r="M444" s="9">
        <v>1</v>
      </c>
      <c r="N444" s="9">
        <v>1</v>
      </c>
      <c r="O444" s="268" t="s">
        <v>158</v>
      </c>
      <c r="P444" s="242" t="s">
        <v>495</v>
      </c>
    </row>
    <row r="445" spans="1:16" ht="26.4" x14ac:dyDescent="0.25">
      <c r="A445" s="241"/>
      <c r="B445" s="195" t="s">
        <v>81</v>
      </c>
      <c r="C445" s="4"/>
      <c r="D445" s="5"/>
      <c r="E445" s="5"/>
      <c r="F445" s="5"/>
      <c r="G445" s="12"/>
      <c r="H445" s="9">
        <f t="shared" ref="H445:N445" si="176">ROUND(H446/H444,1)</f>
        <v>4700</v>
      </c>
      <c r="I445" s="9" t="s">
        <v>229</v>
      </c>
      <c r="J445" s="9" t="s">
        <v>229</v>
      </c>
      <c r="K445" s="9" t="s">
        <v>229</v>
      </c>
      <c r="L445" s="9" t="s">
        <v>229</v>
      </c>
      <c r="M445" s="9">
        <f t="shared" si="176"/>
        <v>5200</v>
      </c>
      <c r="N445" s="9">
        <f t="shared" si="176"/>
        <v>5200</v>
      </c>
      <c r="O445" s="268"/>
      <c r="P445" s="243"/>
    </row>
    <row r="446" spans="1:16" x14ac:dyDescent="0.25">
      <c r="A446" s="241"/>
      <c r="B446" s="195" t="s">
        <v>74</v>
      </c>
      <c r="C446" s="4"/>
      <c r="D446" s="5"/>
      <c r="E446" s="5"/>
      <c r="F446" s="5"/>
      <c r="G446" s="12"/>
      <c r="H446" s="9">
        <f t="shared" ref="H446:N446" si="177">SUM(H447:H450)</f>
        <v>4700</v>
      </c>
      <c r="I446" s="9">
        <f t="shared" si="177"/>
        <v>600</v>
      </c>
      <c r="J446" s="9">
        <f t="shared" si="177"/>
        <v>4100</v>
      </c>
      <c r="K446" s="9">
        <f t="shared" si="177"/>
        <v>0</v>
      </c>
      <c r="L446" s="9">
        <f t="shared" si="177"/>
        <v>0</v>
      </c>
      <c r="M446" s="9">
        <f t="shared" si="177"/>
        <v>5200</v>
      </c>
      <c r="N446" s="9">
        <f t="shared" si="177"/>
        <v>5200</v>
      </c>
      <c r="O446" s="268"/>
      <c r="P446" s="243"/>
    </row>
    <row r="447" spans="1:16" x14ac:dyDescent="0.25">
      <c r="A447" s="241"/>
      <c r="B447" s="195" t="s">
        <v>7</v>
      </c>
      <c r="C447" s="4">
        <v>136</v>
      </c>
      <c r="D447" s="5" t="s">
        <v>233</v>
      </c>
      <c r="E447" s="6" t="s">
        <v>234</v>
      </c>
      <c r="F447" s="5" t="s">
        <v>288</v>
      </c>
      <c r="G447" s="12">
        <v>612</v>
      </c>
      <c r="H447" s="9">
        <f>I447+J447+K447+L447</f>
        <v>4700</v>
      </c>
      <c r="I447" s="9">
        <v>600</v>
      </c>
      <c r="J447" s="9">
        <v>4100</v>
      </c>
      <c r="K447" s="9">
        <v>0</v>
      </c>
      <c r="L447" s="9">
        <v>0</v>
      </c>
      <c r="M447" s="9">
        <v>5200</v>
      </c>
      <c r="N447" s="9">
        <v>5200</v>
      </c>
      <c r="O447" s="268"/>
      <c r="P447" s="243"/>
    </row>
    <row r="448" spans="1:16" x14ac:dyDescent="0.25">
      <c r="A448" s="241"/>
      <c r="B448" s="195" t="s">
        <v>8</v>
      </c>
      <c r="C448" s="4"/>
      <c r="D448" s="5"/>
      <c r="E448" s="5"/>
      <c r="F448" s="5"/>
      <c r="G448" s="12"/>
      <c r="H448" s="9">
        <f>I448+J448+K448+L448</f>
        <v>0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v>0</v>
      </c>
      <c r="O448" s="268"/>
      <c r="P448" s="243"/>
    </row>
    <row r="449" spans="1:16" x14ac:dyDescent="0.25">
      <c r="A449" s="241"/>
      <c r="B449" s="195" t="s">
        <v>9</v>
      </c>
      <c r="C449" s="4"/>
      <c r="D449" s="5"/>
      <c r="E449" s="5"/>
      <c r="F449" s="5"/>
      <c r="G449" s="12"/>
      <c r="H449" s="9">
        <f>I449+J449+K449+L449</f>
        <v>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0</v>
      </c>
      <c r="O449" s="268"/>
      <c r="P449" s="243"/>
    </row>
    <row r="450" spans="1:16" ht="30.75" customHeight="1" x14ac:dyDescent="0.25">
      <c r="A450" s="241"/>
      <c r="B450" s="193" t="s">
        <v>10</v>
      </c>
      <c r="C450" s="4"/>
      <c r="D450" s="5"/>
      <c r="E450" s="5"/>
      <c r="F450" s="5"/>
      <c r="G450" s="12"/>
      <c r="H450" s="9">
        <f>I450+J450+K450+L450</f>
        <v>0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v>0</v>
      </c>
      <c r="O450" s="268"/>
      <c r="P450" s="244"/>
    </row>
    <row r="451" spans="1:16" x14ac:dyDescent="0.25">
      <c r="A451" s="241" t="s">
        <v>522</v>
      </c>
      <c r="B451" s="195" t="s">
        <v>102</v>
      </c>
      <c r="C451" s="4"/>
      <c r="D451" s="5"/>
      <c r="E451" s="5"/>
      <c r="F451" s="5"/>
      <c r="G451" s="12"/>
      <c r="H451" s="9">
        <v>8</v>
      </c>
      <c r="I451" s="9">
        <v>0</v>
      </c>
      <c r="J451" s="9">
        <v>0</v>
      </c>
      <c r="K451" s="9">
        <v>0</v>
      </c>
      <c r="L451" s="9">
        <v>8</v>
      </c>
      <c r="M451" s="9">
        <v>0</v>
      </c>
      <c r="N451" s="9">
        <v>0</v>
      </c>
      <c r="O451" s="268" t="s">
        <v>361</v>
      </c>
      <c r="P451" s="242" t="s">
        <v>610</v>
      </c>
    </row>
    <row r="452" spans="1:16" ht="26.4" x14ac:dyDescent="0.25">
      <c r="A452" s="241"/>
      <c r="B452" s="195" t="s">
        <v>85</v>
      </c>
      <c r="C452" s="4"/>
      <c r="D452" s="5"/>
      <c r="E452" s="5"/>
      <c r="F452" s="5"/>
      <c r="G452" s="12"/>
      <c r="H452" s="9">
        <f>ROUND(H453/H451,1)</f>
        <v>1307.5999999999999</v>
      </c>
      <c r="I452" s="9" t="s">
        <v>229</v>
      </c>
      <c r="J452" s="9" t="s">
        <v>229</v>
      </c>
      <c r="K452" s="9" t="s">
        <v>229</v>
      </c>
      <c r="L452" s="9" t="s">
        <v>229</v>
      </c>
      <c r="M452" s="9">
        <v>0</v>
      </c>
      <c r="N452" s="9">
        <v>0</v>
      </c>
      <c r="O452" s="268"/>
      <c r="P452" s="295"/>
    </row>
    <row r="453" spans="1:16" x14ac:dyDescent="0.25">
      <c r="A453" s="241"/>
      <c r="B453" s="195" t="s">
        <v>77</v>
      </c>
      <c r="C453" s="4"/>
      <c r="D453" s="5"/>
      <c r="E453" s="5"/>
      <c r="F453" s="5"/>
      <c r="G453" s="12"/>
      <c r="H453" s="8">
        <f>H454+H456+H458+H460+H462+H457+H461+H455+H459</f>
        <v>10460.799999999999</v>
      </c>
      <c r="I453" s="9">
        <f t="shared" ref="I453:N453" si="178">I454+I456+I458+I460+I462+I457+I461+I455+I459</f>
        <v>0</v>
      </c>
      <c r="J453" s="9">
        <f t="shared" si="178"/>
        <v>0</v>
      </c>
      <c r="K453" s="9">
        <f t="shared" si="178"/>
        <v>3584.1168600000001</v>
      </c>
      <c r="L453" s="9">
        <f t="shared" si="178"/>
        <v>6876.6831400000001</v>
      </c>
      <c r="M453" s="9">
        <f t="shared" si="178"/>
        <v>0</v>
      </c>
      <c r="N453" s="9">
        <f t="shared" si="178"/>
        <v>0</v>
      </c>
      <c r="O453" s="268"/>
      <c r="P453" s="295"/>
    </row>
    <row r="454" spans="1:16" hidden="1" x14ac:dyDescent="0.25">
      <c r="A454" s="241"/>
      <c r="B454" s="238" t="s">
        <v>16</v>
      </c>
      <c r="C454" s="4">
        <v>136</v>
      </c>
      <c r="D454" s="5" t="s">
        <v>233</v>
      </c>
      <c r="E454" s="6" t="s">
        <v>234</v>
      </c>
      <c r="F454" s="5" t="s">
        <v>262</v>
      </c>
      <c r="G454" s="12">
        <v>244</v>
      </c>
      <c r="H454" s="9">
        <f t="shared" ref="H454:H463" si="179">I454+J454+K454+L454</f>
        <v>0</v>
      </c>
      <c r="I454" s="9">
        <v>0</v>
      </c>
      <c r="J454" s="9">
        <v>0</v>
      </c>
      <c r="K454" s="9">
        <v>0</v>
      </c>
      <c r="L454" s="9">
        <v>0</v>
      </c>
      <c r="M454" s="222">
        <v>0</v>
      </c>
      <c r="N454" s="222">
        <v>0</v>
      </c>
      <c r="O454" s="268"/>
      <c r="P454" s="295"/>
    </row>
    <row r="455" spans="1:16" x14ac:dyDescent="0.25">
      <c r="A455" s="241"/>
      <c r="B455" s="239"/>
      <c r="C455" s="4">
        <v>136</v>
      </c>
      <c r="D455" s="5" t="s">
        <v>233</v>
      </c>
      <c r="E455" s="5" t="s">
        <v>232</v>
      </c>
      <c r="F455" s="5" t="s">
        <v>298</v>
      </c>
      <c r="G455" s="12">
        <v>523</v>
      </c>
      <c r="H455" s="9">
        <f t="shared" si="179"/>
        <v>998.2</v>
      </c>
      <c r="I455" s="9">
        <v>0</v>
      </c>
      <c r="J455" s="9">
        <v>0</v>
      </c>
      <c r="K455" s="9">
        <v>314.28273999999999</v>
      </c>
      <c r="L455" s="9">
        <v>683.91726000000006</v>
      </c>
      <c r="M455" s="9">
        <v>0</v>
      </c>
      <c r="N455" s="9">
        <v>0</v>
      </c>
      <c r="O455" s="268"/>
      <c r="P455" s="295"/>
    </row>
    <row r="456" spans="1:16" x14ac:dyDescent="0.25">
      <c r="A456" s="241"/>
      <c r="B456" s="239"/>
      <c r="C456" s="4">
        <v>136</v>
      </c>
      <c r="D456" s="5" t="s">
        <v>233</v>
      </c>
      <c r="E456" s="6" t="s">
        <v>234</v>
      </c>
      <c r="F456" s="5" t="s">
        <v>298</v>
      </c>
      <c r="G456" s="12">
        <v>523</v>
      </c>
      <c r="H456" s="9">
        <f t="shared" si="179"/>
        <v>902</v>
      </c>
      <c r="I456" s="9">
        <v>0</v>
      </c>
      <c r="J456" s="9">
        <v>0</v>
      </c>
      <c r="K456" s="9">
        <v>150.68061</v>
      </c>
      <c r="L456" s="9">
        <v>751.31939</v>
      </c>
      <c r="M456" s="9">
        <v>0</v>
      </c>
      <c r="N456" s="9">
        <v>0</v>
      </c>
      <c r="O456" s="268"/>
      <c r="P456" s="295"/>
    </row>
    <row r="457" spans="1:16" x14ac:dyDescent="0.25">
      <c r="A457" s="241"/>
      <c r="B457" s="240"/>
      <c r="C457" s="4">
        <v>136</v>
      </c>
      <c r="D457" s="5" t="s">
        <v>233</v>
      </c>
      <c r="E457" s="6" t="s">
        <v>238</v>
      </c>
      <c r="F457" s="5" t="s">
        <v>298</v>
      </c>
      <c r="G457" s="12">
        <v>523</v>
      </c>
      <c r="H457" s="9">
        <f t="shared" si="179"/>
        <v>286</v>
      </c>
      <c r="I457" s="9">
        <v>0</v>
      </c>
      <c r="J457" s="9">
        <v>0</v>
      </c>
      <c r="K457" s="9">
        <v>286</v>
      </c>
      <c r="L457" s="9">
        <v>0</v>
      </c>
      <c r="M457" s="9">
        <v>0</v>
      </c>
      <c r="N457" s="9">
        <v>0</v>
      </c>
      <c r="O457" s="268"/>
      <c r="P457" s="295"/>
    </row>
    <row r="458" spans="1:16" hidden="1" x14ac:dyDescent="0.25">
      <c r="A458" s="241"/>
      <c r="B458" s="238" t="s">
        <v>14</v>
      </c>
      <c r="C458" s="4">
        <v>136</v>
      </c>
      <c r="D458" s="5" t="s">
        <v>233</v>
      </c>
      <c r="E458" s="6" t="s">
        <v>234</v>
      </c>
      <c r="F458" s="5" t="s">
        <v>262</v>
      </c>
      <c r="G458" s="12">
        <v>244</v>
      </c>
      <c r="H458" s="222">
        <f t="shared" si="179"/>
        <v>0</v>
      </c>
      <c r="I458" s="222">
        <v>0</v>
      </c>
      <c r="J458" s="222">
        <v>0</v>
      </c>
      <c r="K458" s="222">
        <v>0</v>
      </c>
      <c r="L458" s="222"/>
      <c r="M458" s="9">
        <v>0</v>
      </c>
      <c r="N458" s="9">
        <v>0</v>
      </c>
      <c r="O458" s="268"/>
      <c r="P458" s="295"/>
    </row>
    <row r="459" spans="1:16" x14ac:dyDescent="0.25">
      <c r="A459" s="241"/>
      <c r="B459" s="239"/>
      <c r="C459" s="4">
        <v>136</v>
      </c>
      <c r="D459" s="5" t="s">
        <v>233</v>
      </c>
      <c r="E459" s="5" t="s">
        <v>232</v>
      </c>
      <c r="F459" s="5" t="s">
        <v>298</v>
      </c>
      <c r="G459" s="12">
        <v>523</v>
      </c>
      <c r="H459" s="9">
        <f t="shared" si="179"/>
        <v>3539</v>
      </c>
      <c r="I459" s="9">
        <v>0</v>
      </c>
      <c r="J459" s="9">
        <v>0</v>
      </c>
      <c r="K459" s="9">
        <v>1114.25226</v>
      </c>
      <c r="L459" s="9">
        <v>2424.7477399999998</v>
      </c>
      <c r="M459" s="9">
        <v>0</v>
      </c>
      <c r="N459" s="9">
        <v>0</v>
      </c>
      <c r="O459" s="268"/>
      <c r="P459" s="295"/>
    </row>
    <row r="460" spans="1:16" x14ac:dyDescent="0.25">
      <c r="A460" s="241"/>
      <c r="B460" s="239"/>
      <c r="C460" s="4">
        <v>136</v>
      </c>
      <c r="D460" s="5" t="s">
        <v>233</v>
      </c>
      <c r="E460" s="6" t="s">
        <v>234</v>
      </c>
      <c r="F460" s="5" t="s">
        <v>298</v>
      </c>
      <c r="G460" s="12">
        <v>523</v>
      </c>
      <c r="H460" s="9">
        <f t="shared" si="179"/>
        <v>3198</v>
      </c>
      <c r="I460" s="9">
        <v>0</v>
      </c>
      <c r="J460" s="9">
        <v>0</v>
      </c>
      <c r="K460" s="9">
        <v>534.23125000000005</v>
      </c>
      <c r="L460" s="9">
        <v>2663.7687500000002</v>
      </c>
      <c r="M460" s="9">
        <v>0</v>
      </c>
      <c r="N460" s="9">
        <v>0</v>
      </c>
      <c r="O460" s="268"/>
      <c r="P460" s="295"/>
    </row>
    <row r="461" spans="1:16" x14ac:dyDescent="0.25">
      <c r="A461" s="241"/>
      <c r="B461" s="240"/>
      <c r="C461" s="4">
        <v>136</v>
      </c>
      <c r="D461" s="5" t="s">
        <v>233</v>
      </c>
      <c r="E461" s="6" t="s">
        <v>238</v>
      </c>
      <c r="F461" s="5" t="s">
        <v>298</v>
      </c>
      <c r="G461" s="12">
        <v>523</v>
      </c>
      <c r="H461" s="9">
        <f t="shared" si="179"/>
        <v>1014</v>
      </c>
      <c r="I461" s="9">
        <v>0</v>
      </c>
      <c r="J461" s="9">
        <v>0</v>
      </c>
      <c r="K461" s="9">
        <v>1014</v>
      </c>
      <c r="L461" s="9">
        <v>0</v>
      </c>
      <c r="M461" s="9">
        <v>0</v>
      </c>
      <c r="N461" s="9">
        <v>0</v>
      </c>
      <c r="O461" s="268"/>
      <c r="P461" s="295"/>
    </row>
    <row r="462" spans="1:16" x14ac:dyDescent="0.25">
      <c r="A462" s="241"/>
      <c r="B462" s="195" t="s">
        <v>15</v>
      </c>
      <c r="C462" s="4">
        <v>136</v>
      </c>
      <c r="D462" s="5"/>
      <c r="E462" s="5"/>
      <c r="F462" s="5"/>
      <c r="G462" s="12"/>
      <c r="H462" s="9">
        <f t="shared" si="179"/>
        <v>523.6</v>
      </c>
      <c r="I462" s="9">
        <v>0</v>
      </c>
      <c r="J462" s="9">
        <v>0</v>
      </c>
      <c r="K462" s="9">
        <v>170.67</v>
      </c>
      <c r="L462" s="9">
        <f>523.6-K462</f>
        <v>352.93000000000006</v>
      </c>
      <c r="M462" s="9">
        <v>0</v>
      </c>
      <c r="N462" s="9">
        <v>0</v>
      </c>
      <c r="O462" s="268"/>
      <c r="P462" s="295"/>
    </row>
    <row r="463" spans="1:16" ht="32.25" customHeight="1" x14ac:dyDescent="0.25">
      <c r="A463" s="241"/>
      <c r="B463" s="195" t="s">
        <v>12</v>
      </c>
      <c r="C463" s="4"/>
      <c r="D463" s="5"/>
      <c r="E463" s="5"/>
      <c r="F463" s="5"/>
      <c r="G463" s="12"/>
      <c r="H463" s="9">
        <f t="shared" si="179"/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268"/>
      <c r="P463" s="296"/>
    </row>
    <row r="464" spans="1:16" s="125" customFormat="1" hidden="1" outlineLevel="1" x14ac:dyDescent="0.25">
      <c r="A464" s="293" t="s">
        <v>302</v>
      </c>
      <c r="B464" s="159" t="s">
        <v>103</v>
      </c>
      <c r="C464" s="150"/>
      <c r="D464" s="151"/>
      <c r="E464" s="151"/>
      <c r="F464" s="151"/>
      <c r="G464" s="207"/>
      <c r="H464" s="9">
        <v>0</v>
      </c>
      <c r="I464" s="9">
        <v>0</v>
      </c>
      <c r="J464" s="9">
        <v>0</v>
      </c>
      <c r="K464" s="9">
        <v>0</v>
      </c>
      <c r="L464" s="9">
        <v>0</v>
      </c>
      <c r="M464" s="9">
        <v>0</v>
      </c>
      <c r="N464" s="9">
        <v>0</v>
      </c>
      <c r="O464" s="298" t="s">
        <v>217</v>
      </c>
      <c r="P464" s="298" t="s">
        <v>303</v>
      </c>
    </row>
    <row r="465" spans="1:16" s="125" customFormat="1" ht="26.4" hidden="1" outlineLevel="1" x14ac:dyDescent="0.25">
      <c r="A465" s="297"/>
      <c r="B465" s="159" t="s">
        <v>97</v>
      </c>
      <c r="C465" s="150"/>
      <c r="D465" s="151"/>
      <c r="E465" s="151"/>
      <c r="F465" s="151"/>
      <c r="G465" s="207"/>
      <c r="H465" s="9" t="e">
        <f>ROUND(H466/H464,1)</f>
        <v>#DIV/0!</v>
      </c>
      <c r="I465" s="9" t="s">
        <v>229</v>
      </c>
      <c r="J465" s="9" t="s">
        <v>229</v>
      </c>
      <c r="K465" s="9" t="s">
        <v>229</v>
      </c>
      <c r="L465" s="9" t="s">
        <v>229</v>
      </c>
      <c r="M465" s="9">
        <v>0</v>
      </c>
      <c r="N465" s="9">
        <v>0</v>
      </c>
      <c r="O465" s="299"/>
      <c r="P465" s="299"/>
    </row>
    <row r="466" spans="1:16" s="125" customFormat="1" hidden="1" outlineLevel="1" x14ac:dyDescent="0.25">
      <c r="A466" s="297"/>
      <c r="B466" s="159" t="s">
        <v>74</v>
      </c>
      <c r="C466" s="150"/>
      <c r="D466" s="151"/>
      <c r="E466" s="151"/>
      <c r="F466" s="151"/>
      <c r="G466" s="207"/>
      <c r="H466" s="9">
        <f>SUM(H467:H470)</f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299"/>
      <c r="P466" s="299"/>
    </row>
    <row r="467" spans="1:16" s="125" customFormat="1" hidden="1" outlineLevel="1" x14ac:dyDescent="0.25">
      <c r="A467" s="297"/>
      <c r="B467" s="199" t="s">
        <v>16</v>
      </c>
      <c r="C467" s="223">
        <v>136</v>
      </c>
      <c r="D467" s="224" t="s">
        <v>237</v>
      </c>
      <c r="E467" s="225" t="s">
        <v>238</v>
      </c>
      <c r="F467" s="151" t="s">
        <v>288</v>
      </c>
      <c r="G467" s="207">
        <v>313</v>
      </c>
      <c r="H467" s="9">
        <f>I467+J467+K467+L467</f>
        <v>0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299"/>
      <c r="P467" s="299"/>
    </row>
    <row r="468" spans="1:16" s="125" customFormat="1" hidden="1" outlineLevel="1" x14ac:dyDescent="0.25">
      <c r="A468" s="297"/>
      <c r="B468" s="159" t="s">
        <v>14</v>
      </c>
      <c r="C468" s="150"/>
      <c r="D468" s="151"/>
      <c r="E468" s="151"/>
      <c r="F468" s="151"/>
      <c r="G468" s="207"/>
      <c r="H468" s="9">
        <f>SUM(I468:L468)</f>
        <v>0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299"/>
      <c r="P468" s="299"/>
    </row>
    <row r="469" spans="1:16" s="125" customFormat="1" hidden="1" outlineLevel="1" x14ac:dyDescent="0.25">
      <c r="A469" s="297"/>
      <c r="B469" s="159" t="s">
        <v>15</v>
      </c>
      <c r="C469" s="150"/>
      <c r="D469" s="151"/>
      <c r="E469" s="151"/>
      <c r="F469" s="151"/>
      <c r="G469" s="207"/>
      <c r="H469" s="9">
        <f>SUM(I469:L469)</f>
        <v>0</v>
      </c>
      <c r="I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v>0</v>
      </c>
      <c r="O469" s="299"/>
      <c r="P469" s="299"/>
    </row>
    <row r="470" spans="1:16" s="125" customFormat="1" hidden="1" outlineLevel="1" x14ac:dyDescent="0.25">
      <c r="A470" s="294"/>
      <c r="B470" s="159" t="s">
        <v>12</v>
      </c>
      <c r="C470" s="150"/>
      <c r="D470" s="151"/>
      <c r="E470" s="151"/>
      <c r="F470" s="151"/>
      <c r="G470" s="207"/>
      <c r="H470" s="9">
        <f>SUM(I470:L470)</f>
        <v>0</v>
      </c>
      <c r="I470" s="9">
        <v>0</v>
      </c>
      <c r="J470" s="9">
        <v>0</v>
      </c>
      <c r="K470" s="9">
        <v>0</v>
      </c>
      <c r="L470" s="9">
        <v>0</v>
      </c>
      <c r="M470" s="9">
        <v>0</v>
      </c>
      <c r="N470" s="9">
        <v>0</v>
      </c>
      <c r="O470" s="300"/>
      <c r="P470" s="300"/>
    </row>
    <row r="471" spans="1:16" s="125" customFormat="1" hidden="1" outlineLevel="1" x14ac:dyDescent="0.25">
      <c r="A471" s="291" t="s">
        <v>157</v>
      </c>
      <c r="B471" s="159" t="s">
        <v>103</v>
      </c>
      <c r="C471" s="150"/>
      <c r="D471" s="151"/>
      <c r="E471" s="151"/>
      <c r="F471" s="151"/>
      <c r="G471" s="207"/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292" t="s">
        <v>362</v>
      </c>
      <c r="P471" s="292" t="s">
        <v>334</v>
      </c>
    </row>
    <row r="472" spans="1:16" s="125" customFormat="1" ht="26.4" hidden="1" outlineLevel="1" x14ac:dyDescent="0.25">
      <c r="A472" s="291"/>
      <c r="B472" s="159" t="s">
        <v>97</v>
      </c>
      <c r="C472" s="150"/>
      <c r="D472" s="151"/>
      <c r="E472" s="151"/>
      <c r="F472" s="151"/>
      <c r="G472" s="207"/>
      <c r="H472" s="9">
        <v>0</v>
      </c>
      <c r="I472" s="9" t="s">
        <v>229</v>
      </c>
      <c r="J472" s="9" t="s">
        <v>229</v>
      </c>
      <c r="K472" s="9" t="s">
        <v>229</v>
      </c>
      <c r="L472" s="9" t="s">
        <v>229</v>
      </c>
      <c r="M472" s="9">
        <v>0</v>
      </c>
      <c r="N472" s="9">
        <v>0</v>
      </c>
      <c r="O472" s="292"/>
      <c r="P472" s="292"/>
    </row>
    <row r="473" spans="1:16" s="125" customFormat="1" hidden="1" outlineLevel="1" x14ac:dyDescent="0.25">
      <c r="A473" s="291"/>
      <c r="B473" s="159" t="s">
        <v>74</v>
      </c>
      <c r="C473" s="150"/>
      <c r="D473" s="151"/>
      <c r="E473" s="151"/>
      <c r="F473" s="151"/>
      <c r="G473" s="207"/>
      <c r="H473" s="9">
        <f>SUM(H474:H477)</f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292"/>
      <c r="P473" s="292"/>
    </row>
    <row r="474" spans="1:16" s="125" customFormat="1" hidden="1" outlineLevel="1" x14ac:dyDescent="0.25">
      <c r="A474" s="291"/>
      <c r="B474" s="293" t="s">
        <v>16</v>
      </c>
      <c r="C474" s="150"/>
      <c r="D474" s="151"/>
      <c r="E474" s="158"/>
      <c r="F474" s="150"/>
      <c r="G474" s="207"/>
      <c r="H474" s="9">
        <f>I474+J474+K474+L474</f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292"/>
      <c r="P474" s="292"/>
    </row>
    <row r="475" spans="1:16" s="125" customFormat="1" hidden="1" outlineLevel="1" x14ac:dyDescent="0.25">
      <c r="A475" s="291"/>
      <c r="B475" s="294"/>
      <c r="C475" s="150"/>
      <c r="D475" s="151"/>
      <c r="E475" s="158"/>
      <c r="F475" s="150"/>
      <c r="G475" s="207"/>
      <c r="H475" s="9">
        <f>SUM(I475:L475)</f>
        <v>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292"/>
      <c r="P475" s="292"/>
    </row>
    <row r="476" spans="1:16" s="125" customFormat="1" hidden="1" outlineLevel="1" x14ac:dyDescent="0.25">
      <c r="A476" s="291"/>
      <c r="B476" s="159" t="s">
        <v>14</v>
      </c>
      <c r="C476" s="150"/>
      <c r="D476" s="151"/>
      <c r="E476" s="151"/>
      <c r="F476" s="151"/>
      <c r="G476" s="207"/>
      <c r="H476" s="9">
        <f>SUM(I476:L476)</f>
        <v>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0</v>
      </c>
      <c r="O476" s="292"/>
      <c r="P476" s="292"/>
    </row>
    <row r="477" spans="1:16" s="125" customFormat="1" hidden="1" outlineLevel="1" x14ac:dyDescent="0.25">
      <c r="A477" s="291"/>
      <c r="B477" s="159" t="s">
        <v>15</v>
      </c>
      <c r="C477" s="150"/>
      <c r="D477" s="151"/>
      <c r="E477" s="151"/>
      <c r="F477" s="151"/>
      <c r="G477" s="207"/>
      <c r="H477" s="9">
        <f>SUM(I477:L477)</f>
        <v>0</v>
      </c>
      <c r="I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292"/>
      <c r="P477" s="292"/>
    </row>
    <row r="478" spans="1:16" s="125" customFormat="1" hidden="1" outlineLevel="1" x14ac:dyDescent="0.25">
      <c r="A478" s="291"/>
      <c r="B478" s="159" t="s">
        <v>12</v>
      </c>
      <c r="C478" s="150"/>
      <c r="D478" s="151"/>
      <c r="E478" s="151"/>
      <c r="F478" s="151"/>
      <c r="G478" s="207"/>
      <c r="H478" s="9">
        <f>SUM(I478:L478)</f>
        <v>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0</v>
      </c>
      <c r="O478" s="292"/>
      <c r="P478" s="292"/>
    </row>
    <row r="479" spans="1:16" collapsed="1" x14ac:dyDescent="0.25">
      <c r="A479" s="241" t="s">
        <v>523</v>
      </c>
      <c r="B479" s="195" t="s">
        <v>206</v>
      </c>
      <c r="C479" s="4"/>
      <c r="D479" s="5"/>
      <c r="E479" s="5"/>
      <c r="F479" s="5"/>
      <c r="G479" s="12"/>
      <c r="H479" s="9">
        <v>22</v>
      </c>
      <c r="I479" s="9">
        <v>0</v>
      </c>
      <c r="J479" s="9">
        <v>0</v>
      </c>
      <c r="K479" s="9">
        <v>0</v>
      </c>
      <c r="L479" s="9">
        <v>22</v>
      </c>
      <c r="M479" s="9">
        <v>0</v>
      </c>
      <c r="N479" s="9">
        <v>0</v>
      </c>
      <c r="O479" s="268" t="s">
        <v>363</v>
      </c>
      <c r="P479" s="268" t="s">
        <v>332</v>
      </c>
    </row>
    <row r="480" spans="1:16" ht="26.4" x14ac:dyDescent="0.25">
      <c r="A480" s="241"/>
      <c r="B480" s="195" t="s">
        <v>88</v>
      </c>
      <c r="C480" s="4"/>
      <c r="D480" s="5"/>
      <c r="E480" s="5"/>
      <c r="F480" s="5"/>
      <c r="G480" s="12"/>
      <c r="H480" s="8">
        <f>ROUND(H481/H479,1)</f>
        <v>632.20000000000005</v>
      </c>
      <c r="I480" s="9" t="s">
        <v>229</v>
      </c>
      <c r="J480" s="9" t="s">
        <v>229</v>
      </c>
      <c r="K480" s="9" t="s">
        <v>229</v>
      </c>
      <c r="L480" s="9" t="s">
        <v>229</v>
      </c>
      <c r="M480" s="9">
        <v>0</v>
      </c>
      <c r="N480" s="9">
        <v>0</v>
      </c>
      <c r="O480" s="268"/>
      <c r="P480" s="268"/>
    </row>
    <row r="481" spans="1:16" x14ac:dyDescent="0.25">
      <c r="A481" s="241"/>
      <c r="B481" s="195" t="s">
        <v>74</v>
      </c>
      <c r="C481" s="4"/>
      <c r="D481" s="5"/>
      <c r="E481" s="5"/>
      <c r="F481" s="5"/>
      <c r="G481" s="12"/>
      <c r="H481" s="8">
        <f>SUM(H482:H491)</f>
        <v>13907.8</v>
      </c>
      <c r="I481" s="9">
        <f t="shared" ref="I481:N481" si="180">SUM(I482:I491)</f>
        <v>0</v>
      </c>
      <c r="J481" s="9">
        <f t="shared" si="180"/>
        <v>3280</v>
      </c>
      <c r="K481" s="9">
        <f t="shared" si="180"/>
        <v>2815.5</v>
      </c>
      <c r="L481" s="9">
        <f t="shared" si="180"/>
        <v>7812.2999999999993</v>
      </c>
      <c r="M481" s="9">
        <f t="shared" si="180"/>
        <v>0</v>
      </c>
      <c r="N481" s="9">
        <f t="shared" si="180"/>
        <v>0</v>
      </c>
      <c r="O481" s="268"/>
      <c r="P481" s="268"/>
    </row>
    <row r="482" spans="1:16" x14ac:dyDescent="0.25">
      <c r="A482" s="241"/>
      <c r="B482" s="238" t="s">
        <v>16</v>
      </c>
      <c r="C482" s="4">
        <f t="shared" ref="C482:G484" si="181">C495</f>
        <v>136</v>
      </c>
      <c r="D482" s="4" t="str">
        <f t="shared" si="181"/>
        <v>07</v>
      </c>
      <c r="E482" s="4" t="str">
        <f t="shared" si="181"/>
        <v>09</v>
      </c>
      <c r="F482" s="4" t="str">
        <f t="shared" si="181"/>
        <v>07108R5381</v>
      </c>
      <c r="G482" s="12">
        <f t="shared" si="181"/>
        <v>244</v>
      </c>
      <c r="H482" s="9">
        <f t="shared" ref="H482:N482" si="182">H495+H506+H517+H528+H539</f>
        <v>1035.0999999999999</v>
      </c>
      <c r="I482" s="9">
        <f t="shared" si="182"/>
        <v>0</v>
      </c>
      <c r="J482" s="9">
        <f t="shared" si="182"/>
        <v>557.70000000000005</v>
      </c>
      <c r="K482" s="9">
        <f t="shared" si="182"/>
        <v>264</v>
      </c>
      <c r="L482" s="9">
        <f t="shared" si="182"/>
        <v>213.4</v>
      </c>
      <c r="M482" s="9">
        <f t="shared" si="182"/>
        <v>0</v>
      </c>
      <c r="N482" s="9">
        <f t="shared" si="182"/>
        <v>0</v>
      </c>
      <c r="O482" s="268"/>
      <c r="P482" s="268"/>
    </row>
    <row r="483" spans="1:16" x14ac:dyDescent="0.25">
      <c r="A483" s="241"/>
      <c r="B483" s="239"/>
      <c r="C483" s="4">
        <f t="shared" si="181"/>
        <v>136</v>
      </c>
      <c r="D483" s="4" t="str">
        <f t="shared" si="181"/>
        <v>07</v>
      </c>
      <c r="E483" s="4" t="str">
        <f t="shared" si="181"/>
        <v>09</v>
      </c>
      <c r="F483" s="4" t="str">
        <f t="shared" si="181"/>
        <v>07108R5381</v>
      </c>
      <c r="G483" s="12">
        <f t="shared" si="181"/>
        <v>612</v>
      </c>
      <c r="H483" s="9">
        <f t="shared" ref="H483:N483" si="183">H496+H507+H518+H529+H540+H551</f>
        <v>1116.4000000000001</v>
      </c>
      <c r="I483" s="9">
        <f t="shared" si="183"/>
        <v>0</v>
      </c>
      <c r="J483" s="9">
        <f t="shared" si="183"/>
        <v>44</v>
      </c>
      <c r="K483" s="9">
        <f t="shared" si="183"/>
        <v>79.2</v>
      </c>
      <c r="L483" s="9">
        <f t="shared" si="183"/>
        <v>993.19999999999993</v>
      </c>
      <c r="M483" s="9">
        <f t="shared" si="183"/>
        <v>0</v>
      </c>
      <c r="N483" s="9">
        <f t="shared" si="183"/>
        <v>0</v>
      </c>
      <c r="O483" s="268"/>
      <c r="P483" s="268"/>
    </row>
    <row r="484" spans="1:16" x14ac:dyDescent="0.25">
      <c r="A484" s="241"/>
      <c r="B484" s="239"/>
      <c r="C484" s="4">
        <f t="shared" si="181"/>
        <v>136</v>
      </c>
      <c r="D484" s="4" t="str">
        <f t="shared" si="181"/>
        <v>07</v>
      </c>
      <c r="E484" s="4" t="str">
        <f t="shared" si="181"/>
        <v>09</v>
      </c>
      <c r="F484" s="4" t="str">
        <f t="shared" si="181"/>
        <v>07108R5381</v>
      </c>
      <c r="G484" s="12">
        <f t="shared" si="181"/>
        <v>622</v>
      </c>
      <c r="H484" s="9">
        <f t="shared" ref="H484:N484" si="184">H497+H508+H519+H530+H541+H552</f>
        <v>315.89999999999998</v>
      </c>
      <c r="I484" s="9">
        <f t="shared" si="184"/>
        <v>0</v>
      </c>
      <c r="J484" s="9">
        <f t="shared" si="184"/>
        <v>119.9</v>
      </c>
      <c r="K484" s="9">
        <f t="shared" si="184"/>
        <v>26.4</v>
      </c>
      <c r="L484" s="9">
        <f t="shared" si="184"/>
        <v>169.6</v>
      </c>
      <c r="M484" s="9">
        <f t="shared" si="184"/>
        <v>0</v>
      </c>
      <c r="N484" s="9">
        <f t="shared" si="184"/>
        <v>0</v>
      </c>
      <c r="O484" s="268"/>
      <c r="P484" s="268"/>
    </row>
    <row r="485" spans="1:16" x14ac:dyDescent="0.25">
      <c r="A485" s="241"/>
      <c r="B485" s="240"/>
      <c r="C485" s="4">
        <f>C498</f>
        <v>136</v>
      </c>
      <c r="D485" s="4" t="str">
        <f>D498</f>
        <v>07</v>
      </c>
      <c r="E485" s="5" t="s">
        <v>234</v>
      </c>
      <c r="F485" s="4" t="str">
        <f>F550</f>
        <v>07108R5382</v>
      </c>
      <c r="G485" s="12">
        <f>G550</f>
        <v>523</v>
      </c>
      <c r="H485" s="9">
        <f>H550</f>
        <v>592.29999999999995</v>
      </c>
      <c r="I485" s="9">
        <f t="shared" ref="I485:N485" si="185">I550</f>
        <v>0</v>
      </c>
      <c r="J485" s="9">
        <f t="shared" si="185"/>
        <v>0</v>
      </c>
      <c r="K485" s="9">
        <f t="shared" si="185"/>
        <v>249.8</v>
      </c>
      <c r="L485" s="9">
        <f t="shared" si="185"/>
        <v>342.49999999999994</v>
      </c>
      <c r="M485" s="9">
        <f t="shared" si="185"/>
        <v>0</v>
      </c>
      <c r="N485" s="9">
        <f t="shared" si="185"/>
        <v>0</v>
      </c>
      <c r="O485" s="268"/>
      <c r="P485" s="268"/>
    </row>
    <row r="486" spans="1:16" x14ac:dyDescent="0.25">
      <c r="A486" s="241"/>
      <c r="B486" s="238" t="s">
        <v>14</v>
      </c>
      <c r="C486" s="4">
        <f t="shared" ref="C486:G488" si="186">C498</f>
        <v>136</v>
      </c>
      <c r="D486" s="4" t="str">
        <f t="shared" si="186"/>
        <v>07</v>
      </c>
      <c r="E486" s="4" t="str">
        <f t="shared" si="186"/>
        <v>09</v>
      </c>
      <c r="F486" s="4" t="str">
        <f t="shared" si="186"/>
        <v>07108R5381</v>
      </c>
      <c r="G486" s="12">
        <f t="shared" si="186"/>
        <v>244</v>
      </c>
      <c r="H486" s="9">
        <f t="shared" ref="H486:N486" si="187">H498+H509+H520+H531+H542</f>
        <v>3670</v>
      </c>
      <c r="I486" s="9">
        <f t="shared" si="187"/>
        <v>0</v>
      </c>
      <c r="J486" s="9">
        <f t="shared" si="187"/>
        <v>1977.3</v>
      </c>
      <c r="K486" s="9">
        <f t="shared" si="187"/>
        <v>936.00000000000011</v>
      </c>
      <c r="L486" s="9">
        <f t="shared" si="187"/>
        <v>756.7</v>
      </c>
      <c r="M486" s="9">
        <f t="shared" si="187"/>
        <v>0</v>
      </c>
      <c r="N486" s="9">
        <f t="shared" si="187"/>
        <v>0</v>
      </c>
      <c r="O486" s="268"/>
      <c r="P486" s="268"/>
    </row>
    <row r="487" spans="1:16" x14ac:dyDescent="0.25">
      <c r="A487" s="241"/>
      <c r="B487" s="239"/>
      <c r="C487" s="4">
        <f>C499</f>
        <v>136</v>
      </c>
      <c r="D487" s="4" t="str">
        <f t="shared" si="186"/>
        <v>07</v>
      </c>
      <c r="E487" s="4" t="str">
        <f t="shared" si="186"/>
        <v>09</v>
      </c>
      <c r="F487" s="4" t="str">
        <f t="shared" si="186"/>
        <v>07108R5381</v>
      </c>
      <c r="G487" s="12">
        <f t="shared" si="186"/>
        <v>612</v>
      </c>
      <c r="H487" s="9">
        <f t="shared" ref="H487:N487" si="188">H499+H510+H521+H532+H543+H554</f>
        <v>3958.1</v>
      </c>
      <c r="I487" s="9">
        <f t="shared" si="188"/>
        <v>0</v>
      </c>
      <c r="J487" s="9">
        <f t="shared" si="188"/>
        <v>156</v>
      </c>
      <c r="K487" s="9">
        <f t="shared" si="188"/>
        <v>280.8</v>
      </c>
      <c r="L487" s="9">
        <f t="shared" si="188"/>
        <v>3521.2999999999997</v>
      </c>
      <c r="M487" s="9">
        <f t="shared" si="188"/>
        <v>0</v>
      </c>
      <c r="N487" s="9">
        <f t="shared" si="188"/>
        <v>0</v>
      </c>
      <c r="O487" s="268"/>
      <c r="P487" s="268"/>
    </row>
    <row r="488" spans="1:16" x14ac:dyDescent="0.25">
      <c r="A488" s="241"/>
      <c r="B488" s="239"/>
      <c r="C488" s="4">
        <f>C500</f>
        <v>136</v>
      </c>
      <c r="D488" s="4" t="str">
        <f t="shared" si="186"/>
        <v>07</v>
      </c>
      <c r="E488" s="4" t="str">
        <f t="shared" si="186"/>
        <v>09</v>
      </c>
      <c r="F488" s="4" t="str">
        <f t="shared" si="186"/>
        <v>07108R5381</v>
      </c>
      <c r="G488" s="12">
        <f t="shared" si="186"/>
        <v>622</v>
      </c>
      <c r="H488" s="9">
        <f t="shared" ref="H488:N488" si="189">H500+H511+H522+H533+H544+H555</f>
        <v>1120</v>
      </c>
      <c r="I488" s="9">
        <f t="shared" si="189"/>
        <v>0</v>
      </c>
      <c r="J488" s="9">
        <f t="shared" si="189"/>
        <v>425.1</v>
      </c>
      <c r="K488" s="9">
        <f t="shared" si="189"/>
        <v>93.6</v>
      </c>
      <c r="L488" s="9">
        <f t="shared" si="189"/>
        <v>601.29999999999995</v>
      </c>
      <c r="M488" s="9">
        <f t="shared" si="189"/>
        <v>0</v>
      </c>
      <c r="N488" s="9">
        <f t="shared" si="189"/>
        <v>0</v>
      </c>
      <c r="O488" s="268"/>
      <c r="P488" s="268"/>
    </row>
    <row r="489" spans="1:16" x14ac:dyDescent="0.25">
      <c r="A489" s="241"/>
      <c r="B489" s="240"/>
      <c r="C489" s="4">
        <f t="shared" ref="C489:H489" si="190">C553</f>
        <v>136</v>
      </c>
      <c r="D489" s="4" t="str">
        <f t="shared" si="190"/>
        <v>07</v>
      </c>
      <c r="E489" s="4" t="str">
        <f t="shared" si="190"/>
        <v>02</v>
      </c>
      <c r="F489" s="4" t="str">
        <f t="shared" si="190"/>
        <v>07108R5382</v>
      </c>
      <c r="G489" s="12">
        <f t="shared" si="190"/>
        <v>523</v>
      </c>
      <c r="H489" s="9">
        <f t="shared" si="190"/>
        <v>2100</v>
      </c>
      <c r="I489" s="9">
        <f t="shared" ref="I489:N489" si="191">I553</f>
        <v>0</v>
      </c>
      <c r="J489" s="9">
        <f t="shared" si="191"/>
        <v>0</v>
      </c>
      <c r="K489" s="9">
        <f t="shared" si="191"/>
        <v>885.7</v>
      </c>
      <c r="L489" s="9">
        <f t="shared" si="191"/>
        <v>1214.3</v>
      </c>
      <c r="M489" s="9">
        <f t="shared" si="191"/>
        <v>0</v>
      </c>
      <c r="N489" s="9">
        <f t="shared" si="191"/>
        <v>0</v>
      </c>
      <c r="O489" s="268"/>
      <c r="P489" s="268"/>
    </row>
    <row r="490" spans="1:16" x14ac:dyDescent="0.25">
      <c r="A490" s="241"/>
      <c r="B490" s="196" t="s">
        <v>15</v>
      </c>
      <c r="C490" s="4"/>
      <c r="D490" s="5"/>
      <c r="E490" s="5"/>
      <c r="F490" s="5"/>
      <c r="G490" s="12"/>
      <c r="H490" s="9">
        <f>H501+H512+H523+H534+H545+H556</f>
        <v>0</v>
      </c>
      <c r="I490" s="9">
        <f t="shared" ref="I490:N490" si="192">I501+I512+I523+I534+I545+I556</f>
        <v>0</v>
      </c>
      <c r="J490" s="9">
        <f t="shared" si="192"/>
        <v>0</v>
      </c>
      <c r="K490" s="9">
        <f t="shared" si="192"/>
        <v>0</v>
      </c>
      <c r="L490" s="9">
        <f t="shared" si="192"/>
        <v>0</v>
      </c>
      <c r="M490" s="9">
        <f t="shared" si="192"/>
        <v>0</v>
      </c>
      <c r="N490" s="9">
        <f t="shared" si="192"/>
        <v>0</v>
      </c>
      <c r="O490" s="268"/>
      <c r="P490" s="268"/>
    </row>
    <row r="491" spans="1:16" x14ac:dyDescent="0.25">
      <c r="A491" s="241"/>
      <c r="B491" s="196" t="s">
        <v>12</v>
      </c>
      <c r="C491" s="4"/>
      <c r="D491" s="5"/>
      <c r="E491" s="5"/>
      <c r="F491" s="5"/>
      <c r="G491" s="12"/>
      <c r="H491" s="9">
        <f>H502</f>
        <v>0</v>
      </c>
      <c r="I491" s="9">
        <f t="shared" ref="I491:N491" si="193">I502</f>
        <v>0</v>
      </c>
      <c r="J491" s="9">
        <f t="shared" si="193"/>
        <v>0</v>
      </c>
      <c r="K491" s="9">
        <f t="shared" si="193"/>
        <v>0</v>
      </c>
      <c r="L491" s="9">
        <f t="shared" si="193"/>
        <v>0</v>
      </c>
      <c r="M491" s="9">
        <f t="shared" si="193"/>
        <v>0</v>
      </c>
      <c r="N491" s="9">
        <f t="shared" si="193"/>
        <v>0</v>
      </c>
      <c r="O491" s="268"/>
      <c r="P491" s="268"/>
    </row>
    <row r="492" spans="1:16" x14ac:dyDescent="0.25">
      <c r="A492" s="241" t="s">
        <v>524</v>
      </c>
      <c r="B492" s="196" t="s">
        <v>104</v>
      </c>
      <c r="C492" s="4"/>
      <c r="D492" s="5"/>
      <c r="E492" s="5"/>
      <c r="F492" s="5"/>
      <c r="G492" s="12"/>
      <c r="H492" s="8">
        <v>4</v>
      </c>
      <c r="I492" s="9">
        <v>0</v>
      </c>
      <c r="J492" s="9">
        <v>0</v>
      </c>
      <c r="K492" s="9">
        <v>0</v>
      </c>
      <c r="L492" s="9">
        <v>4</v>
      </c>
      <c r="M492" s="9">
        <v>0</v>
      </c>
      <c r="N492" s="9">
        <v>0</v>
      </c>
      <c r="O492" s="268" t="s">
        <v>389</v>
      </c>
      <c r="P492" s="268" t="s">
        <v>622</v>
      </c>
    </row>
    <row r="493" spans="1:16" ht="26.4" x14ac:dyDescent="0.25">
      <c r="A493" s="241"/>
      <c r="B493" s="196" t="s">
        <v>88</v>
      </c>
      <c r="C493" s="4"/>
      <c r="D493" s="5"/>
      <c r="E493" s="5"/>
      <c r="F493" s="5"/>
      <c r="G493" s="12"/>
      <c r="H493" s="8">
        <f>ROUND(H494/H492,1)</f>
        <v>275</v>
      </c>
      <c r="I493" s="9" t="s">
        <v>229</v>
      </c>
      <c r="J493" s="9" t="s">
        <v>229</v>
      </c>
      <c r="K493" s="9" t="s">
        <v>229</v>
      </c>
      <c r="L493" s="9" t="s">
        <v>229</v>
      </c>
      <c r="M493" s="9">
        <v>0</v>
      </c>
      <c r="N493" s="9">
        <v>0</v>
      </c>
      <c r="O493" s="268"/>
      <c r="P493" s="268"/>
    </row>
    <row r="494" spans="1:16" x14ac:dyDescent="0.25">
      <c r="A494" s="241"/>
      <c r="B494" s="196" t="s">
        <v>74</v>
      </c>
      <c r="C494" s="4"/>
      <c r="D494" s="5"/>
      <c r="E494" s="5"/>
      <c r="F494" s="5"/>
      <c r="G494" s="12"/>
      <c r="H494" s="8">
        <f t="shared" ref="H494:N494" si="194">SUM(H495:H502)</f>
        <v>1100</v>
      </c>
      <c r="I494" s="9">
        <f t="shared" si="194"/>
        <v>0</v>
      </c>
      <c r="J494" s="9">
        <f t="shared" si="194"/>
        <v>6.6</v>
      </c>
      <c r="K494" s="9">
        <f t="shared" si="194"/>
        <v>29.9</v>
      </c>
      <c r="L494" s="9">
        <f t="shared" si="194"/>
        <v>1063.5</v>
      </c>
      <c r="M494" s="9">
        <f t="shared" si="194"/>
        <v>0</v>
      </c>
      <c r="N494" s="9">
        <f t="shared" si="194"/>
        <v>0</v>
      </c>
      <c r="O494" s="268"/>
      <c r="P494" s="268"/>
    </row>
    <row r="495" spans="1:16" x14ac:dyDescent="0.25">
      <c r="A495" s="241"/>
      <c r="B495" s="238" t="s">
        <v>16</v>
      </c>
      <c r="C495" s="4">
        <v>136</v>
      </c>
      <c r="D495" s="5" t="s">
        <v>233</v>
      </c>
      <c r="E495" s="6" t="s">
        <v>235</v>
      </c>
      <c r="F495" s="4" t="s">
        <v>345</v>
      </c>
      <c r="G495" s="12">
        <v>244</v>
      </c>
      <c r="H495" s="9">
        <f t="shared" ref="H495:H502" si="195">I495+J495+K495+L495</f>
        <v>198</v>
      </c>
      <c r="I495" s="9">
        <v>0</v>
      </c>
      <c r="J495" s="9">
        <v>0</v>
      </c>
      <c r="K495" s="9">
        <v>6.6</v>
      </c>
      <c r="L495" s="9">
        <v>191.4</v>
      </c>
      <c r="M495" s="9">
        <v>0</v>
      </c>
      <c r="N495" s="9">
        <v>0</v>
      </c>
      <c r="O495" s="268"/>
      <c r="P495" s="268"/>
    </row>
    <row r="496" spans="1:16" x14ac:dyDescent="0.25">
      <c r="A496" s="241"/>
      <c r="B496" s="239"/>
      <c r="C496" s="4">
        <v>136</v>
      </c>
      <c r="D496" s="5" t="s">
        <v>233</v>
      </c>
      <c r="E496" s="6" t="s">
        <v>235</v>
      </c>
      <c r="F496" s="4" t="s">
        <v>345</v>
      </c>
      <c r="G496" s="12">
        <v>612</v>
      </c>
      <c r="H496" s="9">
        <f t="shared" si="195"/>
        <v>6.6</v>
      </c>
      <c r="I496" s="9">
        <v>0</v>
      </c>
      <c r="J496" s="9">
        <v>6.6</v>
      </c>
      <c r="K496" s="9">
        <v>0</v>
      </c>
      <c r="L496" s="9">
        <v>0</v>
      </c>
      <c r="M496" s="9">
        <v>0</v>
      </c>
      <c r="N496" s="9">
        <v>0</v>
      </c>
      <c r="O496" s="268"/>
      <c r="P496" s="268"/>
    </row>
    <row r="497" spans="1:16" x14ac:dyDescent="0.25">
      <c r="A497" s="241"/>
      <c r="B497" s="301"/>
      <c r="C497" s="4">
        <v>136</v>
      </c>
      <c r="D497" s="5" t="s">
        <v>233</v>
      </c>
      <c r="E497" s="6" t="s">
        <v>235</v>
      </c>
      <c r="F497" s="4" t="s">
        <v>345</v>
      </c>
      <c r="G497" s="12">
        <v>622</v>
      </c>
      <c r="H497" s="9">
        <f t="shared" si="195"/>
        <v>37.4</v>
      </c>
      <c r="I497" s="9">
        <v>0</v>
      </c>
      <c r="J497" s="9">
        <v>0</v>
      </c>
      <c r="K497" s="9">
        <v>0</v>
      </c>
      <c r="L497" s="9">
        <v>37.4</v>
      </c>
      <c r="M497" s="9">
        <v>0</v>
      </c>
      <c r="N497" s="9">
        <v>0</v>
      </c>
      <c r="O497" s="268"/>
      <c r="P497" s="268"/>
    </row>
    <row r="498" spans="1:16" x14ac:dyDescent="0.25">
      <c r="A498" s="241"/>
      <c r="B498" s="241" t="s">
        <v>14</v>
      </c>
      <c r="C498" s="4">
        <v>136</v>
      </c>
      <c r="D498" s="5" t="s">
        <v>233</v>
      </c>
      <c r="E498" s="6" t="s">
        <v>235</v>
      </c>
      <c r="F498" s="4" t="s">
        <v>345</v>
      </c>
      <c r="G498" s="12">
        <v>244</v>
      </c>
      <c r="H498" s="9">
        <f t="shared" si="195"/>
        <v>702</v>
      </c>
      <c r="I498" s="9">
        <v>0</v>
      </c>
      <c r="J498" s="9">
        <v>0</v>
      </c>
      <c r="K498" s="9">
        <v>23.3</v>
      </c>
      <c r="L498" s="9">
        <f>702-23.3</f>
        <v>678.7</v>
      </c>
      <c r="M498" s="9">
        <v>0</v>
      </c>
      <c r="N498" s="9">
        <v>0</v>
      </c>
      <c r="O498" s="268"/>
      <c r="P498" s="268"/>
    </row>
    <row r="499" spans="1:16" x14ac:dyDescent="0.25">
      <c r="A499" s="241"/>
      <c r="B499" s="302"/>
      <c r="C499" s="4">
        <v>136</v>
      </c>
      <c r="D499" s="5" t="s">
        <v>233</v>
      </c>
      <c r="E499" s="6" t="s">
        <v>235</v>
      </c>
      <c r="F499" s="4" t="s">
        <v>345</v>
      </c>
      <c r="G499" s="12">
        <v>612</v>
      </c>
      <c r="H499" s="9">
        <f t="shared" si="195"/>
        <v>23.4</v>
      </c>
      <c r="I499" s="9">
        <v>0</v>
      </c>
      <c r="J499" s="9">
        <v>0</v>
      </c>
      <c r="K499" s="9">
        <v>0</v>
      </c>
      <c r="L499" s="9">
        <v>23.4</v>
      </c>
      <c r="M499" s="9">
        <v>0</v>
      </c>
      <c r="N499" s="9">
        <v>0</v>
      </c>
      <c r="O499" s="268"/>
      <c r="P499" s="268"/>
    </row>
    <row r="500" spans="1:16" x14ac:dyDescent="0.25">
      <c r="A500" s="241"/>
      <c r="B500" s="302"/>
      <c r="C500" s="4">
        <v>136</v>
      </c>
      <c r="D500" s="5" t="s">
        <v>233</v>
      </c>
      <c r="E500" s="6" t="s">
        <v>235</v>
      </c>
      <c r="F500" s="4" t="s">
        <v>345</v>
      </c>
      <c r="G500" s="12">
        <v>622</v>
      </c>
      <c r="H500" s="9">
        <f t="shared" si="195"/>
        <v>132.6</v>
      </c>
      <c r="I500" s="9">
        <v>0</v>
      </c>
      <c r="J500" s="9">
        <v>0</v>
      </c>
      <c r="K500" s="9">
        <v>0</v>
      </c>
      <c r="L500" s="9">
        <v>132.6</v>
      </c>
      <c r="M500" s="9">
        <v>0</v>
      </c>
      <c r="N500" s="9">
        <v>0</v>
      </c>
      <c r="O500" s="268"/>
      <c r="P500" s="268"/>
    </row>
    <row r="501" spans="1:16" x14ac:dyDescent="0.25">
      <c r="A501" s="241"/>
      <c r="B501" s="196" t="s">
        <v>15</v>
      </c>
      <c r="C501" s="4"/>
      <c r="D501" s="5"/>
      <c r="E501" s="5"/>
      <c r="F501" s="5"/>
      <c r="G501" s="12"/>
      <c r="H501" s="9">
        <f t="shared" si="195"/>
        <v>0</v>
      </c>
      <c r="I501" s="9">
        <v>0</v>
      </c>
      <c r="J501" s="9">
        <v>0</v>
      </c>
      <c r="K501" s="9">
        <v>0</v>
      </c>
      <c r="L501" s="9">
        <v>0</v>
      </c>
      <c r="M501" s="9">
        <v>0</v>
      </c>
      <c r="N501" s="9">
        <v>0</v>
      </c>
      <c r="O501" s="268"/>
      <c r="P501" s="268"/>
    </row>
    <row r="502" spans="1:16" x14ac:dyDescent="0.25">
      <c r="A502" s="241"/>
      <c r="B502" s="196" t="s">
        <v>12</v>
      </c>
      <c r="C502" s="4"/>
      <c r="D502" s="5"/>
      <c r="E502" s="5"/>
      <c r="F502" s="5"/>
      <c r="G502" s="12"/>
      <c r="H502" s="8">
        <f t="shared" si="195"/>
        <v>0</v>
      </c>
      <c r="I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v>0</v>
      </c>
      <c r="O502" s="268"/>
      <c r="P502" s="268"/>
    </row>
    <row r="503" spans="1:16" x14ac:dyDescent="0.25">
      <c r="A503" s="238" t="s">
        <v>525</v>
      </c>
      <c r="B503" s="196" t="s">
        <v>104</v>
      </c>
      <c r="C503" s="4"/>
      <c r="D503" s="5"/>
      <c r="E503" s="5"/>
      <c r="F503" s="5"/>
      <c r="G503" s="12"/>
      <c r="H503" s="8">
        <v>1</v>
      </c>
      <c r="I503" s="9">
        <v>0</v>
      </c>
      <c r="J503" s="9">
        <v>0</v>
      </c>
      <c r="K503" s="9">
        <v>0</v>
      </c>
      <c r="L503" s="9">
        <v>1</v>
      </c>
      <c r="M503" s="9">
        <v>0</v>
      </c>
      <c r="N503" s="9">
        <v>0</v>
      </c>
      <c r="O503" s="268" t="s">
        <v>214</v>
      </c>
      <c r="P503" s="268" t="s">
        <v>387</v>
      </c>
    </row>
    <row r="504" spans="1:16" ht="26.4" x14ac:dyDescent="0.25">
      <c r="A504" s="239"/>
      <c r="B504" s="196" t="s">
        <v>88</v>
      </c>
      <c r="C504" s="4"/>
      <c r="D504" s="5"/>
      <c r="E504" s="5"/>
      <c r="F504" s="5"/>
      <c r="G504" s="12"/>
      <c r="H504" s="9">
        <f>ROUND(H505/H503,1)</f>
        <v>550</v>
      </c>
      <c r="I504" s="9" t="s">
        <v>229</v>
      </c>
      <c r="J504" s="9" t="s">
        <v>229</v>
      </c>
      <c r="K504" s="9" t="s">
        <v>229</v>
      </c>
      <c r="L504" s="9" t="s">
        <v>229</v>
      </c>
      <c r="M504" s="9">
        <v>0</v>
      </c>
      <c r="N504" s="9">
        <v>0</v>
      </c>
      <c r="O504" s="268"/>
      <c r="P504" s="268"/>
    </row>
    <row r="505" spans="1:16" x14ac:dyDescent="0.25">
      <c r="A505" s="239"/>
      <c r="B505" s="196" t="s">
        <v>74</v>
      </c>
      <c r="C505" s="4"/>
      <c r="D505" s="5"/>
      <c r="E505" s="5"/>
      <c r="F505" s="5"/>
      <c r="G505" s="12"/>
      <c r="H505" s="8">
        <f t="shared" ref="H505:N505" si="196">SUM(H506:H513)</f>
        <v>550</v>
      </c>
      <c r="I505" s="9">
        <f t="shared" si="196"/>
        <v>0</v>
      </c>
      <c r="J505" s="9">
        <f t="shared" si="196"/>
        <v>0</v>
      </c>
      <c r="K505" s="9">
        <f t="shared" si="196"/>
        <v>360</v>
      </c>
      <c r="L505" s="9">
        <f t="shared" si="196"/>
        <v>190</v>
      </c>
      <c r="M505" s="9">
        <f t="shared" si="196"/>
        <v>0</v>
      </c>
      <c r="N505" s="9">
        <f t="shared" si="196"/>
        <v>0</v>
      </c>
      <c r="O505" s="268"/>
      <c r="P505" s="268"/>
    </row>
    <row r="506" spans="1:16" hidden="1" x14ac:dyDescent="0.25">
      <c r="A506" s="239"/>
      <c r="B506" s="238" t="s">
        <v>16</v>
      </c>
      <c r="C506" s="4">
        <v>136</v>
      </c>
      <c r="D506" s="5" t="s">
        <v>233</v>
      </c>
      <c r="E506" s="6" t="s">
        <v>235</v>
      </c>
      <c r="F506" s="4" t="s">
        <v>263</v>
      </c>
      <c r="G506" s="12">
        <v>244</v>
      </c>
      <c r="H506" s="222">
        <f t="shared" ref="H506:H513" si="197">I506+J506+K506+L506</f>
        <v>0</v>
      </c>
      <c r="I506" s="222">
        <v>0</v>
      </c>
      <c r="J506" s="222">
        <v>0</v>
      </c>
      <c r="K506" s="222">
        <v>0</v>
      </c>
      <c r="L506" s="222">
        <v>0</v>
      </c>
      <c r="M506" s="9">
        <v>0</v>
      </c>
      <c r="N506" s="9">
        <v>0</v>
      </c>
      <c r="O506" s="268"/>
      <c r="P506" s="268"/>
    </row>
    <row r="507" spans="1:16" x14ac:dyDescent="0.25">
      <c r="A507" s="239"/>
      <c r="B507" s="239"/>
      <c r="C507" s="4">
        <v>136</v>
      </c>
      <c r="D507" s="5" t="s">
        <v>233</v>
      </c>
      <c r="E507" s="6" t="s">
        <v>235</v>
      </c>
      <c r="F507" s="4" t="s">
        <v>345</v>
      </c>
      <c r="G507" s="12">
        <v>612</v>
      </c>
      <c r="H507" s="9">
        <f t="shared" si="197"/>
        <v>121</v>
      </c>
      <c r="I507" s="9">
        <v>0</v>
      </c>
      <c r="J507" s="9">
        <v>0</v>
      </c>
      <c r="K507" s="9">
        <v>79.2</v>
      </c>
      <c r="L507" s="9">
        <f>121-79.2</f>
        <v>41.8</v>
      </c>
      <c r="M507" s="9">
        <v>0</v>
      </c>
      <c r="N507" s="9">
        <v>0</v>
      </c>
      <c r="O507" s="268"/>
      <c r="P507" s="268"/>
    </row>
    <row r="508" spans="1:16" hidden="1" x14ac:dyDescent="0.25">
      <c r="A508" s="239"/>
      <c r="B508" s="301"/>
      <c r="C508" s="4">
        <v>136</v>
      </c>
      <c r="D508" s="5" t="s">
        <v>233</v>
      </c>
      <c r="E508" s="6" t="s">
        <v>235</v>
      </c>
      <c r="F508" s="4" t="s">
        <v>263</v>
      </c>
      <c r="G508" s="12">
        <v>622</v>
      </c>
      <c r="H508" s="222">
        <f t="shared" si="197"/>
        <v>0</v>
      </c>
      <c r="I508" s="222">
        <v>0</v>
      </c>
      <c r="J508" s="222">
        <v>0</v>
      </c>
      <c r="K508" s="222">
        <v>0</v>
      </c>
      <c r="L508" s="222">
        <v>0</v>
      </c>
      <c r="M508" s="9">
        <v>0</v>
      </c>
      <c r="N508" s="9">
        <v>0</v>
      </c>
      <c r="O508" s="268"/>
      <c r="P508" s="268"/>
    </row>
    <row r="509" spans="1:16" hidden="1" x14ac:dyDescent="0.25">
      <c r="A509" s="239"/>
      <c r="B509" s="241" t="s">
        <v>14</v>
      </c>
      <c r="C509" s="4">
        <v>136</v>
      </c>
      <c r="D509" s="5" t="s">
        <v>233</v>
      </c>
      <c r="E509" s="6" t="s">
        <v>235</v>
      </c>
      <c r="F509" s="4" t="s">
        <v>263</v>
      </c>
      <c r="G509" s="12">
        <v>244</v>
      </c>
      <c r="H509" s="222">
        <f t="shared" si="197"/>
        <v>0</v>
      </c>
      <c r="I509" s="222">
        <v>0</v>
      </c>
      <c r="J509" s="222">
        <v>0</v>
      </c>
      <c r="K509" s="222">
        <v>0</v>
      </c>
      <c r="L509" s="222">
        <v>0</v>
      </c>
      <c r="M509" s="9">
        <v>0</v>
      </c>
      <c r="N509" s="9">
        <v>0</v>
      </c>
      <c r="O509" s="268"/>
      <c r="P509" s="268"/>
    </row>
    <row r="510" spans="1:16" x14ac:dyDescent="0.25">
      <c r="A510" s="239"/>
      <c r="B510" s="302"/>
      <c r="C510" s="4">
        <v>136</v>
      </c>
      <c r="D510" s="5" t="s">
        <v>233</v>
      </c>
      <c r="E510" s="6" t="s">
        <v>235</v>
      </c>
      <c r="F510" s="4" t="s">
        <v>345</v>
      </c>
      <c r="G510" s="12">
        <v>612</v>
      </c>
      <c r="H510" s="9">
        <f t="shared" si="197"/>
        <v>429</v>
      </c>
      <c r="I510" s="9">
        <v>0</v>
      </c>
      <c r="J510" s="9">
        <v>0</v>
      </c>
      <c r="K510" s="9">
        <v>280.8</v>
      </c>
      <c r="L510" s="9">
        <f>429-280.8</f>
        <v>148.19999999999999</v>
      </c>
      <c r="M510" s="9">
        <v>0</v>
      </c>
      <c r="N510" s="9">
        <v>0</v>
      </c>
      <c r="O510" s="268"/>
      <c r="P510" s="268"/>
    </row>
    <row r="511" spans="1:16" hidden="1" x14ac:dyDescent="0.25">
      <c r="A511" s="239"/>
      <c r="B511" s="302"/>
      <c r="C511" s="4">
        <v>136</v>
      </c>
      <c r="D511" s="5" t="s">
        <v>233</v>
      </c>
      <c r="E511" s="6" t="s">
        <v>235</v>
      </c>
      <c r="F511" s="4" t="s">
        <v>263</v>
      </c>
      <c r="G511" s="12">
        <v>622</v>
      </c>
      <c r="H511" s="9">
        <f t="shared" si="197"/>
        <v>0</v>
      </c>
      <c r="I511" s="9">
        <v>0</v>
      </c>
      <c r="J511" s="9">
        <v>0</v>
      </c>
      <c r="K511" s="9">
        <v>0</v>
      </c>
      <c r="L511" s="9">
        <v>0</v>
      </c>
      <c r="M511" s="9">
        <v>0</v>
      </c>
      <c r="N511" s="9">
        <v>0</v>
      </c>
      <c r="O511" s="268"/>
      <c r="P511" s="268"/>
    </row>
    <row r="512" spans="1:16" x14ac:dyDescent="0.25">
      <c r="A512" s="239"/>
      <c r="B512" s="196" t="s">
        <v>15</v>
      </c>
      <c r="C512" s="4"/>
      <c r="D512" s="5"/>
      <c r="E512" s="5"/>
      <c r="F512" s="5"/>
      <c r="G512" s="12"/>
      <c r="H512" s="9">
        <f t="shared" si="197"/>
        <v>0</v>
      </c>
      <c r="I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v>0</v>
      </c>
      <c r="O512" s="268"/>
      <c r="P512" s="268"/>
    </row>
    <row r="513" spans="1:16" ht="57" customHeight="1" x14ac:dyDescent="0.25">
      <c r="A513" s="240"/>
      <c r="B513" s="196" t="s">
        <v>12</v>
      </c>
      <c r="C513" s="4"/>
      <c r="D513" s="5"/>
      <c r="E513" s="5"/>
      <c r="F513" s="5"/>
      <c r="G513" s="12"/>
      <c r="H513" s="9">
        <f t="shared" si="197"/>
        <v>0</v>
      </c>
      <c r="I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0</v>
      </c>
      <c r="O513" s="268"/>
      <c r="P513" s="268"/>
    </row>
    <row r="514" spans="1:16" x14ac:dyDescent="0.25">
      <c r="A514" s="238" t="s">
        <v>526</v>
      </c>
      <c r="B514" s="196" t="s">
        <v>104</v>
      </c>
      <c r="C514" s="4"/>
      <c r="D514" s="5"/>
      <c r="E514" s="5"/>
      <c r="F514" s="5"/>
      <c r="G514" s="12"/>
      <c r="H514" s="9">
        <v>1</v>
      </c>
      <c r="I514" s="9">
        <v>0</v>
      </c>
      <c r="J514" s="9">
        <v>0</v>
      </c>
      <c r="K514" s="9">
        <v>0</v>
      </c>
      <c r="L514" s="9">
        <v>1</v>
      </c>
      <c r="M514" s="9">
        <v>0</v>
      </c>
      <c r="N514" s="9">
        <v>0</v>
      </c>
      <c r="O514" s="268" t="s">
        <v>388</v>
      </c>
      <c r="P514" s="268" t="s">
        <v>210</v>
      </c>
    </row>
    <row r="515" spans="1:16" ht="26.4" x14ac:dyDescent="0.25">
      <c r="A515" s="239"/>
      <c r="B515" s="196" t="s">
        <v>88</v>
      </c>
      <c r="C515" s="4"/>
      <c r="D515" s="5"/>
      <c r="E515" s="5"/>
      <c r="F515" s="5"/>
      <c r="G515" s="12"/>
      <c r="H515" s="8">
        <f>ROUND(H516/H514,1)</f>
        <v>529</v>
      </c>
      <c r="I515" s="9" t="s">
        <v>229</v>
      </c>
      <c r="J515" s="9" t="s">
        <v>229</v>
      </c>
      <c r="K515" s="9" t="s">
        <v>229</v>
      </c>
      <c r="L515" s="9" t="s">
        <v>229</v>
      </c>
      <c r="M515" s="9">
        <v>0</v>
      </c>
      <c r="N515" s="9">
        <v>0</v>
      </c>
      <c r="O515" s="268"/>
      <c r="P515" s="268"/>
    </row>
    <row r="516" spans="1:16" x14ac:dyDescent="0.25">
      <c r="A516" s="239"/>
      <c r="B516" s="196" t="s">
        <v>74</v>
      </c>
      <c r="C516" s="4"/>
      <c r="D516" s="5"/>
      <c r="E516" s="5"/>
      <c r="F516" s="5"/>
      <c r="G516" s="12"/>
      <c r="H516" s="9">
        <f t="shared" ref="H516:N516" si="198">SUM(H517:H524)</f>
        <v>529</v>
      </c>
      <c r="I516" s="9">
        <f t="shared" si="198"/>
        <v>0</v>
      </c>
      <c r="J516" s="9">
        <f t="shared" si="198"/>
        <v>193.4</v>
      </c>
      <c r="K516" s="9">
        <f t="shared" si="198"/>
        <v>120</v>
      </c>
      <c r="L516" s="9">
        <f t="shared" si="198"/>
        <v>215.6</v>
      </c>
      <c r="M516" s="9">
        <f t="shared" si="198"/>
        <v>0</v>
      </c>
      <c r="N516" s="9">
        <f t="shared" si="198"/>
        <v>0</v>
      </c>
      <c r="O516" s="268"/>
      <c r="P516" s="268"/>
    </row>
    <row r="517" spans="1:16" x14ac:dyDescent="0.25">
      <c r="A517" s="239"/>
      <c r="B517" s="238" t="s">
        <v>16</v>
      </c>
      <c r="C517" s="4">
        <v>136</v>
      </c>
      <c r="D517" s="5" t="s">
        <v>233</v>
      </c>
      <c r="E517" s="6" t="s">
        <v>235</v>
      </c>
      <c r="F517" s="4" t="s">
        <v>345</v>
      </c>
      <c r="G517" s="12">
        <v>244</v>
      </c>
      <c r="H517" s="9">
        <f t="shared" ref="H517:H524" si="199">I517+J517+K517+L517</f>
        <v>22</v>
      </c>
      <c r="I517" s="9">
        <v>0</v>
      </c>
      <c r="J517" s="9">
        <v>0</v>
      </c>
      <c r="K517" s="9">
        <v>0</v>
      </c>
      <c r="L517" s="9">
        <v>22</v>
      </c>
      <c r="M517" s="9">
        <v>0</v>
      </c>
      <c r="N517" s="9">
        <v>0</v>
      </c>
      <c r="O517" s="268"/>
      <c r="P517" s="268"/>
    </row>
    <row r="518" spans="1:16" x14ac:dyDescent="0.25">
      <c r="A518" s="239"/>
      <c r="B518" s="239"/>
      <c r="C518" s="4">
        <v>136</v>
      </c>
      <c r="D518" s="5" t="s">
        <v>233</v>
      </c>
      <c r="E518" s="6" t="s">
        <v>235</v>
      </c>
      <c r="F518" s="4" t="s">
        <v>345</v>
      </c>
      <c r="G518" s="12">
        <v>612</v>
      </c>
      <c r="H518" s="9">
        <f t="shared" si="199"/>
        <v>50.4</v>
      </c>
      <c r="I518" s="9">
        <v>0</v>
      </c>
      <c r="J518" s="9">
        <v>37.4</v>
      </c>
      <c r="K518" s="9">
        <v>0</v>
      </c>
      <c r="L518" s="9">
        <f>50.4-37.4</f>
        <v>13</v>
      </c>
      <c r="M518" s="9">
        <v>0</v>
      </c>
      <c r="N518" s="9">
        <v>0</v>
      </c>
      <c r="O518" s="268"/>
      <c r="P518" s="268"/>
    </row>
    <row r="519" spans="1:16" x14ac:dyDescent="0.25">
      <c r="A519" s="239"/>
      <c r="B519" s="301"/>
      <c r="C519" s="4">
        <v>136</v>
      </c>
      <c r="D519" s="5" t="s">
        <v>233</v>
      </c>
      <c r="E519" s="6" t="s">
        <v>235</v>
      </c>
      <c r="F519" s="4" t="s">
        <v>345</v>
      </c>
      <c r="G519" s="12">
        <v>622</v>
      </c>
      <c r="H519" s="9">
        <f t="shared" si="199"/>
        <v>44</v>
      </c>
      <c r="I519" s="9">
        <v>0</v>
      </c>
      <c r="J519" s="9">
        <v>0</v>
      </c>
      <c r="K519" s="9">
        <v>26.4</v>
      </c>
      <c r="L519" s="9">
        <f>44-26.4</f>
        <v>17.600000000000001</v>
      </c>
      <c r="M519" s="9">
        <v>0</v>
      </c>
      <c r="N519" s="9">
        <v>0</v>
      </c>
      <c r="O519" s="268"/>
      <c r="P519" s="268"/>
    </row>
    <row r="520" spans="1:16" x14ac:dyDescent="0.25">
      <c r="A520" s="239"/>
      <c r="B520" s="241" t="s">
        <v>14</v>
      </c>
      <c r="C520" s="4">
        <v>136</v>
      </c>
      <c r="D520" s="5" t="s">
        <v>233</v>
      </c>
      <c r="E520" s="6" t="s">
        <v>235</v>
      </c>
      <c r="F520" s="4" t="s">
        <v>345</v>
      </c>
      <c r="G520" s="12">
        <v>244</v>
      </c>
      <c r="H520" s="9">
        <f t="shared" si="199"/>
        <v>78</v>
      </c>
      <c r="I520" s="9">
        <v>0</v>
      </c>
      <c r="J520" s="9">
        <v>0</v>
      </c>
      <c r="K520" s="9">
        <v>0</v>
      </c>
      <c r="L520" s="9">
        <v>78</v>
      </c>
      <c r="M520" s="9">
        <v>0</v>
      </c>
      <c r="N520" s="9">
        <v>0</v>
      </c>
      <c r="O520" s="268"/>
      <c r="P520" s="268"/>
    </row>
    <row r="521" spans="1:16" x14ac:dyDescent="0.25">
      <c r="A521" s="239"/>
      <c r="B521" s="302"/>
      <c r="C521" s="4">
        <v>136</v>
      </c>
      <c r="D521" s="5" t="s">
        <v>233</v>
      </c>
      <c r="E521" s="6" t="s">
        <v>235</v>
      </c>
      <c r="F521" s="4" t="s">
        <v>345</v>
      </c>
      <c r="G521" s="12">
        <v>612</v>
      </c>
      <c r="H521" s="9">
        <f t="shared" si="199"/>
        <v>178.6</v>
      </c>
      <c r="I521" s="9">
        <v>0</v>
      </c>
      <c r="J521" s="9">
        <v>156</v>
      </c>
      <c r="K521" s="9">
        <v>0</v>
      </c>
      <c r="L521" s="9">
        <f>178.6-156</f>
        <v>22.599999999999994</v>
      </c>
      <c r="M521" s="9">
        <v>0</v>
      </c>
      <c r="N521" s="9">
        <v>0</v>
      </c>
      <c r="O521" s="268"/>
      <c r="P521" s="268"/>
    </row>
    <row r="522" spans="1:16" x14ac:dyDescent="0.25">
      <c r="A522" s="239"/>
      <c r="B522" s="302"/>
      <c r="C522" s="4">
        <v>136</v>
      </c>
      <c r="D522" s="5" t="s">
        <v>233</v>
      </c>
      <c r="E522" s="6" t="s">
        <v>235</v>
      </c>
      <c r="F522" s="4" t="s">
        <v>345</v>
      </c>
      <c r="G522" s="12">
        <v>622</v>
      </c>
      <c r="H522" s="9">
        <f t="shared" si="199"/>
        <v>156</v>
      </c>
      <c r="I522" s="9">
        <v>0</v>
      </c>
      <c r="J522" s="9">
        <v>0</v>
      </c>
      <c r="K522" s="9">
        <v>93.6</v>
      </c>
      <c r="L522" s="9">
        <f>156-93.6</f>
        <v>62.400000000000006</v>
      </c>
      <c r="M522" s="9">
        <v>0</v>
      </c>
      <c r="N522" s="9">
        <v>0</v>
      </c>
      <c r="O522" s="268"/>
      <c r="P522" s="268"/>
    </row>
    <row r="523" spans="1:16" x14ac:dyDescent="0.25">
      <c r="A523" s="239"/>
      <c r="B523" s="196" t="s">
        <v>15</v>
      </c>
      <c r="C523" s="4"/>
      <c r="D523" s="5"/>
      <c r="E523" s="5"/>
      <c r="F523" s="5"/>
      <c r="G523" s="12"/>
      <c r="H523" s="9">
        <f t="shared" si="199"/>
        <v>0</v>
      </c>
      <c r="I523" s="9">
        <v>0</v>
      </c>
      <c r="J523" s="9">
        <v>0</v>
      </c>
      <c r="K523" s="9">
        <v>0</v>
      </c>
      <c r="L523" s="9">
        <v>0</v>
      </c>
      <c r="M523" s="9">
        <v>0</v>
      </c>
      <c r="N523" s="9">
        <v>0</v>
      </c>
      <c r="O523" s="268"/>
      <c r="P523" s="268"/>
    </row>
    <row r="524" spans="1:16" ht="93" customHeight="1" x14ac:dyDescent="0.25">
      <c r="A524" s="240"/>
      <c r="B524" s="196" t="s">
        <v>12</v>
      </c>
      <c r="C524" s="4"/>
      <c r="D524" s="5"/>
      <c r="E524" s="5"/>
      <c r="F524" s="5"/>
      <c r="G524" s="12"/>
      <c r="H524" s="9">
        <f t="shared" si="199"/>
        <v>0</v>
      </c>
      <c r="I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268"/>
      <c r="P524" s="268"/>
    </row>
    <row r="525" spans="1:16" x14ac:dyDescent="0.25">
      <c r="A525" s="238" t="s">
        <v>527</v>
      </c>
      <c r="B525" s="196" t="s">
        <v>104</v>
      </c>
      <c r="C525" s="4"/>
      <c r="D525" s="5"/>
      <c r="E525" s="5"/>
      <c r="F525" s="5"/>
      <c r="G525" s="12"/>
      <c r="H525" s="9">
        <v>5</v>
      </c>
      <c r="I525" s="9">
        <v>0</v>
      </c>
      <c r="J525" s="9">
        <v>0</v>
      </c>
      <c r="K525" s="9">
        <v>0</v>
      </c>
      <c r="L525" s="9">
        <v>5</v>
      </c>
      <c r="M525" s="9">
        <v>0</v>
      </c>
      <c r="N525" s="9">
        <v>0</v>
      </c>
      <c r="O525" s="268" t="s">
        <v>203</v>
      </c>
      <c r="P525" s="268" t="s">
        <v>623</v>
      </c>
    </row>
    <row r="526" spans="1:16" ht="26.4" x14ac:dyDescent="0.25">
      <c r="A526" s="239"/>
      <c r="B526" s="196" t="s">
        <v>88</v>
      </c>
      <c r="C526" s="4"/>
      <c r="D526" s="5"/>
      <c r="E526" s="5"/>
      <c r="F526" s="5"/>
      <c r="G526" s="12"/>
      <c r="H526" s="9">
        <f>ROUND(H527/H525,1)</f>
        <v>895.3</v>
      </c>
      <c r="I526" s="9" t="s">
        <v>229</v>
      </c>
      <c r="J526" s="9" t="s">
        <v>229</v>
      </c>
      <c r="K526" s="9" t="s">
        <v>229</v>
      </c>
      <c r="L526" s="9" t="s">
        <v>229</v>
      </c>
      <c r="M526" s="9">
        <v>0</v>
      </c>
      <c r="N526" s="9">
        <v>0</v>
      </c>
      <c r="O526" s="268"/>
      <c r="P526" s="268"/>
    </row>
    <row r="527" spans="1:16" x14ac:dyDescent="0.25">
      <c r="A527" s="239"/>
      <c r="B527" s="196" t="s">
        <v>74</v>
      </c>
      <c r="C527" s="4"/>
      <c r="D527" s="5"/>
      <c r="E527" s="5"/>
      <c r="F527" s="5"/>
      <c r="G527" s="12"/>
      <c r="H527" s="9">
        <f t="shared" ref="H527:N527" si="200">SUM(H528:H535)</f>
        <v>4476.5</v>
      </c>
      <c r="I527" s="9">
        <f t="shared" si="200"/>
        <v>0</v>
      </c>
      <c r="J527" s="9">
        <f t="shared" si="200"/>
        <v>0</v>
      </c>
      <c r="K527" s="9">
        <f t="shared" si="200"/>
        <v>820</v>
      </c>
      <c r="L527" s="9">
        <f t="shared" si="200"/>
        <v>3656.5</v>
      </c>
      <c r="M527" s="9">
        <f t="shared" si="200"/>
        <v>0</v>
      </c>
      <c r="N527" s="9">
        <f t="shared" si="200"/>
        <v>0</v>
      </c>
      <c r="O527" s="268"/>
      <c r="P527" s="268"/>
    </row>
    <row r="528" spans="1:16" x14ac:dyDescent="0.25">
      <c r="A528" s="239"/>
      <c r="B528" s="238" t="s">
        <v>16</v>
      </c>
      <c r="C528" s="4">
        <v>136</v>
      </c>
      <c r="D528" s="5" t="s">
        <v>233</v>
      </c>
      <c r="E528" s="6" t="s">
        <v>235</v>
      </c>
      <c r="F528" s="4" t="s">
        <v>345</v>
      </c>
      <c r="G528" s="12">
        <v>244</v>
      </c>
      <c r="H528" s="9">
        <f t="shared" ref="H528:H535" si="201">I528+J528+K528+L528</f>
        <v>180.4</v>
      </c>
      <c r="I528" s="9">
        <v>0</v>
      </c>
      <c r="J528" s="9">
        <v>0</v>
      </c>
      <c r="K528" s="9">
        <v>180.4</v>
      </c>
      <c r="L528" s="9">
        <v>0</v>
      </c>
      <c r="M528" s="9">
        <v>0</v>
      </c>
      <c r="N528" s="9">
        <v>0</v>
      </c>
      <c r="O528" s="268"/>
      <c r="P528" s="268"/>
    </row>
    <row r="529" spans="1:16" x14ac:dyDescent="0.25">
      <c r="A529" s="239"/>
      <c r="B529" s="239"/>
      <c r="C529" s="4">
        <v>136</v>
      </c>
      <c r="D529" s="5" t="s">
        <v>233</v>
      </c>
      <c r="E529" s="6" t="s">
        <v>235</v>
      </c>
      <c r="F529" s="4" t="s">
        <v>345</v>
      </c>
      <c r="G529" s="12">
        <v>612</v>
      </c>
      <c r="H529" s="9">
        <f t="shared" si="201"/>
        <v>804.4</v>
      </c>
      <c r="I529" s="9">
        <v>0</v>
      </c>
      <c r="J529" s="9">
        <v>0</v>
      </c>
      <c r="K529" s="9">
        <v>0</v>
      </c>
      <c r="L529" s="9">
        <v>804.4</v>
      </c>
      <c r="M529" s="9">
        <v>0</v>
      </c>
      <c r="N529" s="9">
        <v>0</v>
      </c>
      <c r="O529" s="268"/>
      <c r="P529" s="268"/>
    </row>
    <row r="530" spans="1:16" hidden="1" x14ac:dyDescent="0.25">
      <c r="A530" s="239"/>
      <c r="B530" s="301"/>
      <c r="C530" s="4">
        <v>136</v>
      </c>
      <c r="D530" s="5" t="s">
        <v>233</v>
      </c>
      <c r="E530" s="6" t="s">
        <v>235</v>
      </c>
      <c r="F530" s="4" t="s">
        <v>345</v>
      </c>
      <c r="G530" s="12">
        <v>622</v>
      </c>
      <c r="H530" s="9">
        <f t="shared" si="201"/>
        <v>0</v>
      </c>
      <c r="I530" s="9">
        <v>0</v>
      </c>
      <c r="J530" s="9">
        <v>0</v>
      </c>
      <c r="K530" s="9">
        <v>0</v>
      </c>
      <c r="L530" s="9">
        <v>0</v>
      </c>
      <c r="M530" s="9">
        <v>0</v>
      </c>
      <c r="N530" s="9">
        <v>0</v>
      </c>
      <c r="O530" s="268"/>
      <c r="P530" s="268"/>
    </row>
    <row r="531" spans="1:16" x14ac:dyDescent="0.25">
      <c r="A531" s="239"/>
      <c r="B531" s="241" t="s">
        <v>14</v>
      </c>
      <c r="C531" s="4">
        <v>136</v>
      </c>
      <c r="D531" s="5" t="s">
        <v>233</v>
      </c>
      <c r="E531" s="6" t="s">
        <v>235</v>
      </c>
      <c r="F531" s="4" t="s">
        <v>345</v>
      </c>
      <c r="G531" s="12">
        <v>244</v>
      </c>
      <c r="H531" s="9">
        <f t="shared" si="201"/>
        <v>639.6</v>
      </c>
      <c r="I531" s="9">
        <v>0</v>
      </c>
      <c r="J531" s="9">
        <v>0</v>
      </c>
      <c r="K531" s="9">
        <v>639.6</v>
      </c>
      <c r="L531" s="9">
        <f>639.6-K531</f>
        <v>0</v>
      </c>
      <c r="M531" s="9">
        <v>0</v>
      </c>
      <c r="N531" s="9">
        <v>0</v>
      </c>
      <c r="O531" s="268"/>
      <c r="P531" s="268"/>
    </row>
    <row r="532" spans="1:16" x14ac:dyDescent="0.25">
      <c r="A532" s="239"/>
      <c r="B532" s="302"/>
      <c r="C532" s="4">
        <v>136</v>
      </c>
      <c r="D532" s="5" t="s">
        <v>233</v>
      </c>
      <c r="E532" s="6" t="s">
        <v>235</v>
      </c>
      <c r="F532" s="4" t="s">
        <v>345</v>
      </c>
      <c r="G532" s="12">
        <v>612</v>
      </c>
      <c r="H532" s="9">
        <f t="shared" si="201"/>
        <v>2852.1</v>
      </c>
      <c r="I532" s="9">
        <v>0</v>
      </c>
      <c r="J532" s="9">
        <v>0</v>
      </c>
      <c r="K532" s="9">
        <v>0</v>
      </c>
      <c r="L532" s="9">
        <v>2852.1</v>
      </c>
      <c r="M532" s="9">
        <v>0</v>
      </c>
      <c r="N532" s="9">
        <v>0</v>
      </c>
      <c r="O532" s="268"/>
      <c r="P532" s="268"/>
    </row>
    <row r="533" spans="1:16" hidden="1" x14ac:dyDescent="0.25">
      <c r="A533" s="239"/>
      <c r="B533" s="302"/>
      <c r="C533" s="4">
        <v>136</v>
      </c>
      <c r="D533" s="5" t="s">
        <v>233</v>
      </c>
      <c r="E533" s="6" t="s">
        <v>235</v>
      </c>
      <c r="F533" s="4" t="s">
        <v>263</v>
      </c>
      <c r="G533" s="12">
        <v>622</v>
      </c>
      <c r="H533" s="222">
        <f t="shared" si="201"/>
        <v>0</v>
      </c>
      <c r="I533" s="222">
        <v>0</v>
      </c>
      <c r="J533" s="222">
        <v>0</v>
      </c>
      <c r="K533" s="222">
        <v>0</v>
      </c>
      <c r="L533" s="222">
        <v>0</v>
      </c>
      <c r="M533" s="9">
        <v>0</v>
      </c>
      <c r="N533" s="9">
        <v>0</v>
      </c>
      <c r="O533" s="268"/>
      <c r="P533" s="268"/>
    </row>
    <row r="534" spans="1:16" x14ac:dyDescent="0.25">
      <c r="A534" s="239"/>
      <c r="B534" s="196" t="s">
        <v>15</v>
      </c>
      <c r="C534" s="4"/>
      <c r="D534" s="5"/>
      <c r="E534" s="5"/>
      <c r="F534" s="5"/>
      <c r="G534" s="12"/>
      <c r="H534" s="9">
        <f t="shared" si="201"/>
        <v>0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0</v>
      </c>
      <c r="O534" s="268"/>
      <c r="P534" s="268"/>
    </row>
    <row r="535" spans="1:16" ht="146.25" customHeight="1" x14ac:dyDescent="0.25">
      <c r="A535" s="240"/>
      <c r="B535" s="196" t="s">
        <v>12</v>
      </c>
      <c r="C535" s="4"/>
      <c r="D535" s="5"/>
      <c r="E535" s="5"/>
      <c r="F535" s="5"/>
      <c r="G535" s="12"/>
      <c r="H535" s="9">
        <f t="shared" si="201"/>
        <v>0</v>
      </c>
      <c r="I535" s="9">
        <v>0</v>
      </c>
      <c r="J535" s="9">
        <v>0</v>
      </c>
      <c r="K535" s="9">
        <v>0</v>
      </c>
      <c r="L535" s="9">
        <v>0</v>
      </c>
      <c r="M535" s="9">
        <v>0</v>
      </c>
      <c r="N535" s="9">
        <v>0</v>
      </c>
      <c r="O535" s="268"/>
      <c r="P535" s="268"/>
    </row>
    <row r="536" spans="1:16" x14ac:dyDescent="0.25">
      <c r="A536" s="238" t="s">
        <v>528</v>
      </c>
      <c r="B536" s="196" t="s">
        <v>104</v>
      </c>
      <c r="C536" s="4"/>
      <c r="D536" s="5"/>
      <c r="E536" s="5"/>
      <c r="F536" s="5"/>
      <c r="G536" s="12"/>
      <c r="H536" s="9">
        <v>10</v>
      </c>
      <c r="I536" s="9">
        <v>0</v>
      </c>
      <c r="J536" s="9">
        <v>0</v>
      </c>
      <c r="K536" s="9">
        <v>0</v>
      </c>
      <c r="L536" s="9">
        <v>10</v>
      </c>
      <c r="M536" s="9">
        <v>0</v>
      </c>
      <c r="N536" s="9">
        <v>0</v>
      </c>
      <c r="O536" s="268" t="s">
        <v>390</v>
      </c>
      <c r="P536" s="268" t="s">
        <v>611</v>
      </c>
    </row>
    <row r="537" spans="1:16" ht="26.4" x14ac:dyDescent="0.25">
      <c r="A537" s="239"/>
      <c r="B537" s="196" t="s">
        <v>88</v>
      </c>
      <c r="C537" s="4"/>
      <c r="D537" s="5"/>
      <c r="E537" s="5"/>
      <c r="F537" s="5"/>
      <c r="G537" s="12"/>
      <c r="H537" s="9">
        <f>ROUND(H538/H536,1)</f>
        <v>456</v>
      </c>
      <c r="I537" s="9" t="s">
        <v>229</v>
      </c>
      <c r="J537" s="9" t="s">
        <v>229</v>
      </c>
      <c r="K537" s="9" t="s">
        <v>229</v>
      </c>
      <c r="L537" s="9" t="s">
        <v>229</v>
      </c>
      <c r="M537" s="9">
        <v>0</v>
      </c>
      <c r="N537" s="9">
        <v>0</v>
      </c>
      <c r="O537" s="268"/>
      <c r="P537" s="268"/>
    </row>
    <row r="538" spans="1:16" x14ac:dyDescent="0.25">
      <c r="A538" s="239"/>
      <c r="B538" s="196" t="s">
        <v>74</v>
      </c>
      <c r="C538" s="4"/>
      <c r="D538" s="5"/>
      <c r="E538" s="5"/>
      <c r="F538" s="5"/>
      <c r="G538" s="12"/>
      <c r="H538" s="9">
        <f t="shared" ref="H538:N538" si="202">SUM(H539:H546)</f>
        <v>4560</v>
      </c>
      <c r="I538" s="9">
        <f t="shared" si="202"/>
        <v>0</v>
      </c>
      <c r="J538" s="9">
        <f t="shared" si="202"/>
        <v>3080</v>
      </c>
      <c r="K538" s="9">
        <f t="shared" si="202"/>
        <v>350.10000000000014</v>
      </c>
      <c r="L538" s="9">
        <f>SUM(L539:L546)</f>
        <v>1129.9000000000001</v>
      </c>
      <c r="M538" s="9">
        <f t="shared" si="202"/>
        <v>0</v>
      </c>
      <c r="N538" s="9">
        <f t="shared" si="202"/>
        <v>0</v>
      </c>
      <c r="O538" s="268"/>
      <c r="P538" s="268"/>
    </row>
    <row r="539" spans="1:16" x14ac:dyDescent="0.25">
      <c r="A539" s="239"/>
      <c r="B539" s="238" t="s">
        <v>16</v>
      </c>
      <c r="C539" s="4">
        <v>136</v>
      </c>
      <c r="D539" s="5" t="s">
        <v>233</v>
      </c>
      <c r="E539" s="6" t="s">
        <v>235</v>
      </c>
      <c r="F539" s="4" t="s">
        <v>345</v>
      </c>
      <c r="G539" s="12">
        <v>244</v>
      </c>
      <c r="H539" s="9">
        <f t="shared" ref="H539:H546" si="203">I539+J539+K539+L539</f>
        <v>634.70000000000005</v>
      </c>
      <c r="I539" s="9">
        <v>0</v>
      </c>
      <c r="J539" s="9">
        <v>557.70000000000005</v>
      </c>
      <c r="K539" s="9">
        <v>77</v>
      </c>
      <c r="L539" s="9">
        <v>0</v>
      </c>
      <c r="M539" s="9">
        <v>0</v>
      </c>
      <c r="N539" s="9">
        <v>0</v>
      </c>
      <c r="O539" s="268"/>
      <c r="P539" s="268"/>
    </row>
    <row r="540" spans="1:16" x14ac:dyDescent="0.25">
      <c r="A540" s="239"/>
      <c r="B540" s="239"/>
      <c r="C540" s="4">
        <v>136</v>
      </c>
      <c r="D540" s="5" t="s">
        <v>233</v>
      </c>
      <c r="E540" s="6" t="s">
        <v>235</v>
      </c>
      <c r="F540" s="4" t="s">
        <v>345</v>
      </c>
      <c r="G540" s="12">
        <v>612</v>
      </c>
      <c r="H540" s="9">
        <f t="shared" si="203"/>
        <v>134</v>
      </c>
      <c r="I540" s="9">
        <v>0</v>
      </c>
      <c r="J540" s="9">
        <v>0</v>
      </c>
      <c r="K540" s="9">
        <v>0</v>
      </c>
      <c r="L540" s="9">
        <v>134</v>
      </c>
      <c r="M540" s="9">
        <v>0</v>
      </c>
      <c r="N540" s="9">
        <v>0</v>
      </c>
      <c r="O540" s="268"/>
      <c r="P540" s="268"/>
    </row>
    <row r="541" spans="1:16" x14ac:dyDescent="0.25">
      <c r="A541" s="239"/>
      <c r="B541" s="301"/>
      <c r="C541" s="4">
        <v>136</v>
      </c>
      <c r="D541" s="5" t="s">
        <v>233</v>
      </c>
      <c r="E541" s="6" t="s">
        <v>235</v>
      </c>
      <c r="F541" s="4" t="s">
        <v>345</v>
      </c>
      <c r="G541" s="12">
        <v>622</v>
      </c>
      <c r="H541" s="9">
        <f t="shared" si="203"/>
        <v>234.5</v>
      </c>
      <c r="I541" s="9">
        <v>0</v>
      </c>
      <c r="J541" s="9">
        <v>119.9</v>
      </c>
      <c r="K541" s="9">
        <v>0</v>
      </c>
      <c r="L541" s="9">
        <f>234.5-J541</f>
        <v>114.6</v>
      </c>
      <c r="M541" s="9">
        <v>0</v>
      </c>
      <c r="N541" s="9">
        <v>0</v>
      </c>
      <c r="O541" s="268"/>
      <c r="P541" s="268"/>
    </row>
    <row r="542" spans="1:16" x14ac:dyDescent="0.25">
      <c r="A542" s="239"/>
      <c r="B542" s="241" t="s">
        <v>14</v>
      </c>
      <c r="C542" s="4">
        <v>136</v>
      </c>
      <c r="D542" s="5" t="s">
        <v>233</v>
      </c>
      <c r="E542" s="6" t="s">
        <v>235</v>
      </c>
      <c r="F542" s="4" t="s">
        <v>345</v>
      </c>
      <c r="G542" s="12">
        <v>244</v>
      </c>
      <c r="H542" s="9">
        <f t="shared" si="203"/>
        <v>2250.4</v>
      </c>
      <c r="I542" s="9">
        <v>0</v>
      </c>
      <c r="J542" s="9">
        <v>1977.3</v>
      </c>
      <c r="K542" s="9">
        <f>2250.4-J542</f>
        <v>273.10000000000014</v>
      </c>
      <c r="L542" s="9"/>
      <c r="M542" s="9">
        <v>0</v>
      </c>
      <c r="N542" s="9">
        <v>0</v>
      </c>
      <c r="O542" s="268"/>
      <c r="P542" s="268"/>
    </row>
    <row r="543" spans="1:16" x14ac:dyDescent="0.25">
      <c r="A543" s="239"/>
      <c r="B543" s="302"/>
      <c r="C543" s="4">
        <v>136</v>
      </c>
      <c r="D543" s="5" t="s">
        <v>233</v>
      </c>
      <c r="E543" s="6" t="s">
        <v>235</v>
      </c>
      <c r="F543" s="4" t="s">
        <v>345</v>
      </c>
      <c r="G543" s="12">
        <v>612</v>
      </c>
      <c r="H543" s="9">
        <f t="shared" si="203"/>
        <v>475</v>
      </c>
      <c r="I543" s="9">
        <v>0</v>
      </c>
      <c r="J543" s="9">
        <v>0</v>
      </c>
      <c r="K543" s="9">
        <v>0</v>
      </c>
      <c r="L543" s="9">
        <v>475</v>
      </c>
      <c r="M543" s="9">
        <v>0</v>
      </c>
      <c r="N543" s="9">
        <v>0</v>
      </c>
      <c r="O543" s="268"/>
      <c r="P543" s="268"/>
    </row>
    <row r="544" spans="1:16" x14ac:dyDescent="0.25">
      <c r="A544" s="239"/>
      <c r="B544" s="302"/>
      <c r="C544" s="4">
        <v>136</v>
      </c>
      <c r="D544" s="5" t="s">
        <v>233</v>
      </c>
      <c r="E544" s="6" t="s">
        <v>235</v>
      </c>
      <c r="F544" s="4" t="s">
        <v>345</v>
      </c>
      <c r="G544" s="12">
        <v>622</v>
      </c>
      <c r="H544" s="9">
        <f t="shared" si="203"/>
        <v>831.4</v>
      </c>
      <c r="I544" s="9">
        <v>0</v>
      </c>
      <c r="J544" s="9">
        <v>425.1</v>
      </c>
      <c r="K544" s="9">
        <v>0</v>
      </c>
      <c r="L544" s="9">
        <f>831.4-J544</f>
        <v>406.29999999999995</v>
      </c>
      <c r="M544" s="9">
        <v>0</v>
      </c>
      <c r="N544" s="9">
        <v>0</v>
      </c>
      <c r="O544" s="268"/>
      <c r="P544" s="268"/>
    </row>
    <row r="545" spans="1:16" x14ac:dyDescent="0.25">
      <c r="A545" s="239"/>
      <c r="B545" s="196" t="s">
        <v>15</v>
      </c>
      <c r="C545" s="4"/>
      <c r="D545" s="5"/>
      <c r="E545" s="5"/>
      <c r="F545" s="5"/>
      <c r="G545" s="12"/>
      <c r="H545" s="9">
        <f t="shared" si="203"/>
        <v>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0</v>
      </c>
      <c r="O545" s="268"/>
      <c r="P545" s="268"/>
    </row>
    <row r="546" spans="1:16" ht="75.75" customHeight="1" x14ac:dyDescent="0.25">
      <c r="A546" s="240"/>
      <c r="B546" s="196" t="s">
        <v>12</v>
      </c>
      <c r="C546" s="4"/>
      <c r="D546" s="5"/>
      <c r="E546" s="5"/>
      <c r="F546" s="5"/>
      <c r="G546" s="12"/>
      <c r="H546" s="9">
        <f t="shared" si="203"/>
        <v>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0</v>
      </c>
      <c r="O546" s="268"/>
      <c r="P546" s="268"/>
    </row>
    <row r="547" spans="1:16" x14ac:dyDescent="0.25">
      <c r="A547" s="238" t="s">
        <v>529</v>
      </c>
      <c r="B547" s="196" t="s">
        <v>104</v>
      </c>
      <c r="C547" s="4"/>
      <c r="D547" s="5"/>
      <c r="E547" s="5"/>
      <c r="F547" s="5"/>
      <c r="G547" s="12"/>
      <c r="H547" s="9">
        <v>1</v>
      </c>
      <c r="I547" s="9">
        <v>0</v>
      </c>
      <c r="J547" s="9">
        <v>0</v>
      </c>
      <c r="K547" s="9">
        <v>0</v>
      </c>
      <c r="L547" s="9">
        <v>1</v>
      </c>
      <c r="M547" s="9">
        <v>0</v>
      </c>
      <c r="N547" s="9">
        <v>0</v>
      </c>
      <c r="O547" s="268" t="s">
        <v>391</v>
      </c>
      <c r="P547" s="268" t="s">
        <v>337</v>
      </c>
    </row>
    <row r="548" spans="1:16" ht="26.4" x14ac:dyDescent="0.25">
      <c r="A548" s="239"/>
      <c r="B548" s="196" t="s">
        <v>88</v>
      </c>
      <c r="C548" s="4"/>
      <c r="D548" s="5"/>
      <c r="E548" s="5"/>
      <c r="F548" s="5"/>
      <c r="G548" s="12"/>
      <c r="H548" s="9">
        <f>ROUND(H549/H547,1)</f>
        <v>2692.3</v>
      </c>
      <c r="I548" s="9" t="s">
        <v>229</v>
      </c>
      <c r="J548" s="9" t="s">
        <v>229</v>
      </c>
      <c r="K548" s="9" t="s">
        <v>229</v>
      </c>
      <c r="L548" s="9" t="s">
        <v>229</v>
      </c>
      <c r="M548" s="9">
        <v>0</v>
      </c>
      <c r="N548" s="9">
        <v>0</v>
      </c>
      <c r="O548" s="268"/>
      <c r="P548" s="268"/>
    </row>
    <row r="549" spans="1:16" x14ac:dyDescent="0.25">
      <c r="A549" s="239"/>
      <c r="B549" s="196" t="s">
        <v>74</v>
      </c>
      <c r="C549" s="4"/>
      <c r="D549" s="5"/>
      <c r="E549" s="5"/>
      <c r="F549" s="5"/>
      <c r="G549" s="12"/>
      <c r="H549" s="9">
        <f t="shared" ref="H549:N549" si="204">SUM(H550:H557)</f>
        <v>2692.3</v>
      </c>
      <c r="I549" s="9">
        <f t="shared" si="204"/>
        <v>0</v>
      </c>
      <c r="J549" s="9">
        <f t="shared" si="204"/>
        <v>0</v>
      </c>
      <c r="K549" s="9">
        <f t="shared" si="204"/>
        <v>1135.5</v>
      </c>
      <c r="L549" s="9">
        <f t="shared" si="204"/>
        <v>1556.8</v>
      </c>
      <c r="M549" s="9">
        <f t="shared" si="204"/>
        <v>0</v>
      </c>
      <c r="N549" s="9">
        <f t="shared" si="204"/>
        <v>0</v>
      </c>
      <c r="O549" s="268"/>
      <c r="P549" s="268"/>
    </row>
    <row r="550" spans="1:16" x14ac:dyDescent="0.25">
      <c r="A550" s="239"/>
      <c r="B550" s="238" t="s">
        <v>16</v>
      </c>
      <c r="C550" s="4">
        <v>136</v>
      </c>
      <c r="D550" s="5" t="s">
        <v>233</v>
      </c>
      <c r="E550" s="6" t="s">
        <v>234</v>
      </c>
      <c r="F550" s="4" t="s">
        <v>346</v>
      </c>
      <c r="G550" s="12">
        <v>523</v>
      </c>
      <c r="H550" s="9">
        <f t="shared" ref="H550:H557" si="205">I550+J550+K550+L550</f>
        <v>592.29999999999995</v>
      </c>
      <c r="I550" s="9">
        <v>0</v>
      </c>
      <c r="J550" s="9">
        <v>0</v>
      </c>
      <c r="K550" s="9">
        <v>249.8</v>
      </c>
      <c r="L550" s="9">
        <f>592.3-K550</f>
        <v>342.49999999999994</v>
      </c>
      <c r="M550" s="9">
        <v>0</v>
      </c>
      <c r="N550" s="9">
        <v>0</v>
      </c>
      <c r="O550" s="268"/>
      <c r="P550" s="268"/>
    </row>
    <row r="551" spans="1:16" hidden="1" x14ac:dyDescent="0.25">
      <c r="A551" s="239"/>
      <c r="B551" s="239"/>
      <c r="C551" s="4">
        <v>136</v>
      </c>
      <c r="D551" s="5" t="s">
        <v>233</v>
      </c>
      <c r="E551" s="6" t="s">
        <v>235</v>
      </c>
      <c r="F551" s="4" t="s">
        <v>263</v>
      </c>
      <c r="G551" s="12">
        <v>612</v>
      </c>
      <c r="H551" s="9">
        <f t="shared" si="205"/>
        <v>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0</v>
      </c>
      <c r="O551" s="268"/>
      <c r="P551" s="268"/>
    </row>
    <row r="552" spans="1:16" hidden="1" x14ac:dyDescent="0.25">
      <c r="A552" s="239"/>
      <c r="B552" s="301"/>
      <c r="C552" s="4">
        <v>136</v>
      </c>
      <c r="D552" s="5" t="s">
        <v>233</v>
      </c>
      <c r="E552" s="6" t="s">
        <v>235</v>
      </c>
      <c r="F552" s="4" t="s">
        <v>263</v>
      </c>
      <c r="G552" s="12">
        <v>622</v>
      </c>
      <c r="H552" s="9">
        <f t="shared" si="205"/>
        <v>0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268"/>
      <c r="P552" s="268"/>
    </row>
    <row r="553" spans="1:16" x14ac:dyDescent="0.25">
      <c r="A553" s="239"/>
      <c r="B553" s="241" t="s">
        <v>14</v>
      </c>
      <c r="C553" s="4">
        <v>136</v>
      </c>
      <c r="D553" s="5" t="s">
        <v>233</v>
      </c>
      <c r="E553" s="6" t="s">
        <v>234</v>
      </c>
      <c r="F553" s="4" t="s">
        <v>346</v>
      </c>
      <c r="G553" s="12">
        <v>523</v>
      </c>
      <c r="H553" s="9">
        <f t="shared" si="205"/>
        <v>2100</v>
      </c>
      <c r="I553" s="9">
        <v>0</v>
      </c>
      <c r="J553" s="9">
        <v>0</v>
      </c>
      <c r="K553" s="9">
        <v>885.7</v>
      </c>
      <c r="L553" s="9">
        <f>2100-K553</f>
        <v>1214.3</v>
      </c>
      <c r="M553" s="9">
        <v>0</v>
      </c>
      <c r="N553" s="9">
        <v>0</v>
      </c>
      <c r="O553" s="268"/>
      <c r="P553" s="268"/>
    </row>
    <row r="554" spans="1:16" hidden="1" x14ac:dyDescent="0.25">
      <c r="A554" s="239"/>
      <c r="B554" s="302"/>
      <c r="C554" s="4">
        <v>136</v>
      </c>
      <c r="D554" s="5" t="s">
        <v>233</v>
      </c>
      <c r="E554" s="6" t="s">
        <v>235</v>
      </c>
      <c r="F554" s="4" t="s">
        <v>263</v>
      </c>
      <c r="G554" s="12">
        <v>612</v>
      </c>
      <c r="H554" s="9">
        <f t="shared" si="205"/>
        <v>0</v>
      </c>
      <c r="I554" s="9">
        <v>0</v>
      </c>
      <c r="J554" s="9">
        <v>0</v>
      </c>
      <c r="K554" s="9">
        <v>0</v>
      </c>
      <c r="L554" s="9">
        <v>0</v>
      </c>
      <c r="M554" s="9">
        <v>0</v>
      </c>
      <c r="N554" s="9">
        <v>0</v>
      </c>
      <c r="O554" s="268"/>
      <c r="P554" s="268"/>
    </row>
    <row r="555" spans="1:16" hidden="1" x14ac:dyDescent="0.25">
      <c r="A555" s="239"/>
      <c r="B555" s="302"/>
      <c r="C555" s="4">
        <v>136</v>
      </c>
      <c r="D555" s="5" t="s">
        <v>233</v>
      </c>
      <c r="E555" s="6" t="s">
        <v>235</v>
      </c>
      <c r="F555" s="4" t="s">
        <v>263</v>
      </c>
      <c r="G555" s="12">
        <v>622</v>
      </c>
      <c r="H555" s="9">
        <f t="shared" si="205"/>
        <v>0</v>
      </c>
      <c r="I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v>0</v>
      </c>
      <c r="O555" s="268"/>
      <c r="P555" s="268"/>
    </row>
    <row r="556" spans="1:16" x14ac:dyDescent="0.25">
      <c r="A556" s="239"/>
      <c r="B556" s="196" t="s">
        <v>15</v>
      </c>
      <c r="C556" s="4"/>
      <c r="D556" s="5"/>
      <c r="E556" s="5"/>
      <c r="F556" s="5"/>
      <c r="G556" s="12"/>
      <c r="H556" s="9">
        <f t="shared" si="205"/>
        <v>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268"/>
      <c r="P556" s="268"/>
    </row>
    <row r="557" spans="1:16" ht="52.5" customHeight="1" x14ac:dyDescent="0.25">
      <c r="A557" s="240"/>
      <c r="B557" s="196" t="s">
        <v>12</v>
      </c>
      <c r="C557" s="4"/>
      <c r="D557" s="5"/>
      <c r="E557" s="5"/>
      <c r="F557" s="5"/>
      <c r="G557" s="12"/>
      <c r="H557" s="9">
        <f t="shared" si="205"/>
        <v>0</v>
      </c>
      <c r="I557" s="9">
        <v>0</v>
      </c>
      <c r="J557" s="9">
        <v>0</v>
      </c>
      <c r="K557" s="9">
        <v>0</v>
      </c>
      <c r="L557" s="9">
        <v>0</v>
      </c>
      <c r="M557" s="9">
        <v>0</v>
      </c>
      <c r="N557" s="9">
        <v>0</v>
      </c>
      <c r="O557" s="268"/>
      <c r="P557" s="268"/>
    </row>
    <row r="558" spans="1:16" ht="26.4" x14ac:dyDescent="0.25">
      <c r="A558" s="241" t="s">
        <v>530</v>
      </c>
      <c r="B558" s="196" t="s">
        <v>101</v>
      </c>
      <c r="C558" s="4"/>
      <c r="D558" s="5"/>
      <c r="E558" s="5"/>
      <c r="F558" s="5"/>
      <c r="G558" s="12"/>
      <c r="H558" s="9" t="s">
        <v>51</v>
      </c>
      <c r="I558" s="9" t="s">
        <v>51</v>
      </c>
      <c r="J558" s="9" t="s">
        <v>51</v>
      </c>
      <c r="K558" s="9" t="s">
        <v>51</v>
      </c>
      <c r="L558" s="9" t="s">
        <v>51</v>
      </c>
      <c r="M558" s="9" t="s">
        <v>51</v>
      </c>
      <c r="N558" s="9" t="s">
        <v>51</v>
      </c>
      <c r="O558" s="268" t="s">
        <v>363</v>
      </c>
      <c r="P558" s="268" t="s">
        <v>333</v>
      </c>
    </row>
    <row r="559" spans="1:16" ht="26.4" x14ac:dyDescent="0.25">
      <c r="A559" s="241"/>
      <c r="B559" s="196" t="s">
        <v>88</v>
      </c>
      <c r="C559" s="4"/>
      <c r="D559" s="5"/>
      <c r="E559" s="5"/>
      <c r="F559" s="5"/>
      <c r="G559" s="12"/>
      <c r="H559" s="9" t="s">
        <v>51</v>
      </c>
      <c r="I559" s="9" t="s">
        <v>229</v>
      </c>
      <c r="J559" s="9" t="s">
        <v>229</v>
      </c>
      <c r="K559" s="9" t="s">
        <v>229</v>
      </c>
      <c r="L559" s="9" t="s">
        <v>229</v>
      </c>
      <c r="M559" s="9" t="s">
        <v>51</v>
      </c>
      <c r="N559" s="9" t="s">
        <v>51</v>
      </c>
      <c r="O559" s="268"/>
      <c r="P559" s="268"/>
    </row>
    <row r="560" spans="1:16" x14ac:dyDescent="0.25">
      <c r="A560" s="241"/>
      <c r="B560" s="196" t="s">
        <v>74</v>
      </c>
      <c r="C560" s="4"/>
      <c r="D560" s="5"/>
      <c r="E560" s="5"/>
      <c r="F560" s="5"/>
      <c r="G560" s="12"/>
      <c r="H560" s="9">
        <f t="shared" ref="H560:N560" si="206">SUM(H561:H572)</f>
        <v>25682.3</v>
      </c>
      <c r="I560" s="9">
        <f t="shared" si="206"/>
        <v>0</v>
      </c>
      <c r="J560" s="9">
        <f t="shared" si="206"/>
        <v>13815</v>
      </c>
      <c r="K560" s="9">
        <f t="shared" si="206"/>
        <v>3454</v>
      </c>
      <c r="L560" s="9">
        <f t="shared" si="206"/>
        <v>8413.2999999999993</v>
      </c>
      <c r="M560" s="9">
        <f t="shared" si="206"/>
        <v>0</v>
      </c>
      <c r="N560" s="9">
        <f t="shared" si="206"/>
        <v>0</v>
      </c>
      <c r="O560" s="268"/>
      <c r="P560" s="268"/>
    </row>
    <row r="561" spans="1:16" hidden="1" x14ac:dyDescent="0.25">
      <c r="A561" s="241"/>
      <c r="B561" s="238" t="s">
        <v>16</v>
      </c>
      <c r="C561" s="4">
        <f>C576</f>
        <v>136</v>
      </c>
      <c r="D561" s="4" t="str">
        <f>D576</f>
        <v>07</v>
      </c>
      <c r="E561" s="4" t="str">
        <f>E576</f>
        <v>02</v>
      </c>
      <c r="F561" s="4" t="str">
        <f>F576</f>
        <v>07109R5390</v>
      </c>
      <c r="G561" s="12">
        <f>G576</f>
        <v>244</v>
      </c>
      <c r="H561" s="9">
        <f t="shared" ref="H561:N561" si="207">H576+H592+H608+H624+H640+H656</f>
        <v>0</v>
      </c>
      <c r="I561" s="9">
        <f t="shared" si="207"/>
        <v>0</v>
      </c>
      <c r="J561" s="9">
        <f t="shared" si="207"/>
        <v>0</v>
      </c>
      <c r="K561" s="9">
        <f t="shared" si="207"/>
        <v>0</v>
      </c>
      <c r="L561" s="9">
        <f t="shared" si="207"/>
        <v>0</v>
      </c>
      <c r="M561" s="9">
        <f t="shared" si="207"/>
        <v>0</v>
      </c>
      <c r="N561" s="9">
        <f t="shared" si="207"/>
        <v>0</v>
      </c>
      <c r="O561" s="268"/>
      <c r="P561" s="268"/>
    </row>
    <row r="562" spans="1:16" hidden="1" x14ac:dyDescent="0.25">
      <c r="A562" s="241"/>
      <c r="B562" s="239"/>
      <c r="C562" s="4">
        <f t="shared" ref="C562:G565" si="208">C577</f>
        <v>136</v>
      </c>
      <c r="D562" s="4" t="str">
        <f t="shared" si="208"/>
        <v>07</v>
      </c>
      <c r="E562" s="4" t="str">
        <f t="shared" si="208"/>
        <v>02</v>
      </c>
      <c r="F562" s="4" t="str">
        <f t="shared" si="208"/>
        <v>07109R5390</v>
      </c>
      <c r="G562" s="12">
        <f t="shared" si="208"/>
        <v>242</v>
      </c>
      <c r="H562" s="9">
        <f t="shared" ref="H562:N562" si="209">H577+H593+H609+H625+H641+H657</f>
        <v>0</v>
      </c>
      <c r="I562" s="9">
        <f t="shared" si="209"/>
        <v>0</v>
      </c>
      <c r="J562" s="9">
        <f t="shared" si="209"/>
        <v>0</v>
      </c>
      <c r="K562" s="9">
        <f t="shared" si="209"/>
        <v>0</v>
      </c>
      <c r="L562" s="9">
        <f t="shared" si="209"/>
        <v>0</v>
      </c>
      <c r="M562" s="9">
        <f t="shared" si="209"/>
        <v>0</v>
      </c>
      <c r="N562" s="9">
        <f t="shared" si="209"/>
        <v>0</v>
      </c>
      <c r="O562" s="268"/>
      <c r="P562" s="268"/>
    </row>
    <row r="563" spans="1:16" x14ac:dyDescent="0.25">
      <c r="A563" s="241"/>
      <c r="B563" s="239"/>
      <c r="C563" s="4">
        <f t="shared" si="208"/>
        <v>136</v>
      </c>
      <c r="D563" s="4" t="str">
        <f t="shared" si="208"/>
        <v>07</v>
      </c>
      <c r="E563" s="4" t="str">
        <f t="shared" si="208"/>
        <v>09</v>
      </c>
      <c r="F563" s="4" t="str">
        <f t="shared" si="208"/>
        <v>07109R5390</v>
      </c>
      <c r="G563" s="12">
        <f t="shared" si="208"/>
        <v>244</v>
      </c>
      <c r="H563" s="9">
        <f>H578+H594+H610+H626+H642+H658</f>
        <v>789.7</v>
      </c>
      <c r="I563" s="9">
        <f t="shared" ref="I563:N563" si="210">I578+I594+I610+I626+I642+I658</f>
        <v>0</v>
      </c>
      <c r="J563" s="9">
        <f t="shared" si="210"/>
        <v>176</v>
      </c>
      <c r="K563" s="9">
        <f t="shared" si="210"/>
        <v>338.4</v>
      </c>
      <c r="L563" s="9">
        <f t="shared" si="210"/>
        <v>275.29999999999995</v>
      </c>
      <c r="M563" s="9">
        <f t="shared" si="210"/>
        <v>0</v>
      </c>
      <c r="N563" s="9">
        <f t="shared" si="210"/>
        <v>0</v>
      </c>
      <c r="O563" s="268"/>
      <c r="P563" s="268"/>
    </row>
    <row r="564" spans="1:16" x14ac:dyDescent="0.25">
      <c r="A564" s="241"/>
      <c r="B564" s="239"/>
      <c r="C564" s="4">
        <f t="shared" si="208"/>
        <v>136</v>
      </c>
      <c r="D564" s="4" t="str">
        <f t="shared" si="208"/>
        <v>07</v>
      </c>
      <c r="E564" s="4" t="str">
        <f t="shared" si="208"/>
        <v>09</v>
      </c>
      <c r="F564" s="4" t="str">
        <f t="shared" si="208"/>
        <v>07109R5390</v>
      </c>
      <c r="G564" s="12">
        <f t="shared" si="208"/>
        <v>612</v>
      </c>
      <c r="H564" s="9">
        <f>H579+H595+H611+H627+H643+H659</f>
        <v>3520.7</v>
      </c>
      <c r="I564" s="9">
        <f t="shared" ref="I564:N564" si="211">I579+I595+I611+I627+I643+I659</f>
        <v>0</v>
      </c>
      <c r="J564" s="9">
        <f t="shared" si="211"/>
        <v>2302.3000000000002</v>
      </c>
      <c r="K564" s="9">
        <f t="shared" si="211"/>
        <v>174</v>
      </c>
      <c r="L564" s="9">
        <f t="shared" si="211"/>
        <v>1044.3999999999999</v>
      </c>
      <c r="M564" s="9">
        <f t="shared" si="211"/>
        <v>0</v>
      </c>
      <c r="N564" s="9">
        <f t="shared" si="211"/>
        <v>0</v>
      </c>
      <c r="O564" s="268"/>
      <c r="P564" s="268"/>
    </row>
    <row r="565" spans="1:16" x14ac:dyDescent="0.25">
      <c r="A565" s="241"/>
      <c r="B565" s="239"/>
      <c r="C565" s="4">
        <f t="shared" si="208"/>
        <v>136</v>
      </c>
      <c r="D565" s="4" t="str">
        <f t="shared" si="208"/>
        <v>07</v>
      </c>
      <c r="E565" s="4" t="str">
        <f t="shared" si="208"/>
        <v>09</v>
      </c>
      <c r="F565" s="4" t="str">
        <f t="shared" si="208"/>
        <v>07109R5390</v>
      </c>
      <c r="G565" s="12">
        <f t="shared" si="208"/>
        <v>622</v>
      </c>
      <c r="H565" s="9">
        <f>H580+H596+H612+H628+H644+H660</f>
        <v>1339.7</v>
      </c>
      <c r="I565" s="9">
        <f t="shared" ref="I565:N565" si="212">I580+I596+I612+I628+I644+I660</f>
        <v>0</v>
      </c>
      <c r="J565" s="9">
        <f t="shared" si="212"/>
        <v>561</v>
      </c>
      <c r="K565" s="9">
        <f t="shared" si="212"/>
        <v>247.5</v>
      </c>
      <c r="L565" s="9">
        <f t="shared" si="212"/>
        <v>531.20000000000005</v>
      </c>
      <c r="M565" s="9">
        <f t="shared" si="212"/>
        <v>0</v>
      </c>
      <c r="N565" s="9">
        <f t="shared" si="212"/>
        <v>0</v>
      </c>
      <c r="O565" s="268"/>
      <c r="P565" s="268"/>
    </row>
    <row r="566" spans="1:16" x14ac:dyDescent="0.25">
      <c r="A566" s="241"/>
      <c r="B566" s="238" t="s">
        <v>14</v>
      </c>
      <c r="C566" s="4">
        <f>C581</f>
        <v>136</v>
      </c>
      <c r="D566" s="4" t="str">
        <f>D581</f>
        <v>07</v>
      </c>
      <c r="E566" s="4" t="str">
        <f>E581</f>
        <v>02</v>
      </c>
      <c r="F566" s="4" t="str">
        <f>F581</f>
        <v>07109R5390</v>
      </c>
      <c r="G566" s="12">
        <f>G581</f>
        <v>244</v>
      </c>
      <c r="H566" s="9">
        <f t="shared" ref="H566:N566" si="213">H581+H597+H613+H629+H645+H661</f>
        <v>0</v>
      </c>
      <c r="I566" s="9">
        <f t="shared" si="213"/>
        <v>0</v>
      </c>
      <c r="J566" s="9">
        <f t="shared" si="213"/>
        <v>0</v>
      </c>
      <c r="K566" s="9">
        <f t="shared" si="213"/>
        <v>0</v>
      </c>
      <c r="L566" s="9">
        <f t="shared" si="213"/>
        <v>0</v>
      </c>
      <c r="M566" s="9">
        <f t="shared" si="213"/>
        <v>0</v>
      </c>
      <c r="N566" s="9">
        <f t="shared" si="213"/>
        <v>0</v>
      </c>
      <c r="O566" s="268"/>
      <c r="P566" s="268"/>
    </row>
    <row r="567" spans="1:16" hidden="1" x14ac:dyDescent="0.25">
      <c r="A567" s="241"/>
      <c r="B567" s="239"/>
      <c r="C567" s="4">
        <f t="shared" ref="C567:G568" si="214">C582</f>
        <v>136</v>
      </c>
      <c r="D567" s="4" t="str">
        <f t="shared" si="214"/>
        <v>07</v>
      </c>
      <c r="E567" s="4" t="str">
        <f t="shared" si="214"/>
        <v>02</v>
      </c>
      <c r="F567" s="4" t="str">
        <f t="shared" si="214"/>
        <v>07109R5390</v>
      </c>
      <c r="G567" s="12">
        <f t="shared" si="214"/>
        <v>242</v>
      </c>
      <c r="H567" s="9">
        <f t="shared" ref="H567:N567" si="215">H582+H598+H614+H630+H646+H662</f>
        <v>0</v>
      </c>
      <c r="I567" s="9">
        <f t="shared" si="215"/>
        <v>0</v>
      </c>
      <c r="J567" s="9">
        <f t="shared" si="215"/>
        <v>0</v>
      </c>
      <c r="K567" s="9">
        <f t="shared" si="215"/>
        <v>0</v>
      </c>
      <c r="L567" s="9">
        <f t="shared" si="215"/>
        <v>0</v>
      </c>
      <c r="M567" s="9">
        <f t="shared" si="215"/>
        <v>0</v>
      </c>
      <c r="N567" s="9">
        <f t="shared" si="215"/>
        <v>0</v>
      </c>
      <c r="O567" s="268"/>
      <c r="P567" s="268"/>
    </row>
    <row r="568" spans="1:16" x14ac:dyDescent="0.25">
      <c r="A568" s="241"/>
      <c r="B568" s="239"/>
      <c r="C568" s="4">
        <f t="shared" si="214"/>
        <v>136</v>
      </c>
      <c r="D568" s="4" t="str">
        <f t="shared" si="214"/>
        <v>07</v>
      </c>
      <c r="E568" s="4" t="str">
        <f t="shared" si="214"/>
        <v>09</v>
      </c>
      <c r="F568" s="4" t="str">
        <f t="shared" si="214"/>
        <v>07109R5390</v>
      </c>
      <c r="G568" s="12">
        <f t="shared" si="214"/>
        <v>244</v>
      </c>
      <c r="H568" s="9">
        <f t="shared" ref="H568:N568" si="216">H583+H599+H615+H631+H647+H663</f>
        <v>2800</v>
      </c>
      <c r="I568" s="9">
        <f t="shared" si="216"/>
        <v>0</v>
      </c>
      <c r="J568" s="9">
        <f t="shared" si="216"/>
        <v>623.9</v>
      </c>
      <c r="K568" s="9">
        <f t="shared" si="216"/>
        <v>1199.7</v>
      </c>
      <c r="L568" s="9">
        <f t="shared" si="216"/>
        <v>976.4</v>
      </c>
      <c r="M568" s="9">
        <f t="shared" si="216"/>
        <v>0</v>
      </c>
      <c r="N568" s="9">
        <f t="shared" si="216"/>
        <v>0</v>
      </c>
      <c r="O568" s="268"/>
      <c r="P568" s="268"/>
    </row>
    <row r="569" spans="1:16" x14ac:dyDescent="0.25">
      <c r="A569" s="241"/>
      <c r="B569" s="239"/>
      <c r="C569" s="4">
        <f>C585</f>
        <v>136</v>
      </c>
      <c r="D569" s="4" t="str">
        <f t="shared" ref="D569:G570" si="217">D585</f>
        <v>07</v>
      </c>
      <c r="E569" s="4" t="str">
        <f t="shared" si="217"/>
        <v>09</v>
      </c>
      <c r="F569" s="4" t="str">
        <f t="shared" si="217"/>
        <v>07109R5390</v>
      </c>
      <c r="G569" s="12">
        <f t="shared" si="217"/>
        <v>612</v>
      </c>
      <c r="H569" s="9">
        <f t="shared" ref="H569:N569" si="218">H585+H601+H617+H633+H649+H665</f>
        <v>12482.2</v>
      </c>
      <c r="I569" s="9">
        <f t="shared" si="218"/>
        <v>0</v>
      </c>
      <c r="J569" s="9">
        <f t="shared" si="218"/>
        <v>8162.8</v>
      </c>
      <c r="K569" s="9">
        <f t="shared" si="218"/>
        <v>616.9</v>
      </c>
      <c r="L569" s="9">
        <f t="shared" si="218"/>
        <v>3702.5</v>
      </c>
      <c r="M569" s="9">
        <f t="shared" si="218"/>
        <v>0</v>
      </c>
      <c r="N569" s="9">
        <f t="shared" si="218"/>
        <v>0</v>
      </c>
      <c r="O569" s="268"/>
      <c r="P569" s="268"/>
    </row>
    <row r="570" spans="1:16" x14ac:dyDescent="0.25">
      <c r="A570" s="241"/>
      <c r="B570" s="240"/>
      <c r="C570" s="4">
        <f>C586</f>
        <v>136</v>
      </c>
      <c r="D570" s="4" t="str">
        <f t="shared" si="217"/>
        <v>07</v>
      </c>
      <c r="E570" s="4" t="str">
        <f t="shared" si="217"/>
        <v>09</v>
      </c>
      <c r="F570" s="4" t="str">
        <f t="shared" si="217"/>
        <v>07109R5390</v>
      </c>
      <c r="G570" s="12">
        <f t="shared" si="217"/>
        <v>622</v>
      </c>
      <c r="H570" s="9">
        <f t="shared" ref="H570:N570" si="219">H586+H602+H618+H634+H650+H666</f>
        <v>4750</v>
      </c>
      <c r="I570" s="9">
        <f t="shared" si="219"/>
        <v>0</v>
      </c>
      <c r="J570" s="9">
        <f t="shared" si="219"/>
        <v>1989</v>
      </c>
      <c r="K570" s="9">
        <f t="shared" si="219"/>
        <v>877.5</v>
      </c>
      <c r="L570" s="9">
        <f t="shared" si="219"/>
        <v>1883.5</v>
      </c>
      <c r="M570" s="9">
        <f t="shared" si="219"/>
        <v>0</v>
      </c>
      <c r="N570" s="9">
        <f t="shared" si="219"/>
        <v>0</v>
      </c>
      <c r="O570" s="268"/>
      <c r="P570" s="268"/>
    </row>
    <row r="571" spans="1:16" x14ac:dyDescent="0.25">
      <c r="A571" s="241"/>
      <c r="B571" s="196" t="s">
        <v>15</v>
      </c>
      <c r="C571" s="4"/>
      <c r="D571" s="5"/>
      <c r="E571" s="5"/>
      <c r="F571" s="5"/>
      <c r="G571" s="12"/>
      <c r="H571" s="9">
        <f>H587+H603+H619+H635+H651+H667</f>
        <v>0</v>
      </c>
      <c r="I571" s="9">
        <f t="shared" ref="I571:N571" si="220">I587+I603+I619+I635+I651+I667</f>
        <v>0</v>
      </c>
      <c r="J571" s="9">
        <f t="shared" si="220"/>
        <v>0</v>
      </c>
      <c r="K571" s="9">
        <f t="shared" si="220"/>
        <v>0</v>
      </c>
      <c r="L571" s="9">
        <f t="shared" si="220"/>
        <v>0</v>
      </c>
      <c r="M571" s="9">
        <f t="shared" si="220"/>
        <v>0</v>
      </c>
      <c r="N571" s="9">
        <f t="shared" si="220"/>
        <v>0</v>
      </c>
      <c r="O571" s="268"/>
      <c r="P571" s="268"/>
    </row>
    <row r="572" spans="1:16" x14ac:dyDescent="0.25">
      <c r="A572" s="241"/>
      <c r="B572" s="196" t="s">
        <v>12</v>
      </c>
      <c r="C572" s="4"/>
      <c r="D572" s="5"/>
      <c r="E572" s="5"/>
      <c r="F572" s="5"/>
      <c r="G572" s="12"/>
      <c r="H572" s="9">
        <f>H588+H604+H620+H636+H652+H668</f>
        <v>0</v>
      </c>
      <c r="I572" s="9">
        <f t="shared" ref="I572:N572" si="221">I588+I604+I620+I636+I652+I668</f>
        <v>0</v>
      </c>
      <c r="J572" s="9">
        <f t="shared" si="221"/>
        <v>0</v>
      </c>
      <c r="K572" s="9">
        <f t="shared" si="221"/>
        <v>0</v>
      </c>
      <c r="L572" s="9">
        <f t="shared" si="221"/>
        <v>0</v>
      </c>
      <c r="M572" s="9">
        <f t="shared" si="221"/>
        <v>0</v>
      </c>
      <c r="N572" s="9">
        <f t="shared" si="221"/>
        <v>0</v>
      </c>
      <c r="O572" s="268"/>
      <c r="P572" s="268"/>
    </row>
    <row r="573" spans="1:16" x14ac:dyDescent="0.25">
      <c r="A573" s="241" t="s">
        <v>531</v>
      </c>
      <c r="B573" s="196" t="s">
        <v>104</v>
      </c>
      <c r="C573" s="4"/>
      <c r="D573" s="5"/>
      <c r="E573" s="5"/>
      <c r="F573" s="5"/>
      <c r="G573" s="12"/>
      <c r="H573" s="9">
        <v>2</v>
      </c>
      <c r="I573" s="9">
        <v>0</v>
      </c>
      <c r="J573" s="9">
        <v>0</v>
      </c>
      <c r="K573" s="9">
        <v>0</v>
      </c>
      <c r="L573" s="9">
        <v>2</v>
      </c>
      <c r="M573" s="9">
        <v>0</v>
      </c>
      <c r="N573" s="9">
        <v>0</v>
      </c>
      <c r="O573" s="268" t="s">
        <v>392</v>
      </c>
      <c r="P573" s="268" t="s">
        <v>412</v>
      </c>
    </row>
    <row r="574" spans="1:16" ht="26.4" x14ac:dyDescent="0.25">
      <c r="A574" s="241"/>
      <c r="B574" s="196" t="s">
        <v>88</v>
      </c>
      <c r="C574" s="4"/>
      <c r="D574" s="5"/>
      <c r="E574" s="5"/>
      <c r="F574" s="5"/>
      <c r="G574" s="12"/>
      <c r="H574" s="9">
        <f>ROUND(H575/H573,1)</f>
        <v>2513.5</v>
      </c>
      <c r="I574" s="9" t="s">
        <v>229</v>
      </c>
      <c r="J574" s="9" t="s">
        <v>229</v>
      </c>
      <c r="K574" s="9" t="s">
        <v>229</v>
      </c>
      <c r="L574" s="9" t="s">
        <v>229</v>
      </c>
      <c r="M574" s="9">
        <v>0</v>
      </c>
      <c r="N574" s="9">
        <v>0</v>
      </c>
      <c r="O574" s="268"/>
      <c r="P574" s="268"/>
    </row>
    <row r="575" spans="1:16" x14ac:dyDescent="0.25">
      <c r="A575" s="241"/>
      <c r="B575" s="196" t="s">
        <v>74</v>
      </c>
      <c r="C575" s="4"/>
      <c r="D575" s="5"/>
      <c r="E575" s="5"/>
      <c r="F575" s="5"/>
      <c r="G575" s="12"/>
      <c r="H575" s="9">
        <f>SUM(H576:H588)</f>
        <v>5027</v>
      </c>
      <c r="I575" s="9">
        <f t="shared" ref="I575:N575" si="222">SUM(I576:I588)</f>
        <v>0</v>
      </c>
      <c r="J575" s="9">
        <f t="shared" si="222"/>
        <v>1489.8000000000002</v>
      </c>
      <c r="K575" s="9">
        <f t="shared" si="222"/>
        <v>1538.1</v>
      </c>
      <c r="L575" s="9">
        <f t="shared" si="222"/>
        <v>1999.1</v>
      </c>
      <c r="M575" s="9">
        <f t="shared" si="222"/>
        <v>0</v>
      </c>
      <c r="N575" s="9">
        <f t="shared" si="222"/>
        <v>0</v>
      </c>
      <c r="O575" s="268"/>
      <c r="P575" s="268"/>
    </row>
    <row r="576" spans="1:16" hidden="1" x14ac:dyDescent="0.25">
      <c r="A576" s="241"/>
      <c r="B576" s="238" t="s">
        <v>16</v>
      </c>
      <c r="C576" s="4">
        <v>136</v>
      </c>
      <c r="D576" s="5" t="s">
        <v>233</v>
      </c>
      <c r="E576" s="6" t="s">
        <v>234</v>
      </c>
      <c r="F576" s="4" t="s">
        <v>299</v>
      </c>
      <c r="G576" s="12">
        <v>244</v>
      </c>
      <c r="H576" s="9">
        <f t="shared" ref="H576:H588" si="223">I576+J576+K576+L576</f>
        <v>0</v>
      </c>
      <c r="I576" s="9">
        <v>0</v>
      </c>
      <c r="J576" s="9">
        <v>0</v>
      </c>
      <c r="K576" s="9">
        <v>0</v>
      </c>
      <c r="L576" s="9">
        <v>0</v>
      </c>
      <c r="M576" s="9">
        <v>0</v>
      </c>
      <c r="N576" s="9">
        <v>0</v>
      </c>
      <c r="O576" s="268"/>
      <c r="P576" s="268"/>
    </row>
    <row r="577" spans="1:16" hidden="1" x14ac:dyDescent="0.25">
      <c r="A577" s="241"/>
      <c r="B577" s="239"/>
      <c r="C577" s="4">
        <v>136</v>
      </c>
      <c r="D577" s="5" t="s">
        <v>233</v>
      </c>
      <c r="E577" s="6" t="s">
        <v>234</v>
      </c>
      <c r="F577" s="4" t="s">
        <v>299</v>
      </c>
      <c r="G577" s="12">
        <v>242</v>
      </c>
      <c r="H577" s="9">
        <f t="shared" si="223"/>
        <v>0</v>
      </c>
      <c r="I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v>0</v>
      </c>
      <c r="O577" s="268"/>
      <c r="P577" s="268"/>
    </row>
    <row r="578" spans="1:16" x14ac:dyDescent="0.25">
      <c r="A578" s="241"/>
      <c r="B578" s="239"/>
      <c r="C578" s="4">
        <v>136</v>
      </c>
      <c r="D578" s="5" t="s">
        <v>233</v>
      </c>
      <c r="E578" s="6" t="s">
        <v>235</v>
      </c>
      <c r="F578" s="4" t="s">
        <v>299</v>
      </c>
      <c r="G578" s="12">
        <v>244</v>
      </c>
      <c r="H578" s="9">
        <f t="shared" si="223"/>
        <v>426.5</v>
      </c>
      <c r="I578" s="9">
        <v>0</v>
      </c>
      <c r="J578" s="9">
        <v>77</v>
      </c>
      <c r="K578" s="9">
        <v>338.4</v>
      </c>
      <c r="L578" s="9">
        <v>11.1</v>
      </c>
      <c r="M578" s="9">
        <v>0</v>
      </c>
      <c r="N578" s="9">
        <v>0</v>
      </c>
      <c r="O578" s="268"/>
      <c r="P578" s="268"/>
    </row>
    <row r="579" spans="1:16" x14ac:dyDescent="0.25">
      <c r="A579" s="241"/>
      <c r="B579" s="239"/>
      <c r="C579" s="4">
        <v>136</v>
      </c>
      <c r="D579" s="5" t="s">
        <v>233</v>
      </c>
      <c r="E579" s="6" t="s">
        <v>235</v>
      </c>
      <c r="F579" s="4" t="s">
        <v>299</v>
      </c>
      <c r="G579" s="12">
        <v>612</v>
      </c>
      <c r="H579" s="9">
        <f t="shared" si="223"/>
        <v>203.1</v>
      </c>
      <c r="I579" s="9">
        <v>0</v>
      </c>
      <c r="J579" s="9">
        <v>85.8</v>
      </c>
      <c r="K579" s="9">
        <v>0</v>
      </c>
      <c r="L579" s="9">
        <f>203.1-85.8</f>
        <v>117.3</v>
      </c>
      <c r="M579" s="9">
        <v>0</v>
      </c>
      <c r="N579" s="9">
        <v>0</v>
      </c>
      <c r="O579" s="268"/>
      <c r="P579" s="268"/>
    </row>
    <row r="580" spans="1:16" x14ac:dyDescent="0.25">
      <c r="A580" s="241"/>
      <c r="B580" s="240"/>
      <c r="C580" s="4">
        <v>136</v>
      </c>
      <c r="D580" s="5" t="s">
        <v>233</v>
      </c>
      <c r="E580" s="6" t="s">
        <v>235</v>
      </c>
      <c r="F580" s="4" t="s">
        <v>299</v>
      </c>
      <c r="G580" s="12">
        <v>622</v>
      </c>
      <c r="H580" s="9">
        <f t="shared" si="223"/>
        <v>476.3</v>
      </c>
      <c r="I580" s="9">
        <v>0</v>
      </c>
      <c r="J580" s="9">
        <v>165</v>
      </c>
      <c r="K580" s="9">
        <v>0</v>
      </c>
      <c r="L580" s="9">
        <f>476.3-165</f>
        <v>311.3</v>
      </c>
      <c r="M580" s="9">
        <v>0</v>
      </c>
      <c r="N580" s="9">
        <v>0</v>
      </c>
      <c r="O580" s="268"/>
      <c r="P580" s="268"/>
    </row>
    <row r="581" spans="1:16" hidden="1" x14ac:dyDescent="0.25">
      <c r="A581" s="241"/>
      <c r="B581" s="238" t="s">
        <v>14</v>
      </c>
      <c r="C581" s="150">
        <v>136</v>
      </c>
      <c r="D581" s="151" t="s">
        <v>233</v>
      </c>
      <c r="E581" s="158" t="s">
        <v>234</v>
      </c>
      <c r="F581" s="150" t="s">
        <v>299</v>
      </c>
      <c r="G581" s="207">
        <v>244</v>
      </c>
      <c r="H581" s="222">
        <f t="shared" si="223"/>
        <v>0</v>
      </c>
      <c r="I581" s="222">
        <v>0</v>
      </c>
      <c r="J581" s="222">
        <v>0</v>
      </c>
      <c r="K581" s="222">
        <v>0</v>
      </c>
      <c r="L581" s="222">
        <v>0</v>
      </c>
      <c r="M581" s="222">
        <v>0</v>
      </c>
      <c r="N581" s="222">
        <v>0</v>
      </c>
      <c r="O581" s="268"/>
      <c r="P581" s="268"/>
    </row>
    <row r="582" spans="1:16" hidden="1" x14ac:dyDescent="0.25">
      <c r="A582" s="241"/>
      <c r="B582" s="239"/>
      <c r="C582" s="150">
        <v>136</v>
      </c>
      <c r="D582" s="151" t="s">
        <v>233</v>
      </c>
      <c r="E582" s="158" t="s">
        <v>234</v>
      </c>
      <c r="F582" s="150" t="s">
        <v>299</v>
      </c>
      <c r="G582" s="207">
        <v>242</v>
      </c>
      <c r="H582" s="222">
        <f t="shared" si="223"/>
        <v>0</v>
      </c>
      <c r="I582" s="222">
        <v>0</v>
      </c>
      <c r="J582" s="222">
        <v>0</v>
      </c>
      <c r="K582" s="222">
        <v>0</v>
      </c>
      <c r="L582" s="222">
        <v>0</v>
      </c>
      <c r="M582" s="222">
        <v>0</v>
      </c>
      <c r="N582" s="222">
        <v>0</v>
      </c>
      <c r="O582" s="268"/>
      <c r="P582" s="268"/>
    </row>
    <row r="583" spans="1:16" x14ac:dyDescent="0.25">
      <c r="A583" s="241"/>
      <c r="B583" s="239"/>
      <c r="C583" s="4">
        <v>136</v>
      </c>
      <c r="D583" s="5" t="s">
        <v>233</v>
      </c>
      <c r="E583" s="6" t="s">
        <v>235</v>
      </c>
      <c r="F583" s="4" t="s">
        <v>299</v>
      </c>
      <c r="G583" s="12">
        <v>244</v>
      </c>
      <c r="H583" s="9">
        <f t="shared" si="223"/>
        <v>1512.3999999999999</v>
      </c>
      <c r="I583" s="9">
        <v>0</v>
      </c>
      <c r="J583" s="9">
        <v>272.89999999999998</v>
      </c>
      <c r="K583" s="9">
        <v>1199.7</v>
      </c>
      <c r="L583" s="9">
        <f>1512.4-J583-K583</f>
        <v>39.799999999999955</v>
      </c>
      <c r="M583" s="9">
        <v>0</v>
      </c>
      <c r="N583" s="9">
        <v>0</v>
      </c>
      <c r="O583" s="268"/>
      <c r="P583" s="268"/>
    </row>
    <row r="584" spans="1:16" hidden="1" x14ac:dyDescent="0.25">
      <c r="A584" s="241"/>
      <c r="B584" s="239"/>
      <c r="C584" s="150">
        <v>136</v>
      </c>
      <c r="D584" s="151" t="s">
        <v>233</v>
      </c>
      <c r="E584" s="158" t="s">
        <v>235</v>
      </c>
      <c r="F584" s="150" t="s">
        <v>299</v>
      </c>
      <c r="G584" s="207">
        <v>540</v>
      </c>
      <c r="H584" s="222">
        <f t="shared" si="223"/>
        <v>0</v>
      </c>
      <c r="I584" s="222">
        <v>0</v>
      </c>
      <c r="J584" s="222">
        <v>0</v>
      </c>
      <c r="K584" s="222">
        <v>0</v>
      </c>
      <c r="L584" s="222">
        <v>0</v>
      </c>
      <c r="M584" s="222">
        <v>0</v>
      </c>
      <c r="N584" s="222">
        <v>0</v>
      </c>
      <c r="O584" s="268"/>
      <c r="P584" s="268"/>
    </row>
    <row r="585" spans="1:16" x14ac:dyDescent="0.25">
      <c r="A585" s="241"/>
      <c r="B585" s="239"/>
      <c r="C585" s="4">
        <v>136</v>
      </c>
      <c r="D585" s="5" t="s">
        <v>233</v>
      </c>
      <c r="E585" s="6" t="s">
        <v>235</v>
      </c>
      <c r="F585" s="4" t="s">
        <v>299</v>
      </c>
      <c r="G585" s="12">
        <v>612</v>
      </c>
      <c r="H585" s="9">
        <f t="shared" si="223"/>
        <v>720</v>
      </c>
      <c r="I585" s="9">
        <v>0</v>
      </c>
      <c r="J585" s="9">
        <v>304.10000000000002</v>
      </c>
      <c r="K585" s="9">
        <v>0</v>
      </c>
      <c r="L585" s="9">
        <f>720-J585</f>
        <v>415.9</v>
      </c>
      <c r="M585" s="9">
        <v>0</v>
      </c>
      <c r="N585" s="9">
        <v>0</v>
      </c>
      <c r="O585" s="268"/>
      <c r="P585" s="268"/>
    </row>
    <row r="586" spans="1:16" x14ac:dyDescent="0.25">
      <c r="A586" s="241"/>
      <c r="B586" s="240"/>
      <c r="C586" s="4">
        <v>136</v>
      </c>
      <c r="D586" s="5" t="s">
        <v>233</v>
      </c>
      <c r="E586" s="6" t="s">
        <v>235</v>
      </c>
      <c r="F586" s="4" t="s">
        <v>299</v>
      </c>
      <c r="G586" s="12">
        <v>622</v>
      </c>
      <c r="H586" s="9">
        <f t="shared" si="223"/>
        <v>1688.7</v>
      </c>
      <c r="I586" s="9">
        <v>0</v>
      </c>
      <c r="J586" s="9">
        <v>585</v>
      </c>
      <c r="K586" s="9">
        <v>0</v>
      </c>
      <c r="L586" s="9">
        <f>1688.7-J586</f>
        <v>1103.7</v>
      </c>
      <c r="M586" s="9">
        <v>0</v>
      </c>
      <c r="N586" s="9">
        <v>0</v>
      </c>
      <c r="O586" s="268"/>
      <c r="P586" s="268"/>
    </row>
    <row r="587" spans="1:16" x14ac:dyDescent="0.25">
      <c r="A587" s="241"/>
      <c r="B587" s="196" t="s">
        <v>15</v>
      </c>
      <c r="C587" s="4"/>
      <c r="D587" s="5"/>
      <c r="E587" s="5"/>
      <c r="F587" s="5"/>
      <c r="G587" s="12"/>
      <c r="H587" s="9">
        <f t="shared" si="223"/>
        <v>0</v>
      </c>
      <c r="I587" s="9">
        <v>0</v>
      </c>
      <c r="J587" s="9">
        <v>0</v>
      </c>
      <c r="K587" s="9">
        <v>0</v>
      </c>
      <c r="L587" s="9">
        <v>0</v>
      </c>
      <c r="M587" s="9">
        <v>0</v>
      </c>
      <c r="N587" s="9">
        <v>0</v>
      </c>
      <c r="O587" s="268"/>
      <c r="P587" s="268"/>
    </row>
    <row r="588" spans="1:16" x14ac:dyDescent="0.25">
      <c r="A588" s="241"/>
      <c r="B588" s="196" t="s">
        <v>12</v>
      </c>
      <c r="C588" s="4"/>
      <c r="D588" s="5"/>
      <c r="E588" s="5"/>
      <c r="F588" s="5"/>
      <c r="G588" s="12"/>
      <c r="H588" s="9">
        <f t="shared" si="223"/>
        <v>0</v>
      </c>
      <c r="I588" s="9">
        <v>0</v>
      </c>
      <c r="J588" s="9">
        <v>0</v>
      </c>
      <c r="K588" s="9">
        <v>0</v>
      </c>
      <c r="L588" s="9">
        <v>0</v>
      </c>
      <c r="M588" s="9">
        <v>0</v>
      </c>
      <c r="N588" s="9">
        <v>0</v>
      </c>
      <c r="O588" s="268"/>
      <c r="P588" s="268"/>
    </row>
    <row r="589" spans="1:16" x14ac:dyDescent="0.25">
      <c r="A589" s="241" t="s">
        <v>532</v>
      </c>
      <c r="B589" s="196" t="s">
        <v>204</v>
      </c>
      <c r="C589" s="4"/>
      <c r="D589" s="5"/>
      <c r="E589" s="5"/>
      <c r="F589" s="5"/>
      <c r="G589" s="12"/>
      <c r="H589" s="9">
        <v>20</v>
      </c>
      <c r="I589" s="9">
        <v>0</v>
      </c>
      <c r="J589" s="9">
        <v>0</v>
      </c>
      <c r="K589" s="9">
        <v>0</v>
      </c>
      <c r="L589" s="9">
        <v>20</v>
      </c>
      <c r="M589" s="9">
        <v>0</v>
      </c>
      <c r="N589" s="9">
        <v>0</v>
      </c>
      <c r="O589" s="268" t="s">
        <v>335</v>
      </c>
      <c r="P589" s="268" t="s">
        <v>644</v>
      </c>
    </row>
    <row r="590" spans="1:16" ht="26.4" x14ac:dyDescent="0.25">
      <c r="A590" s="241"/>
      <c r="B590" s="196" t="s">
        <v>88</v>
      </c>
      <c r="C590" s="4"/>
      <c r="D590" s="5"/>
      <c r="E590" s="5"/>
      <c r="F590" s="5"/>
      <c r="G590" s="12"/>
      <c r="H590" s="9">
        <f>ROUND(H591/H589,1)</f>
        <v>597.1</v>
      </c>
      <c r="I590" s="9" t="s">
        <v>229</v>
      </c>
      <c r="J590" s="9" t="s">
        <v>229</v>
      </c>
      <c r="K590" s="9" t="s">
        <v>229</v>
      </c>
      <c r="L590" s="9" t="s">
        <v>229</v>
      </c>
      <c r="M590" s="9">
        <v>0</v>
      </c>
      <c r="N590" s="9">
        <v>0</v>
      </c>
      <c r="O590" s="268"/>
      <c r="P590" s="282"/>
    </row>
    <row r="591" spans="1:16" x14ac:dyDescent="0.25">
      <c r="A591" s="241"/>
      <c r="B591" s="196" t="s">
        <v>74</v>
      </c>
      <c r="C591" s="4"/>
      <c r="D591" s="5"/>
      <c r="E591" s="5"/>
      <c r="F591" s="5"/>
      <c r="G591" s="12"/>
      <c r="H591" s="9">
        <f>SUM(H592:H604)</f>
        <v>11941.8</v>
      </c>
      <c r="I591" s="9">
        <f t="shared" ref="I591:N591" si="224">SUM(I592:I604)</f>
        <v>0</v>
      </c>
      <c r="J591" s="9">
        <f t="shared" si="224"/>
        <v>9535.2000000000007</v>
      </c>
      <c r="K591" s="9">
        <f t="shared" si="224"/>
        <v>790.9</v>
      </c>
      <c r="L591" s="9">
        <f t="shared" si="224"/>
        <v>1615.7000000000003</v>
      </c>
      <c r="M591" s="9">
        <f t="shared" si="224"/>
        <v>0</v>
      </c>
      <c r="N591" s="9">
        <f t="shared" si="224"/>
        <v>0</v>
      </c>
      <c r="O591" s="268"/>
      <c r="P591" s="282"/>
    </row>
    <row r="592" spans="1:16" hidden="1" x14ac:dyDescent="0.25">
      <c r="A592" s="241"/>
      <c r="B592" s="241" t="s">
        <v>16</v>
      </c>
      <c r="C592" s="4">
        <v>136</v>
      </c>
      <c r="D592" s="5" t="s">
        <v>233</v>
      </c>
      <c r="E592" s="6" t="s">
        <v>234</v>
      </c>
      <c r="F592" s="4" t="s">
        <v>299</v>
      </c>
      <c r="G592" s="12">
        <v>244</v>
      </c>
      <c r="H592" s="222">
        <f t="shared" ref="H592:H604" si="225">I592+J592+K592+L592</f>
        <v>0</v>
      </c>
      <c r="I592" s="222">
        <v>0</v>
      </c>
      <c r="J592" s="222">
        <v>0</v>
      </c>
      <c r="K592" s="222">
        <v>0</v>
      </c>
      <c r="L592" s="222">
        <v>0</v>
      </c>
      <c r="M592" s="222">
        <v>0</v>
      </c>
      <c r="N592" s="222">
        <v>0</v>
      </c>
      <c r="O592" s="268"/>
      <c r="P592" s="282"/>
    </row>
    <row r="593" spans="1:16" hidden="1" x14ac:dyDescent="0.25">
      <c r="A593" s="241"/>
      <c r="B593" s="241"/>
      <c r="C593" s="4">
        <v>136</v>
      </c>
      <c r="D593" s="5" t="s">
        <v>233</v>
      </c>
      <c r="E593" s="6" t="s">
        <v>234</v>
      </c>
      <c r="F593" s="4" t="s">
        <v>299</v>
      </c>
      <c r="G593" s="12">
        <v>242</v>
      </c>
      <c r="H593" s="222">
        <f t="shared" si="225"/>
        <v>0</v>
      </c>
      <c r="I593" s="222">
        <v>0</v>
      </c>
      <c r="J593" s="222">
        <v>0</v>
      </c>
      <c r="K593" s="222">
        <v>0</v>
      </c>
      <c r="L593" s="222">
        <v>0</v>
      </c>
      <c r="M593" s="222">
        <v>0</v>
      </c>
      <c r="N593" s="222">
        <v>0</v>
      </c>
      <c r="O593" s="268"/>
      <c r="P593" s="282"/>
    </row>
    <row r="594" spans="1:16" hidden="1" x14ac:dyDescent="0.25">
      <c r="A594" s="241"/>
      <c r="B594" s="241"/>
      <c r="C594" s="4">
        <v>136</v>
      </c>
      <c r="D594" s="5" t="s">
        <v>233</v>
      </c>
      <c r="E594" s="6" t="s">
        <v>235</v>
      </c>
      <c r="F594" s="4" t="s">
        <v>299</v>
      </c>
      <c r="G594" s="12">
        <v>244</v>
      </c>
      <c r="H594" s="222">
        <f t="shared" si="225"/>
        <v>0</v>
      </c>
      <c r="I594" s="222">
        <v>0</v>
      </c>
      <c r="J594" s="222">
        <v>0</v>
      </c>
      <c r="K594" s="222">
        <v>0</v>
      </c>
      <c r="L594" s="222">
        <v>0</v>
      </c>
      <c r="M594" s="222">
        <v>0</v>
      </c>
      <c r="N594" s="222">
        <v>0</v>
      </c>
      <c r="O594" s="268"/>
      <c r="P594" s="282"/>
    </row>
    <row r="595" spans="1:16" x14ac:dyDescent="0.25">
      <c r="A595" s="241"/>
      <c r="B595" s="241"/>
      <c r="C595" s="4">
        <v>136</v>
      </c>
      <c r="D595" s="5" t="s">
        <v>233</v>
      </c>
      <c r="E595" s="6" t="s">
        <v>235</v>
      </c>
      <c r="F595" s="4" t="s">
        <v>299</v>
      </c>
      <c r="G595" s="12">
        <v>612</v>
      </c>
      <c r="H595" s="9">
        <f t="shared" si="225"/>
        <v>2627.2</v>
      </c>
      <c r="I595" s="9">
        <v>0</v>
      </c>
      <c r="J595" s="9">
        <v>2097.6999999999998</v>
      </c>
      <c r="K595" s="9">
        <v>174</v>
      </c>
      <c r="L595" s="9">
        <f>2627.2-J595-K595</f>
        <v>355.5</v>
      </c>
      <c r="M595" s="9">
        <v>0</v>
      </c>
      <c r="N595" s="9">
        <v>0</v>
      </c>
      <c r="O595" s="268"/>
      <c r="P595" s="282"/>
    </row>
    <row r="596" spans="1:16" hidden="1" x14ac:dyDescent="0.25">
      <c r="A596" s="241"/>
      <c r="B596" s="241"/>
      <c r="C596" s="4">
        <v>136</v>
      </c>
      <c r="D596" s="5" t="s">
        <v>233</v>
      </c>
      <c r="E596" s="6" t="s">
        <v>235</v>
      </c>
      <c r="F596" s="4" t="s">
        <v>299</v>
      </c>
      <c r="G596" s="12">
        <v>622</v>
      </c>
      <c r="H596" s="222">
        <f t="shared" si="225"/>
        <v>0</v>
      </c>
      <c r="I596" s="222">
        <v>0</v>
      </c>
      <c r="J596" s="222">
        <v>0</v>
      </c>
      <c r="K596" s="222">
        <v>0</v>
      </c>
      <c r="L596" s="222">
        <v>0</v>
      </c>
      <c r="M596" s="9">
        <v>0</v>
      </c>
      <c r="N596" s="9">
        <v>0</v>
      </c>
      <c r="O596" s="268"/>
      <c r="P596" s="282"/>
    </row>
    <row r="597" spans="1:16" hidden="1" x14ac:dyDescent="0.25">
      <c r="A597" s="241"/>
      <c r="B597" s="241" t="s">
        <v>14</v>
      </c>
      <c r="C597" s="4">
        <v>136</v>
      </c>
      <c r="D597" s="5" t="s">
        <v>233</v>
      </c>
      <c r="E597" s="6" t="s">
        <v>234</v>
      </c>
      <c r="F597" s="4" t="s">
        <v>299</v>
      </c>
      <c r="G597" s="12">
        <v>244</v>
      </c>
      <c r="H597" s="222">
        <f t="shared" si="225"/>
        <v>0</v>
      </c>
      <c r="I597" s="222">
        <v>0</v>
      </c>
      <c r="J597" s="222">
        <v>0</v>
      </c>
      <c r="K597" s="222">
        <v>0</v>
      </c>
      <c r="L597" s="222">
        <v>0</v>
      </c>
      <c r="M597" s="9">
        <v>0</v>
      </c>
      <c r="N597" s="9">
        <v>0</v>
      </c>
      <c r="O597" s="268"/>
      <c r="P597" s="282"/>
    </row>
    <row r="598" spans="1:16" hidden="1" x14ac:dyDescent="0.25">
      <c r="A598" s="241"/>
      <c r="B598" s="241"/>
      <c r="C598" s="4">
        <v>136</v>
      </c>
      <c r="D598" s="5" t="s">
        <v>233</v>
      </c>
      <c r="E598" s="6" t="s">
        <v>234</v>
      </c>
      <c r="F598" s="4" t="s">
        <v>299</v>
      </c>
      <c r="G598" s="12">
        <v>242</v>
      </c>
      <c r="H598" s="222">
        <f t="shared" si="225"/>
        <v>0</v>
      </c>
      <c r="I598" s="222">
        <v>0</v>
      </c>
      <c r="J598" s="222">
        <v>0</v>
      </c>
      <c r="K598" s="222">
        <v>0</v>
      </c>
      <c r="L598" s="222">
        <v>0</v>
      </c>
      <c r="M598" s="9">
        <v>0</v>
      </c>
      <c r="N598" s="9">
        <v>0</v>
      </c>
      <c r="O598" s="268"/>
      <c r="P598" s="282"/>
    </row>
    <row r="599" spans="1:16" hidden="1" x14ac:dyDescent="0.25">
      <c r="A599" s="241"/>
      <c r="B599" s="241"/>
      <c r="C599" s="4">
        <v>136</v>
      </c>
      <c r="D599" s="5" t="s">
        <v>233</v>
      </c>
      <c r="E599" s="6" t="s">
        <v>235</v>
      </c>
      <c r="F599" s="4" t="s">
        <v>299</v>
      </c>
      <c r="G599" s="12">
        <v>244</v>
      </c>
      <c r="H599" s="222">
        <f t="shared" si="225"/>
        <v>0</v>
      </c>
      <c r="I599" s="222">
        <v>0</v>
      </c>
      <c r="J599" s="222">
        <v>0</v>
      </c>
      <c r="K599" s="222">
        <v>0</v>
      </c>
      <c r="L599" s="222">
        <v>0</v>
      </c>
      <c r="M599" s="9">
        <v>0</v>
      </c>
      <c r="N599" s="9">
        <v>0</v>
      </c>
      <c r="O599" s="268"/>
      <c r="P599" s="282"/>
    </row>
    <row r="600" spans="1:16" hidden="1" x14ac:dyDescent="0.25">
      <c r="A600" s="241"/>
      <c r="B600" s="241"/>
      <c r="C600" s="4">
        <v>136</v>
      </c>
      <c r="D600" s="5" t="s">
        <v>233</v>
      </c>
      <c r="E600" s="6" t="s">
        <v>235</v>
      </c>
      <c r="F600" s="4" t="s">
        <v>299</v>
      </c>
      <c r="G600" s="12">
        <v>540</v>
      </c>
      <c r="H600" s="222">
        <f t="shared" si="225"/>
        <v>0</v>
      </c>
      <c r="I600" s="222">
        <v>0</v>
      </c>
      <c r="J600" s="222">
        <v>0</v>
      </c>
      <c r="K600" s="222">
        <v>0</v>
      </c>
      <c r="L600" s="222">
        <v>0</v>
      </c>
      <c r="M600" s="9">
        <v>0</v>
      </c>
      <c r="N600" s="9">
        <v>0</v>
      </c>
      <c r="O600" s="268"/>
      <c r="P600" s="282"/>
    </row>
    <row r="601" spans="1:16" ht="57.75" customHeight="1" x14ac:dyDescent="0.25">
      <c r="A601" s="241"/>
      <c r="B601" s="241"/>
      <c r="C601" s="4">
        <v>136</v>
      </c>
      <c r="D601" s="5" t="s">
        <v>233</v>
      </c>
      <c r="E601" s="6" t="s">
        <v>235</v>
      </c>
      <c r="F601" s="4" t="s">
        <v>299</v>
      </c>
      <c r="G601" s="12">
        <v>612</v>
      </c>
      <c r="H601" s="9">
        <f t="shared" si="225"/>
        <v>9314.6</v>
      </c>
      <c r="I601" s="9">
        <v>0</v>
      </c>
      <c r="J601" s="9">
        <v>7437.5</v>
      </c>
      <c r="K601" s="9">
        <v>616.9</v>
      </c>
      <c r="L601" s="9">
        <f>9314.6-J601-K601</f>
        <v>1260.2000000000003</v>
      </c>
      <c r="M601" s="9">
        <v>0</v>
      </c>
      <c r="N601" s="9">
        <v>0</v>
      </c>
      <c r="O601" s="268"/>
      <c r="P601" s="282"/>
    </row>
    <row r="602" spans="1:16" hidden="1" x14ac:dyDescent="0.25">
      <c r="A602" s="241"/>
      <c r="B602" s="241"/>
      <c r="C602" s="4">
        <v>136</v>
      </c>
      <c r="D602" s="5" t="s">
        <v>233</v>
      </c>
      <c r="E602" s="6" t="s">
        <v>235</v>
      </c>
      <c r="F602" s="4" t="s">
        <v>299</v>
      </c>
      <c r="G602" s="12">
        <v>622</v>
      </c>
      <c r="H602" s="222">
        <f t="shared" si="225"/>
        <v>0</v>
      </c>
      <c r="I602" s="222">
        <v>0</v>
      </c>
      <c r="J602" s="222">
        <v>0</v>
      </c>
      <c r="K602" s="222">
        <v>0</v>
      </c>
      <c r="L602" s="222">
        <v>0</v>
      </c>
      <c r="M602" s="222">
        <v>0</v>
      </c>
      <c r="N602" s="222">
        <v>0</v>
      </c>
      <c r="O602" s="268"/>
      <c r="P602" s="282"/>
    </row>
    <row r="603" spans="1:16" hidden="1" x14ac:dyDescent="0.25">
      <c r="A603" s="241"/>
      <c r="B603" s="196" t="s">
        <v>15</v>
      </c>
      <c r="C603" s="4"/>
      <c r="D603" s="5"/>
      <c r="E603" s="5"/>
      <c r="F603" s="5"/>
      <c r="G603" s="12"/>
      <c r="H603" s="222">
        <f t="shared" si="225"/>
        <v>0</v>
      </c>
      <c r="I603" s="222">
        <v>0</v>
      </c>
      <c r="J603" s="222">
        <v>0</v>
      </c>
      <c r="K603" s="222">
        <v>0</v>
      </c>
      <c r="L603" s="222">
        <v>0</v>
      </c>
      <c r="M603" s="222">
        <v>0</v>
      </c>
      <c r="N603" s="222">
        <v>0</v>
      </c>
      <c r="O603" s="268"/>
      <c r="P603" s="282"/>
    </row>
    <row r="604" spans="1:16" hidden="1" x14ac:dyDescent="0.25">
      <c r="A604" s="241"/>
      <c r="B604" s="196" t="s">
        <v>12</v>
      </c>
      <c r="C604" s="4"/>
      <c r="D604" s="5"/>
      <c r="E604" s="5"/>
      <c r="F604" s="5"/>
      <c r="G604" s="12"/>
      <c r="H604" s="222">
        <f t="shared" si="225"/>
        <v>0</v>
      </c>
      <c r="I604" s="222">
        <v>0</v>
      </c>
      <c r="J604" s="222">
        <v>0</v>
      </c>
      <c r="K604" s="222">
        <v>0</v>
      </c>
      <c r="L604" s="222">
        <v>0</v>
      </c>
      <c r="M604" s="222">
        <v>0</v>
      </c>
      <c r="N604" s="222">
        <v>0</v>
      </c>
      <c r="O604" s="268"/>
      <c r="P604" s="282"/>
    </row>
    <row r="605" spans="1:16" x14ac:dyDescent="0.25">
      <c r="A605" s="241" t="s">
        <v>535</v>
      </c>
      <c r="B605" s="196" t="s">
        <v>104</v>
      </c>
      <c r="C605" s="4"/>
      <c r="D605" s="5"/>
      <c r="E605" s="5"/>
      <c r="F605" s="5"/>
      <c r="G605" s="12"/>
      <c r="H605" s="9">
        <v>1</v>
      </c>
      <c r="I605" s="9">
        <v>0</v>
      </c>
      <c r="J605" s="9">
        <v>0</v>
      </c>
      <c r="K605" s="9">
        <v>0</v>
      </c>
      <c r="L605" s="9">
        <v>1</v>
      </c>
      <c r="M605" s="9">
        <v>0</v>
      </c>
      <c r="N605" s="9">
        <v>0</v>
      </c>
      <c r="O605" s="268" t="s">
        <v>393</v>
      </c>
      <c r="P605" s="268" t="s">
        <v>502</v>
      </c>
    </row>
    <row r="606" spans="1:16" ht="26.4" x14ac:dyDescent="0.25">
      <c r="A606" s="241"/>
      <c r="B606" s="196" t="s">
        <v>88</v>
      </c>
      <c r="C606" s="4"/>
      <c r="D606" s="5"/>
      <c r="E606" s="5"/>
      <c r="F606" s="5"/>
      <c r="G606" s="12"/>
      <c r="H606" s="9">
        <f>H607/H605</f>
        <v>1510</v>
      </c>
      <c r="I606" s="9" t="s">
        <v>229</v>
      </c>
      <c r="J606" s="9" t="s">
        <v>229</v>
      </c>
      <c r="K606" s="9" t="s">
        <v>229</v>
      </c>
      <c r="L606" s="9" t="s">
        <v>229</v>
      </c>
      <c r="M606" s="9">
        <v>0</v>
      </c>
      <c r="N606" s="9">
        <v>0</v>
      </c>
      <c r="O606" s="268"/>
      <c r="P606" s="268"/>
    </row>
    <row r="607" spans="1:16" x14ac:dyDescent="0.25">
      <c r="A607" s="241"/>
      <c r="B607" s="196" t="s">
        <v>74</v>
      </c>
      <c r="C607" s="4"/>
      <c r="D607" s="5"/>
      <c r="E607" s="5"/>
      <c r="F607" s="5"/>
      <c r="G607" s="12"/>
      <c r="H607" s="9">
        <f>SUM(H608:H620)</f>
        <v>1510</v>
      </c>
      <c r="I607" s="9">
        <f t="shared" ref="I607:N607" si="226">SUM(I608:I620)</f>
        <v>0</v>
      </c>
      <c r="J607" s="9">
        <f t="shared" si="226"/>
        <v>500</v>
      </c>
      <c r="K607" s="9">
        <f t="shared" si="226"/>
        <v>360</v>
      </c>
      <c r="L607" s="9">
        <f t="shared" si="226"/>
        <v>650</v>
      </c>
      <c r="M607" s="9">
        <f t="shared" si="226"/>
        <v>0</v>
      </c>
      <c r="N607" s="9">
        <f t="shared" si="226"/>
        <v>0</v>
      </c>
      <c r="O607" s="268"/>
      <c r="P607" s="268"/>
    </row>
    <row r="608" spans="1:16" hidden="1" x14ac:dyDescent="0.25">
      <c r="A608" s="241"/>
      <c r="B608" s="238" t="s">
        <v>16</v>
      </c>
      <c r="C608" s="4">
        <v>136</v>
      </c>
      <c r="D608" s="5" t="s">
        <v>233</v>
      </c>
      <c r="E608" s="6" t="s">
        <v>234</v>
      </c>
      <c r="F608" s="4" t="s">
        <v>299</v>
      </c>
      <c r="G608" s="12">
        <v>244</v>
      </c>
      <c r="H608" s="222">
        <f t="shared" ref="H608:H620" si="227">I608+J608+K608+L608</f>
        <v>0</v>
      </c>
      <c r="I608" s="222">
        <v>0</v>
      </c>
      <c r="J608" s="222">
        <v>0</v>
      </c>
      <c r="K608" s="222">
        <v>0</v>
      </c>
      <c r="L608" s="222">
        <v>0</v>
      </c>
      <c r="M608" s="222">
        <v>0</v>
      </c>
      <c r="N608" s="222">
        <v>0</v>
      </c>
      <c r="O608" s="268"/>
      <c r="P608" s="268"/>
    </row>
    <row r="609" spans="1:16" hidden="1" x14ac:dyDescent="0.25">
      <c r="A609" s="241"/>
      <c r="B609" s="239"/>
      <c r="C609" s="4">
        <v>136</v>
      </c>
      <c r="D609" s="5" t="s">
        <v>233</v>
      </c>
      <c r="E609" s="6" t="s">
        <v>234</v>
      </c>
      <c r="F609" s="4" t="s">
        <v>299</v>
      </c>
      <c r="G609" s="12">
        <v>242</v>
      </c>
      <c r="H609" s="222">
        <f t="shared" si="227"/>
        <v>0</v>
      </c>
      <c r="I609" s="222">
        <v>0</v>
      </c>
      <c r="J609" s="222">
        <v>0</v>
      </c>
      <c r="K609" s="222">
        <v>0</v>
      </c>
      <c r="L609" s="222">
        <v>0</v>
      </c>
      <c r="M609" s="222">
        <v>0</v>
      </c>
      <c r="N609" s="222">
        <v>0</v>
      </c>
      <c r="O609" s="268"/>
      <c r="P609" s="268"/>
    </row>
    <row r="610" spans="1:16" x14ac:dyDescent="0.25">
      <c r="A610" s="241"/>
      <c r="B610" s="239"/>
      <c r="C610" s="4">
        <v>136</v>
      </c>
      <c r="D610" s="5" t="s">
        <v>233</v>
      </c>
      <c r="E610" s="6" t="s">
        <v>235</v>
      </c>
      <c r="F610" s="4" t="s">
        <v>299</v>
      </c>
      <c r="G610" s="12">
        <v>244</v>
      </c>
      <c r="H610" s="9">
        <f t="shared" si="227"/>
        <v>143</v>
      </c>
      <c r="I610" s="9">
        <v>0</v>
      </c>
      <c r="J610" s="9">
        <v>66</v>
      </c>
      <c r="K610" s="9">
        <v>0</v>
      </c>
      <c r="L610" s="9">
        <f>143-66</f>
        <v>77</v>
      </c>
      <c r="M610" s="9">
        <v>0</v>
      </c>
      <c r="N610" s="9">
        <v>0</v>
      </c>
      <c r="O610" s="268"/>
      <c r="P610" s="268"/>
    </row>
    <row r="611" spans="1:16" x14ac:dyDescent="0.25">
      <c r="A611" s="241"/>
      <c r="B611" s="239"/>
      <c r="C611" s="4">
        <v>136</v>
      </c>
      <c r="D611" s="5" t="s">
        <v>233</v>
      </c>
      <c r="E611" s="6" t="s">
        <v>235</v>
      </c>
      <c r="F611" s="4" t="s">
        <v>299</v>
      </c>
      <c r="G611" s="12">
        <v>612</v>
      </c>
      <c r="H611" s="9">
        <f t="shared" si="227"/>
        <v>110</v>
      </c>
      <c r="I611" s="9">
        <v>0</v>
      </c>
      <c r="J611" s="9">
        <v>44</v>
      </c>
      <c r="K611" s="9">
        <v>0</v>
      </c>
      <c r="L611" s="9">
        <f>110-44</f>
        <v>66</v>
      </c>
      <c r="M611" s="9">
        <v>0</v>
      </c>
      <c r="N611" s="9">
        <v>0</v>
      </c>
      <c r="O611" s="268"/>
      <c r="P611" s="268"/>
    </row>
    <row r="612" spans="1:16" x14ac:dyDescent="0.25">
      <c r="A612" s="241"/>
      <c r="B612" s="240"/>
      <c r="C612" s="4">
        <v>136</v>
      </c>
      <c r="D612" s="5" t="s">
        <v>233</v>
      </c>
      <c r="E612" s="6" t="s">
        <v>235</v>
      </c>
      <c r="F612" s="4" t="s">
        <v>299</v>
      </c>
      <c r="G612" s="12">
        <v>622</v>
      </c>
      <c r="H612" s="9">
        <f t="shared" si="227"/>
        <v>79.2</v>
      </c>
      <c r="I612" s="9">
        <v>0</v>
      </c>
      <c r="J612" s="9">
        <v>0</v>
      </c>
      <c r="K612" s="9">
        <v>79.2</v>
      </c>
      <c r="L612" s="9">
        <v>0</v>
      </c>
      <c r="M612" s="9">
        <v>0</v>
      </c>
      <c r="N612" s="9">
        <v>0</v>
      </c>
      <c r="O612" s="268"/>
      <c r="P612" s="268"/>
    </row>
    <row r="613" spans="1:16" ht="13.35" hidden="1" customHeight="1" x14ac:dyDescent="0.25">
      <c r="A613" s="241"/>
      <c r="B613" s="238" t="s">
        <v>14</v>
      </c>
      <c r="C613" s="4">
        <v>136</v>
      </c>
      <c r="D613" s="5" t="s">
        <v>233</v>
      </c>
      <c r="E613" s="6" t="s">
        <v>234</v>
      </c>
      <c r="F613" s="4" t="s">
        <v>299</v>
      </c>
      <c r="G613" s="12">
        <v>244</v>
      </c>
      <c r="H613" s="9">
        <f t="shared" si="227"/>
        <v>0</v>
      </c>
      <c r="I613" s="9">
        <v>0</v>
      </c>
      <c r="J613" s="9">
        <v>0</v>
      </c>
      <c r="K613" s="9">
        <v>0</v>
      </c>
      <c r="L613" s="9">
        <v>0</v>
      </c>
      <c r="M613" s="9">
        <v>0</v>
      </c>
      <c r="N613" s="9">
        <v>0</v>
      </c>
      <c r="O613" s="268"/>
      <c r="P613" s="268"/>
    </row>
    <row r="614" spans="1:16" hidden="1" x14ac:dyDescent="0.25">
      <c r="A614" s="241"/>
      <c r="B614" s="239"/>
      <c r="C614" s="4">
        <v>136</v>
      </c>
      <c r="D614" s="5" t="s">
        <v>233</v>
      </c>
      <c r="E614" s="6" t="s">
        <v>234</v>
      </c>
      <c r="F614" s="4" t="s">
        <v>299</v>
      </c>
      <c r="G614" s="12">
        <v>242</v>
      </c>
      <c r="H614" s="9">
        <f t="shared" si="227"/>
        <v>0</v>
      </c>
      <c r="I614" s="9">
        <v>0</v>
      </c>
      <c r="J614" s="9">
        <v>0</v>
      </c>
      <c r="K614" s="9">
        <v>0</v>
      </c>
      <c r="L614" s="9">
        <v>0</v>
      </c>
      <c r="M614" s="9">
        <v>0</v>
      </c>
      <c r="N614" s="9">
        <v>0</v>
      </c>
      <c r="O614" s="268"/>
      <c r="P614" s="268"/>
    </row>
    <row r="615" spans="1:16" ht="13.35" customHeight="1" x14ac:dyDescent="0.25">
      <c r="A615" s="241"/>
      <c r="B615" s="239"/>
      <c r="C615" s="4">
        <v>136</v>
      </c>
      <c r="D615" s="5" t="s">
        <v>233</v>
      </c>
      <c r="E615" s="6" t="s">
        <v>235</v>
      </c>
      <c r="F615" s="4" t="s">
        <v>299</v>
      </c>
      <c r="G615" s="12">
        <v>244</v>
      </c>
      <c r="H615" s="9">
        <f t="shared" si="227"/>
        <v>507</v>
      </c>
      <c r="I615" s="9">
        <v>0</v>
      </c>
      <c r="J615" s="9">
        <v>234</v>
      </c>
      <c r="K615" s="9">
        <v>0</v>
      </c>
      <c r="L615" s="9">
        <f>507-234</f>
        <v>273</v>
      </c>
      <c r="M615" s="9">
        <v>0</v>
      </c>
      <c r="N615" s="9">
        <v>0</v>
      </c>
      <c r="O615" s="268"/>
      <c r="P615" s="268"/>
    </row>
    <row r="616" spans="1:16" ht="13.35" hidden="1" customHeight="1" x14ac:dyDescent="0.25">
      <c r="A616" s="241"/>
      <c r="B616" s="239"/>
      <c r="C616" s="4">
        <v>136</v>
      </c>
      <c r="D616" s="5" t="s">
        <v>233</v>
      </c>
      <c r="E616" s="6" t="s">
        <v>235</v>
      </c>
      <c r="F616" s="4" t="s">
        <v>299</v>
      </c>
      <c r="G616" s="12">
        <v>540</v>
      </c>
      <c r="H616" s="222">
        <f t="shared" si="227"/>
        <v>0</v>
      </c>
      <c r="I616" s="222">
        <v>0</v>
      </c>
      <c r="J616" s="222">
        <v>0</v>
      </c>
      <c r="K616" s="222">
        <v>0</v>
      </c>
      <c r="L616" s="222">
        <v>0</v>
      </c>
      <c r="M616" s="222">
        <v>0</v>
      </c>
      <c r="N616" s="222">
        <v>0</v>
      </c>
      <c r="O616" s="268"/>
      <c r="P616" s="268"/>
    </row>
    <row r="617" spans="1:16" x14ac:dyDescent="0.25">
      <c r="A617" s="241"/>
      <c r="B617" s="239"/>
      <c r="C617" s="4">
        <v>136</v>
      </c>
      <c r="D617" s="5" t="s">
        <v>233</v>
      </c>
      <c r="E617" s="6" t="s">
        <v>235</v>
      </c>
      <c r="F617" s="4" t="s">
        <v>299</v>
      </c>
      <c r="G617" s="12">
        <v>612</v>
      </c>
      <c r="H617" s="9">
        <f t="shared" si="227"/>
        <v>390</v>
      </c>
      <c r="I617" s="9">
        <v>0</v>
      </c>
      <c r="J617" s="9">
        <v>156</v>
      </c>
      <c r="K617" s="9">
        <v>0</v>
      </c>
      <c r="L617" s="9">
        <f>390-156</f>
        <v>234</v>
      </c>
      <c r="M617" s="9">
        <v>0</v>
      </c>
      <c r="N617" s="9">
        <v>0</v>
      </c>
      <c r="O617" s="268"/>
      <c r="P617" s="268"/>
    </row>
    <row r="618" spans="1:16" x14ac:dyDescent="0.25">
      <c r="A618" s="241"/>
      <c r="B618" s="240"/>
      <c r="C618" s="4">
        <v>136</v>
      </c>
      <c r="D618" s="5" t="s">
        <v>233</v>
      </c>
      <c r="E618" s="6" t="s">
        <v>235</v>
      </c>
      <c r="F618" s="4" t="s">
        <v>299</v>
      </c>
      <c r="G618" s="12">
        <v>622</v>
      </c>
      <c r="H618" s="9">
        <f t="shared" si="227"/>
        <v>280.8</v>
      </c>
      <c r="I618" s="9">
        <v>0</v>
      </c>
      <c r="J618" s="9">
        <v>0</v>
      </c>
      <c r="K618" s="9">
        <v>280.8</v>
      </c>
      <c r="L618" s="9">
        <v>0</v>
      </c>
      <c r="M618" s="9">
        <v>0</v>
      </c>
      <c r="N618" s="9">
        <v>0</v>
      </c>
      <c r="O618" s="268"/>
      <c r="P618" s="268"/>
    </row>
    <row r="619" spans="1:16" x14ac:dyDescent="0.25">
      <c r="A619" s="241"/>
      <c r="B619" s="196" t="s">
        <v>15</v>
      </c>
      <c r="C619" s="4"/>
      <c r="D619" s="5"/>
      <c r="E619" s="5"/>
      <c r="F619" s="5"/>
      <c r="G619" s="12"/>
      <c r="H619" s="9">
        <f t="shared" si="227"/>
        <v>0</v>
      </c>
      <c r="I619" s="9">
        <v>0</v>
      </c>
      <c r="J619" s="9">
        <v>0</v>
      </c>
      <c r="K619" s="9">
        <v>0</v>
      </c>
      <c r="L619" s="9">
        <v>0</v>
      </c>
      <c r="M619" s="9">
        <v>0</v>
      </c>
      <c r="N619" s="9">
        <v>0</v>
      </c>
      <c r="O619" s="268"/>
      <c r="P619" s="268"/>
    </row>
    <row r="620" spans="1:16" ht="18" customHeight="1" x14ac:dyDescent="0.25">
      <c r="A620" s="241"/>
      <c r="B620" s="196" t="s">
        <v>12</v>
      </c>
      <c r="C620" s="4"/>
      <c r="D620" s="5"/>
      <c r="E620" s="5"/>
      <c r="F620" s="5"/>
      <c r="G620" s="12"/>
      <c r="H620" s="9">
        <f t="shared" si="227"/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268"/>
      <c r="P620" s="268"/>
    </row>
    <row r="621" spans="1:16" x14ac:dyDescent="0.25">
      <c r="A621" s="241" t="s">
        <v>536</v>
      </c>
      <c r="B621" s="196" t="s">
        <v>104</v>
      </c>
      <c r="C621" s="4"/>
      <c r="D621" s="5"/>
      <c r="E621" s="5"/>
      <c r="F621" s="5"/>
      <c r="G621" s="12"/>
      <c r="H621" s="9">
        <v>6</v>
      </c>
      <c r="I621" s="9">
        <v>0</v>
      </c>
      <c r="J621" s="9">
        <v>0</v>
      </c>
      <c r="K621" s="9">
        <v>0</v>
      </c>
      <c r="L621" s="9">
        <v>6</v>
      </c>
      <c r="M621" s="9">
        <v>0</v>
      </c>
      <c r="N621" s="9">
        <v>0</v>
      </c>
      <c r="O621" s="268" t="s">
        <v>338</v>
      </c>
      <c r="P621" s="268" t="s">
        <v>624</v>
      </c>
    </row>
    <row r="622" spans="1:16" ht="13.35" customHeight="1" x14ac:dyDescent="0.25">
      <c r="A622" s="241"/>
      <c r="B622" s="196" t="s">
        <v>88</v>
      </c>
      <c r="C622" s="4"/>
      <c r="D622" s="5"/>
      <c r="E622" s="5"/>
      <c r="F622" s="5"/>
      <c r="G622" s="12"/>
      <c r="H622" s="9">
        <f>ROUND(H623/H621,1)</f>
        <v>594.1</v>
      </c>
      <c r="I622" s="9" t="s">
        <v>229</v>
      </c>
      <c r="J622" s="9" t="s">
        <v>229</v>
      </c>
      <c r="K622" s="9" t="s">
        <v>229</v>
      </c>
      <c r="L622" s="9" t="s">
        <v>229</v>
      </c>
      <c r="M622" s="9">
        <v>0</v>
      </c>
      <c r="N622" s="9">
        <v>0</v>
      </c>
      <c r="O622" s="268"/>
      <c r="P622" s="268"/>
    </row>
    <row r="623" spans="1:16" ht="13.35" customHeight="1" x14ac:dyDescent="0.25">
      <c r="A623" s="241"/>
      <c r="B623" s="196" t="s">
        <v>74</v>
      </c>
      <c r="C623" s="4"/>
      <c r="D623" s="5"/>
      <c r="E623" s="5"/>
      <c r="F623" s="5"/>
      <c r="G623" s="12"/>
      <c r="H623" s="9">
        <f>SUM(H624:H636)</f>
        <v>3564.7</v>
      </c>
      <c r="I623" s="9">
        <f t="shared" ref="I623:N623" si="228">SUM(I624:I636)</f>
        <v>0</v>
      </c>
      <c r="J623" s="9">
        <f t="shared" si="228"/>
        <v>1800</v>
      </c>
      <c r="K623" s="9">
        <f t="shared" si="228"/>
        <v>765</v>
      </c>
      <c r="L623" s="9">
        <f t="shared" si="228"/>
        <v>999.7</v>
      </c>
      <c r="M623" s="9">
        <f t="shared" si="228"/>
        <v>0</v>
      </c>
      <c r="N623" s="9">
        <f t="shared" si="228"/>
        <v>0</v>
      </c>
      <c r="O623" s="268"/>
      <c r="P623" s="268"/>
    </row>
    <row r="624" spans="1:16" ht="13.35" hidden="1" customHeight="1" x14ac:dyDescent="0.25">
      <c r="A624" s="241"/>
      <c r="B624" s="238" t="s">
        <v>16</v>
      </c>
      <c r="C624" s="4">
        <v>136</v>
      </c>
      <c r="D624" s="5" t="s">
        <v>233</v>
      </c>
      <c r="E624" s="6" t="s">
        <v>234</v>
      </c>
      <c r="F624" s="4" t="s">
        <v>299</v>
      </c>
      <c r="G624" s="12">
        <v>244</v>
      </c>
      <c r="H624" s="9">
        <f t="shared" ref="H624:H636" si="229">I624+J624+K624+L624</f>
        <v>0</v>
      </c>
      <c r="I624" s="9">
        <v>0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268"/>
      <c r="P624" s="268"/>
    </row>
    <row r="625" spans="1:16" hidden="1" x14ac:dyDescent="0.25">
      <c r="A625" s="241"/>
      <c r="B625" s="239"/>
      <c r="C625" s="4">
        <v>136</v>
      </c>
      <c r="D625" s="5" t="s">
        <v>233</v>
      </c>
      <c r="E625" s="6" t="s">
        <v>234</v>
      </c>
      <c r="F625" s="4" t="s">
        <v>299</v>
      </c>
      <c r="G625" s="12">
        <v>242</v>
      </c>
      <c r="H625" s="9">
        <f t="shared" si="229"/>
        <v>0</v>
      </c>
      <c r="I625" s="9">
        <v>0</v>
      </c>
      <c r="J625" s="9">
        <v>0</v>
      </c>
      <c r="K625" s="9">
        <v>0</v>
      </c>
      <c r="L625" s="9">
        <v>0</v>
      </c>
      <c r="M625" s="9">
        <v>0</v>
      </c>
      <c r="N625" s="9">
        <v>0</v>
      </c>
      <c r="O625" s="268"/>
      <c r="P625" s="268"/>
    </row>
    <row r="626" spans="1:16" hidden="1" x14ac:dyDescent="0.25">
      <c r="A626" s="241"/>
      <c r="B626" s="239"/>
      <c r="C626" s="4">
        <v>136</v>
      </c>
      <c r="D626" s="5" t="s">
        <v>233</v>
      </c>
      <c r="E626" s="6" t="s">
        <v>235</v>
      </c>
      <c r="F626" s="4" t="s">
        <v>299</v>
      </c>
      <c r="G626" s="12">
        <v>244</v>
      </c>
      <c r="H626" s="9">
        <f t="shared" si="229"/>
        <v>0</v>
      </c>
      <c r="I626" s="9">
        <v>0</v>
      </c>
      <c r="J626" s="9">
        <v>0</v>
      </c>
      <c r="K626" s="9">
        <v>0</v>
      </c>
      <c r="L626" s="9">
        <v>0</v>
      </c>
      <c r="M626" s="9">
        <v>0</v>
      </c>
      <c r="N626" s="9">
        <v>0</v>
      </c>
      <c r="O626" s="268"/>
      <c r="P626" s="268"/>
    </row>
    <row r="627" spans="1:16" hidden="1" x14ac:dyDescent="0.25">
      <c r="A627" s="241"/>
      <c r="B627" s="239"/>
      <c r="C627" s="4">
        <v>136</v>
      </c>
      <c r="D627" s="5" t="s">
        <v>233</v>
      </c>
      <c r="E627" s="6" t="s">
        <v>235</v>
      </c>
      <c r="F627" s="4" t="s">
        <v>299</v>
      </c>
      <c r="G627" s="12">
        <v>612</v>
      </c>
      <c r="H627" s="9">
        <f t="shared" si="229"/>
        <v>0</v>
      </c>
      <c r="I627" s="9">
        <v>0</v>
      </c>
      <c r="J627" s="9">
        <v>0</v>
      </c>
      <c r="K627" s="9">
        <v>0</v>
      </c>
      <c r="L627" s="9">
        <v>0</v>
      </c>
      <c r="M627" s="9">
        <v>0</v>
      </c>
      <c r="N627" s="9">
        <v>0</v>
      </c>
      <c r="O627" s="268"/>
      <c r="P627" s="268"/>
    </row>
    <row r="628" spans="1:16" x14ac:dyDescent="0.25">
      <c r="A628" s="241"/>
      <c r="B628" s="240"/>
      <c r="C628" s="4">
        <v>136</v>
      </c>
      <c r="D628" s="5" t="s">
        <v>233</v>
      </c>
      <c r="E628" s="6" t="s">
        <v>235</v>
      </c>
      <c r="F628" s="4" t="s">
        <v>299</v>
      </c>
      <c r="G628" s="12">
        <v>622</v>
      </c>
      <c r="H628" s="9">
        <f t="shared" si="229"/>
        <v>784.2</v>
      </c>
      <c r="I628" s="9">
        <v>0</v>
      </c>
      <c r="J628" s="9">
        <v>396</v>
      </c>
      <c r="K628" s="9">
        <v>168.3</v>
      </c>
      <c r="L628" s="9">
        <f>784.2-J628-K628</f>
        <v>219.90000000000003</v>
      </c>
      <c r="M628" s="9">
        <v>0</v>
      </c>
      <c r="N628" s="9">
        <v>0</v>
      </c>
      <c r="O628" s="268"/>
      <c r="P628" s="268"/>
    </row>
    <row r="629" spans="1:16" hidden="1" x14ac:dyDescent="0.25">
      <c r="A629" s="241"/>
      <c r="B629" s="238" t="s">
        <v>14</v>
      </c>
      <c r="C629" s="4">
        <v>136</v>
      </c>
      <c r="D629" s="5" t="s">
        <v>233</v>
      </c>
      <c r="E629" s="6" t="s">
        <v>234</v>
      </c>
      <c r="F629" s="4" t="s">
        <v>299</v>
      </c>
      <c r="G629" s="12">
        <v>244</v>
      </c>
      <c r="H629" s="9">
        <f t="shared" si="229"/>
        <v>0</v>
      </c>
      <c r="I629" s="9">
        <v>0</v>
      </c>
      <c r="J629" s="9">
        <v>0</v>
      </c>
      <c r="K629" s="9">
        <v>0</v>
      </c>
      <c r="L629" s="9">
        <v>0</v>
      </c>
      <c r="M629" s="9">
        <v>0</v>
      </c>
      <c r="N629" s="9">
        <v>0</v>
      </c>
      <c r="O629" s="268"/>
      <c r="P629" s="268"/>
    </row>
    <row r="630" spans="1:16" ht="13.35" hidden="1" customHeight="1" x14ac:dyDescent="0.25">
      <c r="A630" s="241"/>
      <c r="B630" s="239"/>
      <c r="C630" s="4">
        <v>136</v>
      </c>
      <c r="D630" s="5" t="s">
        <v>233</v>
      </c>
      <c r="E630" s="6" t="s">
        <v>234</v>
      </c>
      <c r="F630" s="4" t="s">
        <v>299</v>
      </c>
      <c r="G630" s="12">
        <v>242</v>
      </c>
      <c r="H630" s="9">
        <f t="shared" si="229"/>
        <v>0</v>
      </c>
      <c r="I630" s="9">
        <v>0</v>
      </c>
      <c r="J630" s="9">
        <v>0</v>
      </c>
      <c r="K630" s="9">
        <v>0</v>
      </c>
      <c r="L630" s="9">
        <v>0</v>
      </c>
      <c r="M630" s="9">
        <v>0</v>
      </c>
      <c r="N630" s="9">
        <v>0</v>
      </c>
      <c r="O630" s="268"/>
      <c r="P630" s="268"/>
    </row>
    <row r="631" spans="1:16" ht="13.35" hidden="1" customHeight="1" x14ac:dyDescent="0.25">
      <c r="A631" s="241"/>
      <c r="B631" s="239"/>
      <c r="C631" s="4">
        <v>136</v>
      </c>
      <c r="D631" s="5" t="s">
        <v>233</v>
      </c>
      <c r="E631" s="6" t="s">
        <v>235</v>
      </c>
      <c r="F631" s="4" t="s">
        <v>299</v>
      </c>
      <c r="G631" s="12">
        <v>244</v>
      </c>
      <c r="H631" s="9">
        <f t="shared" si="229"/>
        <v>0</v>
      </c>
      <c r="I631" s="9">
        <v>0</v>
      </c>
      <c r="J631" s="9">
        <v>0</v>
      </c>
      <c r="K631" s="9">
        <v>0</v>
      </c>
      <c r="L631" s="9">
        <v>0</v>
      </c>
      <c r="M631" s="9">
        <v>0</v>
      </c>
      <c r="N631" s="9">
        <v>0</v>
      </c>
      <c r="O631" s="268"/>
      <c r="P631" s="268"/>
    </row>
    <row r="632" spans="1:16" hidden="1" x14ac:dyDescent="0.25">
      <c r="A632" s="241"/>
      <c r="B632" s="239"/>
      <c r="C632" s="4">
        <v>136</v>
      </c>
      <c r="D632" s="5" t="s">
        <v>233</v>
      </c>
      <c r="E632" s="6" t="s">
        <v>235</v>
      </c>
      <c r="F632" s="4" t="s">
        <v>299</v>
      </c>
      <c r="G632" s="12">
        <v>540</v>
      </c>
      <c r="H632" s="9">
        <f t="shared" si="229"/>
        <v>0</v>
      </c>
      <c r="I632" s="9">
        <v>0</v>
      </c>
      <c r="J632" s="9">
        <v>0</v>
      </c>
      <c r="K632" s="9">
        <v>0</v>
      </c>
      <c r="L632" s="9">
        <v>0</v>
      </c>
      <c r="M632" s="9">
        <v>0</v>
      </c>
      <c r="N632" s="9">
        <v>0</v>
      </c>
      <c r="O632" s="268"/>
      <c r="P632" s="268"/>
    </row>
    <row r="633" spans="1:16" hidden="1" x14ac:dyDescent="0.25">
      <c r="A633" s="241"/>
      <c r="B633" s="239"/>
      <c r="C633" s="4">
        <v>136</v>
      </c>
      <c r="D633" s="5" t="s">
        <v>233</v>
      </c>
      <c r="E633" s="6" t="s">
        <v>235</v>
      </c>
      <c r="F633" s="4" t="s">
        <v>299</v>
      </c>
      <c r="G633" s="12">
        <v>612</v>
      </c>
      <c r="H633" s="9">
        <f t="shared" si="229"/>
        <v>0</v>
      </c>
      <c r="I633" s="9">
        <v>0</v>
      </c>
      <c r="J633" s="9">
        <v>0</v>
      </c>
      <c r="K633" s="9">
        <v>0</v>
      </c>
      <c r="L633" s="9">
        <v>0</v>
      </c>
      <c r="M633" s="9">
        <v>0</v>
      </c>
      <c r="N633" s="9">
        <v>0</v>
      </c>
      <c r="O633" s="268"/>
      <c r="P633" s="268"/>
    </row>
    <row r="634" spans="1:16" x14ac:dyDescent="0.25">
      <c r="A634" s="241"/>
      <c r="B634" s="240"/>
      <c r="C634" s="4">
        <v>136</v>
      </c>
      <c r="D634" s="5" t="s">
        <v>233</v>
      </c>
      <c r="E634" s="6" t="s">
        <v>235</v>
      </c>
      <c r="F634" s="4" t="s">
        <v>299</v>
      </c>
      <c r="G634" s="12">
        <v>622</v>
      </c>
      <c r="H634" s="9">
        <f t="shared" si="229"/>
        <v>2780.5</v>
      </c>
      <c r="I634" s="9">
        <v>0</v>
      </c>
      <c r="J634" s="9">
        <v>1404</v>
      </c>
      <c r="K634" s="9">
        <v>596.70000000000005</v>
      </c>
      <c r="L634" s="9">
        <f>2780.5-J634-K634</f>
        <v>779.8</v>
      </c>
      <c r="M634" s="9">
        <v>0</v>
      </c>
      <c r="N634" s="9">
        <v>0</v>
      </c>
      <c r="O634" s="268"/>
      <c r="P634" s="268"/>
    </row>
    <row r="635" spans="1:16" x14ac:dyDescent="0.25">
      <c r="A635" s="241"/>
      <c r="B635" s="196" t="s">
        <v>15</v>
      </c>
      <c r="C635" s="4"/>
      <c r="D635" s="5"/>
      <c r="E635" s="5"/>
      <c r="F635" s="5"/>
      <c r="G635" s="12"/>
      <c r="H635" s="9">
        <f t="shared" si="229"/>
        <v>0</v>
      </c>
      <c r="I635" s="9">
        <v>0</v>
      </c>
      <c r="J635" s="9">
        <v>0</v>
      </c>
      <c r="K635" s="9">
        <v>0</v>
      </c>
      <c r="L635" s="9">
        <v>0</v>
      </c>
      <c r="M635" s="9">
        <v>0</v>
      </c>
      <c r="N635" s="9">
        <v>0</v>
      </c>
      <c r="O635" s="268"/>
      <c r="P635" s="268"/>
    </row>
    <row r="636" spans="1:16" ht="43.5" customHeight="1" x14ac:dyDescent="0.25">
      <c r="A636" s="241"/>
      <c r="B636" s="196" t="s">
        <v>12</v>
      </c>
      <c r="C636" s="4"/>
      <c r="D636" s="5"/>
      <c r="E636" s="5"/>
      <c r="F636" s="5"/>
      <c r="G636" s="12"/>
      <c r="H636" s="9">
        <f t="shared" si="229"/>
        <v>0</v>
      </c>
      <c r="I636" s="9">
        <v>0</v>
      </c>
      <c r="J636" s="9">
        <v>0</v>
      </c>
      <c r="K636" s="9">
        <v>0</v>
      </c>
      <c r="L636" s="9">
        <v>0</v>
      </c>
      <c r="M636" s="9">
        <v>0</v>
      </c>
      <c r="N636" s="9">
        <v>0</v>
      </c>
      <c r="O636" s="268"/>
      <c r="P636" s="268"/>
    </row>
    <row r="637" spans="1:16" ht="13.35" customHeight="1" x14ac:dyDescent="0.25">
      <c r="A637" s="241" t="s">
        <v>537</v>
      </c>
      <c r="B637" s="196" t="s">
        <v>104</v>
      </c>
      <c r="C637" s="4"/>
      <c r="D637" s="5"/>
      <c r="E637" s="5"/>
      <c r="F637" s="5"/>
      <c r="G637" s="12"/>
      <c r="H637" s="9">
        <v>1</v>
      </c>
      <c r="I637" s="9">
        <v>0</v>
      </c>
      <c r="J637" s="9">
        <v>0</v>
      </c>
      <c r="K637" s="9">
        <v>0</v>
      </c>
      <c r="L637" s="9">
        <v>1</v>
      </c>
      <c r="M637" s="9">
        <v>0</v>
      </c>
      <c r="N637" s="9">
        <v>0</v>
      </c>
      <c r="O637" s="268" t="s">
        <v>394</v>
      </c>
      <c r="P637" s="268" t="s">
        <v>179</v>
      </c>
    </row>
    <row r="638" spans="1:16" ht="13.35" customHeight="1" x14ac:dyDescent="0.25">
      <c r="A638" s="241"/>
      <c r="B638" s="196" t="s">
        <v>88</v>
      </c>
      <c r="C638" s="4"/>
      <c r="D638" s="5"/>
      <c r="E638" s="5"/>
      <c r="F638" s="5"/>
      <c r="G638" s="12"/>
      <c r="H638" s="9">
        <f>ROUND(H639/H637,1)</f>
        <v>1000.8</v>
      </c>
      <c r="I638" s="9" t="s">
        <v>229</v>
      </c>
      <c r="J638" s="9" t="s">
        <v>229</v>
      </c>
      <c r="K638" s="9" t="s">
        <v>229</v>
      </c>
      <c r="L638" s="9" t="s">
        <v>229</v>
      </c>
      <c r="M638" s="9">
        <v>0</v>
      </c>
      <c r="N638" s="9">
        <v>0</v>
      </c>
      <c r="O638" s="268"/>
      <c r="P638" s="268"/>
    </row>
    <row r="639" spans="1:16" ht="25.5" customHeight="1" x14ac:dyDescent="0.25">
      <c r="A639" s="241"/>
      <c r="B639" s="196" t="s">
        <v>74</v>
      </c>
      <c r="C639" s="4"/>
      <c r="D639" s="5"/>
      <c r="E639" s="5"/>
      <c r="F639" s="5"/>
      <c r="G639" s="12"/>
      <c r="H639" s="9">
        <f>SUM(H640:H652)</f>
        <v>1000.8</v>
      </c>
      <c r="I639" s="9">
        <f t="shared" ref="I639:N639" si="230">SUM(I640:I652)</f>
        <v>0</v>
      </c>
      <c r="J639" s="9">
        <f t="shared" si="230"/>
        <v>150</v>
      </c>
      <c r="K639" s="9">
        <f t="shared" si="230"/>
        <v>0</v>
      </c>
      <c r="L639" s="9">
        <f t="shared" si="230"/>
        <v>850.8</v>
      </c>
      <c r="M639" s="9">
        <f t="shared" si="230"/>
        <v>0</v>
      </c>
      <c r="N639" s="9">
        <f t="shared" si="230"/>
        <v>0</v>
      </c>
      <c r="O639" s="268"/>
      <c r="P639" s="268"/>
    </row>
    <row r="640" spans="1:16" hidden="1" x14ac:dyDescent="0.25">
      <c r="A640" s="241"/>
      <c r="B640" s="238" t="s">
        <v>16</v>
      </c>
      <c r="C640" s="4">
        <v>136</v>
      </c>
      <c r="D640" s="5" t="s">
        <v>233</v>
      </c>
      <c r="E640" s="6" t="s">
        <v>234</v>
      </c>
      <c r="F640" s="4" t="s">
        <v>299</v>
      </c>
      <c r="G640" s="12">
        <v>244</v>
      </c>
      <c r="H640" s="222">
        <f t="shared" ref="H640:H652" si="231">I640+J640+K640+L640</f>
        <v>0</v>
      </c>
      <c r="I640" s="222">
        <v>0</v>
      </c>
      <c r="J640" s="222">
        <v>0</v>
      </c>
      <c r="K640" s="222">
        <v>0</v>
      </c>
      <c r="L640" s="222">
        <v>0</v>
      </c>
      <c r="M640" s="222">
        <v>0</v>
      </c>
      <c r="N640" s="222">
        <v>0</v>
      </c>
      <c r="O640" s="268"/>
      <c r="P640" s="268"/>
    </row>
    <row r="641" spans="1:16" hidden="1" x14ac:dyDescent="0.25">
      <c r="A641" s="241"/>
      <c r="B641" s="239"/>
      <c r="C641" s="4">
        <v>136</v>
      </c>
      <c r="D641" s="5" t="s">
        <v>233</v>
      </c>
      <c r="E641" s="6" t="s">
        <v>234</v>
      </c>
      <c r="F641" s="4" t="s">
        <v>299</v>
      </c>
      <c r="G641" s="12">
        <v>242</v>
      </c>
      <c r="H641" s="222">
        <f t="shared" si="231"/>
        <v>0</v>
      </c>
      <c r="I641" s="222">
        <v>0</v>
      </c>
      <c r="J641" s="222">
        <v>0</v>
      </c>
      <c r="K641" s="222">
        <v>0</v>
      </c>
      <c r="L641" s="222">
        <v>0</v>
      </c>
      <c r="M641" s="222">
        <v>0</v>
      </c>
      <c r="N641" s="222">
        <v>0</v>
      </c>
      <c r="O641" s="268"/>
      <c r="P641" s="268"/>
    </row>
    <row r="642" spans="1:16" x14ac:dyDescent="0.25">
      <c r="A642" s="241"/>
      <c r="B642" s="239"/>
      <c r="C642" s="4">
        <v>136</v>
      </c>
      <c r="D642" s="5" t="s">
        <v>233</v>
      </c>
      <c r="E642" s="6" t="s">
        <v>235</v>
      </c>
      <c r="F642" s="4" t="s">
        <v>299</v>
      </c>
      <c r="G642" s="12">
        <v>244</v>
      </c>
      <c r="H642" s="9">
        <f t="shared" si="231"/>
        <v>220.2</v>
      </c>
      <c r="I642" s="9">
        <v>0</v>
      </c>
      <c r="J642" s="9">
        <v>33</v>
      </c>
      <c r="K642" s="9">
        <v>0</v>
      </c>
      <c r="L642" s="9">
        <f>220.2-33</f>
        <v>187.2</v>
      </c>
      <c r="M642" s="9">
        <v>0</v>
      </c>
      <c r="N642" s="9">
        <v>0</v>
      </c>
      <c r="O642" s="268"/>
      <c r="P642" s="268"/>
    </row>
    <row r="643" spans="1:16" ht="13.35" hidden="1" customHeight="1" x14ac:dyDescent="0.25">
      <c r="A643" s="241"/>
      <c r="B643" s="239"/>
      <c r="C643" s="4">
        <v>136</v>
      </c>
      <c r="D643" s="5" t="s">
        <v>233</v>
      </c>
      <c r="E643" s="6" t="s">
        <v>235</v>
      </c>
      <c r="F643" s="4" t="s">
        <v>299</v>
      </c>
      <c r="G643" s="12">
        <v>612</v>
      </c>
      <c r="H643" s="9">
        <f t="shared" si="231"/>
        <v>0</v>
      </c>
      <c r="I643" s="9">
        <v>0</v>
      </c>
      <c r="J643" s="9">
        <v>0</v>
      </c>
      <c r="K643" s="9">
        <v>0</v>
      </c>
      <c r="L643" s="9">
        <v>0</v>
      </c>
      <c r="M643" s="9">
        <v>0</v>
      </c>
      <c r="N643" s="9">
        <v>0</v>
      </c>
      <c r="O643" s="268"/>
      <c r="P643" s="268"/>
    </row>
    <row r="644" spans="1:16" ht="13.35" hidden="1" customHeight="1" x14ac:dyDescent="0.25">
      <c r="A644" s="241"/>
      <c r="B644" s="240"/>
      <c r="C644" s="4">
        <v>136</v>
      </c>
      <c r="D644" s="5" t="s">
        <v>233</v>
      </c>
      <c r="E644" s="6" t="s">
        <v>235</v>
      </c>
      <c r="F644" s="4" t="s">
        <v>299</v>
      </c>
      <c r="G644" s="12">
        <v>622</v>
      </c>
      <c r="H644" s="9">
        <f t="shared" si="231"/>
        <v>0</v>
      </c>
      <c r="I644" s="9">
        <v>0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268"/>
      <c r="P644" s="268"/>
    </row>
    <row r="645" spans="1:16" ht="13.35" hidden="1" customHeight="1" x14ac:dyDescent="0.25">
      <c r="A645" s="241"/>
      <c r="B645" s="238" t="s">
        <v>14</v>
      </c>
      <c r="C645" s="4">
        <v>136</v>
      </c>
      <c r="D645" s="5" t="s">
        <v>233</v>
      </c>
      <c r="E645" s="6" t="s">
        <v>234</v>
      </c>
      <c r="F645" s="4" t="s">
        <v>299</v>
      </c>
      <c r="G645" s="12">
        <v>244</v>
      </c>
      <c r="H645" s="9">
        <f t="shared" si="231"/>
        <v>0</v>
      </c>
      <c r="I645" s="9">
        <v>0</v>
      </c>
      <c r="J645" s="9">
        <v>0</v>
      </c>
      <c r="K645" s="9">
        <v>0</v>
      </c>
      <c r="L645" s="9">
        <v>0</v>
      </c>
      <c r="M645" s="9">
        <v>0</v>
      </c>
      <c r="N645" s="9">
        <v>0</v>
      </c>
      <c r="O645" s="268"/>
      <c r="P645" s="268"/>
    </row>
    <row r="646" spans="1:16" hidden="1" x14ac:dyDescent="0.25">
      <c r="A646" s="241"/>
      <c r="B646" s="239"/>
      <c r="C646" s="4">
        <v>136</v>
      </c>
      <c r="D646" s="5" t="s">
        <v>233</v>
      </c>
      <c r="E646" s="6" t="s">
        <v>234</v>
      </c>
      <c r="F646" s="4" t="s">
        <v>299</v>
      </c>
      <c r="G646" s="12">
        <v>242</v>
      </c>
      <c r="H646" s="9">
        <f t="shared" si="231"/>
        <v>0</v>
      </c>
      <c r="I646" s="9">
        <v>0</v>
      </c>
      <c r="J646" s="9">
        <v>0</v>
      </c>
      <c r="K646" s="9">
        <v>0</v>
      </c>
      <c r="L646" s="9">
        <v>0</v>
      </c>
      <c r="M646" s="9">
        <v>0</v>
      </c>
      <c r="N646" s="9">
        <v>0</v>
      </c>
      <c r="O646" s="268"/>
      <c r="P646" s="268"/>
    </row>
    <row r="647" spans="1:16" x14ac:dyDescent="0.25">
      <c r="A647" s="241"/>
      <c r="B647" s="239"/>
      <c r="C647" s="4">
        <v>136</v>
      </c>
      <c r="D647" s="5" t="s">
        <v>233</v>
      </c>
      <c r="E647" s="6" t="s">
        <v>235</v>
      </c>
      <c r="F647" s="4" t="s">
        <v>299</v>
      </c>
      <c r="G647" s="12">
        <v>244</v>
      </c>
      <c r="H647" s="9">
        <f t="shared" si="231"/>
        <v>780.6</v>
      </c>
      <c r="I647" s="9">
        <v>0</v>
      </c>
      <c r="J647" s="9">
        <v>117</v>
      </c>
      <c r="K647" s="9">
        <v>0</v>
      </c>
      <c r="L647" s="9">
        <f>780.6-117</f>
        <v>663.6</v>
      </c>
      <c r="M647" s="9">
        <v>0</v>
      </c>
      <c r="N647" s="9">
        <v>0</v>
      </c>
      <c r="O647" s="268"/>
      <c r="P647" s="268"/>
    </row>
    <row r="648" spans="1:16" s="38" customFormat="1" hidden="1" x14ac:dyDescent="0.25">
      <c r="A648" s="241"/>
      <c r="B648" s="239"/>
      <c r="C648" s="4">
        <v>136</v>
      </c>
      <c r="D648" s="5" t="s">
        <v>233</v>
      </c>
      <c r="E648" s="6" t="s">
        <v>235</v>
      </c>
      <c r="F648" s="4" t="s">
        <v>299</v>
      </c>
      <c r="G648" s="12">
        <v>540</v>
      </c>
      <c r="H648" s="222">
        <f t="shared" si="231"/>
        <v>0</v>
      </c>
      <c r="I648" s="222">
        <v>0</v>
      </c>
      <c r="J648" s="222">
        <v>0</v>
      </c>
      <c r="K648" s="222">
        <v>0</v>
      </c>
      <c r="L648" s="222">
        <v>0</v>
      </c>
      <c r="M648" s="222">
        <v>0</v>
      </c>
      <c r="N648" s="222">
        <v>0</v>
      </c>
      <c r="O648" s="268"/>
      <c r="P648" s="268"/>
    </row>
    <row r="649" spans="1:16" ht="13.35" hidden="1" customHeight="1" x14ac:dyDescent="0.25">
      <c r="A649" s="241"/>
      <c r="B649" s="239"/>
      <c r="C649" s="4">
        <v>136</v>
      </c>
      <c r="D649" s="5" t="s">
        <v>233</v>
      </c>
      <c r="E649" s="6" t="s">
        <v>235</v>
      </c>
      <c r="F649" s="4" t="s">
        <v>299</v>
      </c>
      <c r="G649" s="12">
        <v>612</v>
      </c>
      <c r="H649" s="222">
        <f t="shared" si="231"/>
        <v>0</v>
      </c>
      <c r="I649" s="222">
        <v>0</v>
      </c>
      <c r="J649" s="222">
        <v>0</v>
      </c>
      <c r="K649" s="222">
        <v>0</v>
      </c>
      <c r="L649" s="222">
        <v>0</v>
      </c>
      <c r="M649" s="222">
        <v>0</v>
      </c>
      <c r="N649" s="222">
        <v>0</v>
      </c>
      <c r="O649" s="268"/>
      <c r="P649" s="268"/>
    </row>
    <row r="650" spans="1:16" ht="13.35" hidden="1" customHeight="1" x14ac:dyDescent="0.25">
      <c r="A650" s="241"/>
      <c r="B650" s="240"/>
      <c r="C650" s="4">
        <v>136</v>
      </c>
      <c r="D650" s="5" t="s">
        <v>233</v>
      </c>
      <c r="E650" s="6" t="s">
        <v>235</v>
      </c>
      <c r="F650" s="4" t="s">
        <v>299</v>
      </c>
      <c r="G650" s="12">
        <v>622</v>
      </c>
      <c r="H650" s="222">
        <f t="shared" si="231"/>
        <v>0</v>
      </c>
      <c r="I650" s="222">
        <v>0</v>
      </c>
      <c r="J650" s="222">
        <v>0</v>
      </c>
      <c r="K650" s="222">
        <v>0</v>
      </c>
      <c r="L650" s="222">
        <v>0</v>
      </c>
      <c r="M650" s="222">
        <v>0</v>
      </c>
      <c r="N650" s="222">
        <v>0</v>
      </c>
      <c r="O650" s="268"/>
      <c r="P650" s="268"/>
    </row>
    <row r="651" spans="1:16" ht="13.35" customHeight="1" x14ac:dyDescent="0.25">
      <c r="A651" s="241"/>
      <c r="B651" s="196" t="s">
        <v>15</v>
      </c>
      <c r="C651" s="4"/>
      <c r="D651" s="5"/>
      <c r="E651" s="5"/>
      <c r="F651" s="5"/>
      <c r="G651" s="12"/>
      <c r="H651" s="9">
        <f t="shared" si="231"/>
        <v>0</v>
      </c>
      <c r="I651" s="9">
        <v>0</v>
      </c>
      <c r="J651" s="9">
        <v>0</v>
      </c>
      <c r="K651" s="9">
        <v>0</v>
      </c>
      <c r="L651" s="9">
        <v>0</v>
      </c>
      <c r="M651" s="9">
        <v>0</v>
      </c>
      <c r="N651" s="9">
        <v>0</v>
      </c>
      <c r="O651" s="268"/>
      <c r="P651" s="268"/>
    </row>
    <row r="652" spans="1:16" x14ac:dyDescent="0.25">
      <c r="A652" s="241"/>
      <c r="B652" s="196" t="s">
        <v>12</v>
      </c>
      <c r="C652" s="4"/>
      <c r="D652" s="5"/>
      <c r="E652" s="5"/>
      <c r="F652" s="5"/>
      <c r="G652" s="12"/>
      <c r="H652" s="9">
        <f t="shared" si="231"/>
        <v>0</v>
      </c>
      <c r="I652" s="9">
        <v>0</v>
      </c>
      <c r="J652" s="9">
        <v>0</v>
      </c>
      <c r="K652" s="9">
        <v>0</v>
      </c>
      <c r="L652" s="9">
        <v>0</v>
      </c>
      <c r="M652" s="9">
        <v>0</v>
      </c>
      <c r="N652" s="9">
        <v>0</v>
      </c>
      <c r="O652" s="268"/>
      <c r="P652" s="268"/>
    </row>
    <row r="653" spans="1:16" x14ac:dyDescent="0.25">
      <c r="A653" s="241" t="s">
        <v>538</v>
      </c>
      <c r="B653" s="196" t="s">
        <v>245</v>
      </c>
      <c r="C653" s="4"/>
      <c r="D653" s="5"/>
      <c r="E653" s="5"/>
      <c r="F653" s="5"/>
      <c r="G653" s="12"/>
      <c r="H653" s="9">
        <v>5</v>
      </c>
      <c r="I653" s="9">
        <v>0</v>
      </c>
      <c r="J653" s="9">
        <v>0</v>
      </c>
      <c r="K653" s="9">
        <v>0</v>
      </c>
      <c r="L653" s="9">
        <v>5</v>
      </c>
      <c r="M653" s="9">
        <v>0</v>
      </c>
      <c r="N653" s="9">
        <v>0</v>
      </c>
      <c r="O653" s="268" t="s">
        <v>339</v>
      </c>
      <c r="P653" s="268" t="s">
        <v>625</v>
      </c>
    </row>
    <row r="654" spans="1:16" ht="26.4" x14ac:dyDescent="0.25">
      <c r="A654" s="241"/>
      <c r="B654" s="196" t="s">
        <v>88</v>
      </c>
      <c r="C654" s="4"/>
      <c r="D654" s="5"/>
      <c r="E654" s="5"/>
      <c r="F654" s="5"/>
      <c r="G654" s="12"/>
      <c r="H654" s="9">
        <f>ROUND(H655/H653,1)</f>
        <v>527.6</v>
      </c>
      <c r="I654" s="9" t="s">
        <v>229</v>
      </c>
      <c r="J654" s="9" t="s">
        <v>229</v>
      </c>
      <c r="K654" s="9" t="s">
        <v>229</v>
      </c>
      <c r="L654" s="9" t="s">
        <v>229</v>
      </c>
      <c r="M654" s="9">
        <v>0</v>
      </c>
      <c r="N654" s="9">
        <v>0</v>
      </c>
      <c r="O654" s="268"/>
      <c r="P654" s="268"/>
    </row>
    <row r="655" spans="1:16" ht="13.35" customHeight="1" x14ac:dyDescent="0.25">
      <c r="A655" s="241"/>
      <c r="B655" s="196" t="s">
        <v>74</v>
      </c>
      <c r="C655" s="4"/>
      <c r="D655" s="5"/>
      <c r="E655" s="5"/>
      <c r="F655" s="5"/>
      <c r="G655" s="12"/>
      <c r="H655" s="9">
        <f>SUM(H656:H668)</f>
        <v>2638</v>
      </c>
      <c r="I655" s="9">
        <f t="shared" ref="I655:N655" si="232">SUM(I656:I668)</f>
        <v>0</v>
      </c>
      <c r="J655" s="9">
        <f t="shared" si="232"/>
        <v>340</v>
      </c>
      <c r="K655" s="9">
        <f t="shared" si="232"/>
        <v>0</v>
      </c>
      <c r="L655" s="9">
        <f t="shared" si="232"/>
        <v>2298</v>
      </c>
      <c r="M655" s="9">
        <f t="shared" si="232"/>
        <v>0</v>
      </c>
      <c r="N655" s="9">
        <f t="shared" si="232"/>
        <v>0</v>
      </c>
      <c r="O655" s="268"/>
      <c r="P655" s="268"/>
    </row>
    <row r="656" spans="1:16" ht="13.35" hidden="1" customHeight="1" x14ac:dyDescent="0.25">
      <c r="A656" s="241"/>
      <c r="B656" s="238" t="s">
        <v>16</v>
      </c>
      <c r="C656" s="4">
        <v>136</v>
      </c>
      <c r="D656" s="5" t="s">
        <v>233</v>
      </c>
      <c r="E656" s="6" t="s">
        <v>234</v>
      </c>
      <c r="F656" s="4" t="s">
        <v>299</v>
      </c>
      <c r="G656" s="12">
        <v>244</v>
      </c>
      <c r="H656" s="222">
        <f t="shared" ref="H656:H668" si="233">I656+J656+K656+L656</f>
        <v>0</v>
      </c>
      <c r="I656" s="222">
        <v>0</v>
      </c>
      <c r="J656" s="222">
        <v>0</v>
      </c>
      <c r="K656" s="222">
        <v>0</v>
      </c>
      <c r="L656" s="222">
        <v>0</v>
      </c>
      <c r="M656" s="222">
        <v>0</v>
      </c>
      <c r="N656" s="222">
        <v>0</v>
      </c>
      <c r="O656" s="268"/>
      <c r="P656" s="268"/>
    </row>
    <row r="657" spans="1:18" hidden="1" x14ac:dyDescent="0.25">
      <c r="A657" s="241"/>
      <c r="B657" s="239"/>
      <c r="C657" s="4">
        <v>136</v>
      </c>
      <c r="D657" s="5" t="s">
        <v>233</v>
      </c>
      <c r="E657" s="6" t="s">
        <v>234</v>
      </c>
      <c r="F657" s="4" t="s">
        <v>299</v>
      </c>
      <c r="G657" s="12">
        <v>242</v>
      </c>
      <c r="H657" s="222">
        <f t="shared" si="233"/>
        <v>0</v>
      </c>
      <c r="I657" s="222">
        <v>0</v>
      </c>
      <c r="J657" s="222">
        <v>0</v>
      </c>
      <c r="K657" s="222">
        <v>0</v>
      </c>
      <c r="L657" s="222">
        <v>0</v>
      </c>
      <c r="M657" s="222">
        <v>0</v>
      </c>
      <c r="N657" s="222">
        <v>0</v>
      </c>
      <c r="O657" s="268"/>
      <c r="P657" s="268"/>
    </row>
    <row r="658" spans="1:18" hidden="1" x14ac:dyDescent="0.25">
      <c r="A658" s="241"/>
      <c r="B658" s="239"/>
      <c r="C658" s="4">
        <v>136</v>
      </c>
      <c r="D658" s="5" t="s">
        <v>233</v>
      </c>
      <c r="E658" s="6" t="s">
        <v>235</v>
      </c>
      <c r="F658" s="4" t="s">
        <v>299</v>
      </c>
      <c r="G658" s="12">
        <v>244</v>
      </c>
      <c r="H658" s="222">
        <f t="shared" si="233"/>
        <v>0</v>
      </c>
      <c r="I658" s="222">
        <v>0</v>
      </c>
      <c r="J658" s="222">
        <v>0</v>
      </c>
      <c r="K658" s="222">
        <v>0</v>
      </c>
      <c r="L658" s="222">
        <v>0</v>
      </c>
      <c r="M658" s="222">
        <v>0</v>
      </c>
      <c r="N658" s="222">
        <v>0</v>
      </c>
      <c r="O658" s="268"/>
      <c r="P658" s="268"/>
    </row>
    <row r="659" spans="1:18" x14ac:dyDescent="0.25">
      <c r="A659" s="241"/>
      <c r="B659" s="239"/>
      <c r="C659" s="4">
        <v>136</v>
      </c>
      <c r="D659" s="5" t="s">
        <v>233</v>
      </c>
      <c r="E659" s="6" t="s">
        <v>235</v>
      </c>
      <c r="F659" s="4" t="s">
        <v>299</v>
      </c>
      <c r="G659" s="12">
        <v>612</v>
      </c>
      <c r="H659" s="9">
        <f t="shared" si="233"/>
        <v>580.4</v>
      </c>
      <c r="I659" s="9">
        <v>0</v>
      </c>
      <c r="J659" s="9">
        <v>74.8</v>
      </c>
      <c r="K659" s="9">
        <v>0</v>
      </c>
      <c r="L659" s="9">
        <f>580.4-74.8</f>
        <v>505.59999999999997</v>
      </c>
      <c r="M659" s="9">
        <v>0</v>
      </c>
      <c r="N659" s="9">
        <v>0</v>
      </c>
      <c r="O659" s="268"/>
      <c r="P659" s="268"/>
    </row>
    <row r="660" spans="1:18" hidden="1" x14ac:dyDescent="0.25">
      <c r="A660" s="241"/>
      <c r="B660" s="240"/>
      <c r="C660" s="4">
        <v>136</v>
      </c>
      <c r="D660" s="5" t="s">
        <v>233</v>
      </c>
      <c r="E660" s="6" t="s">
        <v>235</v>
      </c>
      <c r="F660" s="4" t="s">
        <v>299</v>
      </c>
      <c r="G660" s="12">
        <v>622</v>
      </c>
      <c r="H660" s="9">
        <f t="shared" si="233"/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268"/>
      <c r="P660" s="268"/>
    </row>
    <row r="661" spans="1:18" hidden="1" x14ac:dyDescent="0.25">
      <c r="A661" s="241"/>
      <c r="B661" s="238" t="s">
        <v>14</v>
      </c>
      <c r="C661" s="4">
        <v>136</v>
      </c>
      <c r="D661" s="5" t="s">
        <v>233</v>
      </c>
      <c r="E661" s="6" t="s">
        <v>234</v>
      </c>
      <c r="F661" s="4" t="s">
        <v>299</v>
      </c>
      <c r="G661" s="12">
        <v>244</v>
      </c>
      <c r="H661" s="9">
        <f t="shared" si="233"/>
        <v>0</v>
      </c>
      <c r="I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v>0</v>
      </c>
      <c r="O661" s="268"/>
      <c r="P661" s="268"/>
    </row>
    <row r="662" spans="1:18" hidden="1" x14ac:dyDescent="0.25">
      <c r="A662" s="241"/>
      <c r="B662" s="239"/>
      <c r="C662" s="4">
        <v>136</v>
      </c>
      <c r="D662" s="5" t="s">
        <v>233</v>
      </c>
      <c r="E662" s="6" t="s">
        <v>234</v>
      </c>
      <c r="F662" s="4" t="s">
        <v>299</v>
      </c>
      <c r="G662" s="12">
        <v>242</v>
      </c>
      <c r="H662" s="9">
        <f t="shared" si="233"/>
        <v>0</v>
      </c>
      <c r="I662" s="9">
        <v>0</v>
      </c>
      <c r="J662" s="9">
        <v>0</v>
      </c>
      <c r="K662" s="9">
        <v>0</v>
      </c>
      <c r="L662" s="9">
        <v>0</v>
      </c>
      <c r="M662" s="9">
        <v>0</v>
      </c>
      <c r="N662" s="9">
        <v>0</v>
      </c>
      <c r="O662" s="268"/>
      <c r="P662" s="268"/>
    </row>
    <row r="663" spans="1:18" hidden="1" x14ac:dyDescent="0.25">
      <c r="A663" s="241"/>
      <c r="B663" s="239"/>
      <c r="C663" s="4">
        <v>136</v>
      </c>
      <c r="D663" s="5" t="s">
        <v>233</v>
      </c>
      <c r="E663" s="6" t="s">
        <v>235</v>
      </c>
      <c r="F663" s="4" t="s">
        <v>299</v>
      </c>
      <c r="G663" s="12">
        <v>244</v>
      </c>
      <c r="H663" s="9">
        <f t="shared" si="233"/>
        <v>0</v>
      </c>
      <c r="I663" s="9">
        <v>0</v>
      </c>
      <c r="J663" s="9">
        <v>0</v>
      </c>
      <c r="K663" s="9">
        <v>0</v>
      </c>
      <c r="L663" s="9">
        <v>0</v>
      </c>
      <c r="M663" s="9">
        <v>0</v>
      </c>
      <c r="N663" s="9">
        <v>0</v>
      </c>
      <c r="O663" s="268"/>
      <c r="P663" s="268"/>
    </row>
    <row r="664" spans="1:18" hidden="1" x14ac:dyDescent="0.25">
      <c r="A664" s="241"/>
      <c r="B664" s="239"/>
      <c r="C664" s="4">
        <v>136</v>
      </c>
      <c r="D664" s="5" t="s">
        <v>233</v>
      </c>
      <c r="E664" s="6" t="s">
        <v>235</v>
      </c>
      <c r="F664" s="4" t="s">
        <v>299</v>
      </c>
      <c r="G664" s="12">
        <v>540</v>
      </c>
      <c r="H664" s="9">
        <f t="shared" si="233"/>
        <v>0</v>
      </c>
      <c r="I664" s="9">
        <v>0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268"/>
      <c r="P664" s="268"/>
    </row>
    <row r="665" spans="1:18" x14ac:dyDescent="0.25">
      <c r="A665" s="241"/>
      <c r="B665" s="239"/>
      <c r="C665" s="4">
        <v>136</v>
      </c>
      <c r="D665" s="5" t="s">
        <v>233</v>
      </c>
      <c r="E665" s="6" t="s">
        <v>235</v>
      </c>
      <c r="F665" s="4" t="s">
        <v>299</v>
      </c>
      <c r="G665" s="12">
        <v>612</v>
      </c>
      <c r="H665" s="9">
        <f t="shared" si="233"/>
        <v>2057.6</v>
      </c>
      <c r="I665" s="9">
        <v>0</v>
      </c>
      <c r="J665" s="9">
        <v>265.2</v>
      </c>
      <c r="K665" s="9">
        <v>0</v>
      </c>
      <c r="L665" s="9">
        <f>2057.6-265.2</f>
        <v>1792.3999999999999</v>
      </c>
      <c r="M665" s="9">
        <v>0</v>
      </c>
      <c r="N665" s="9">
        <v>0</v>
      </c>
      <c r="O665" s="268"/>
      <c r="P665" s="268"/>
    </row>
    <row r="666" spans="1:18" hidden="1" x14ac:dyDescent="0.25">
      <c r="A666" s="241"/>
      <c r="B666" s="240"/>
      <c r="C666" s="4">
        <v>136</v>
      </c>
      <c r="D666" s="5" t="s">
        <v>233</v>
      </c>
      <c r="E666" s="6" t="s">
        <v>235</v>
      </c>
      <c r="F666" s="4" t="s">
        <v>299</v>
      </c>
      <c r="G666" s="12">
        <v>622</v>
      </c>
      <c r="H666" s="9">
        <f t="shared" si="233"/>
        <v>0</v>
      </c>
      <c r="I666" s="9">
        <v>0</v>
      </c>
      <c r="J666" s="9">
        <v>0</v>
      </c>
      <c r="K666" s="9">
        <v>0</v>
      </c>
      <c r="L666" s="9">
        <v>0</v>
      </c>
      <c r="M666" s="9">
        <v>0</v>
      </c>
      <c r="N666" s="9">
        <v>0</v>
      </c>
      <c r="O666" s="268"/>
      <c r="P666" s="268"/>
    </row>
    <row r="667" spans="1:18" ht="15" customHeight="1" x14ac:dyDescent="0.25">
      <c r="A667" s="241"/>
      <c r="B667" s="196" t="s">
        <v>15</v>
      </c>
      <c r="C667" s="4"/>
      <c r="D667" s="5"/>
      <c r="E667" s="5"/>
      <c r="F667" s="5"/>
      <c r="G667" s="12"/>
      <c r="H667" s="9">
        <f t="shared" si="233"/>
        <v>0</v>
      </c>
      <c r="I667" s="9">
        <v>0</v>
      </c>
      <c r="J667" s="9">
        <v>0</v>
      </c>
      <c r="K667" s="9">
        <v>0</v>
      </c>
      <c r="L667" s="9">
        <v>0</v>
      </c>
      <c r="M667" s="9">
        <v>0</v>
      </c>
      <c r="N667" s="9">
        <v>0</v>
      </c>
      <c r="O667" s="268"/>
      <c r="P667" s="268"/>
    </row>
    <row r="668" spans="1:18" ht="101.25" customHeight="1" x14ac:dyDescent="0.25">
      <c r="A668" s="241"/>
      <c r="B668" s="196" t="s">
        <v>12</v>
      </c>
      <c r="C668" s="4"/>
      <c r="D668" s="5"/>
      <c r="E668" s="5"/>
      <c r="F668" s="5"/>
      <c r="G668" s="12"/>
      <c r="H668" s="9">
        <f t="shared" si="233"/>
        <v>0</v>
      </c>
      <c r="I668" s="9">
        <v>0</v>
      </c>
      <c r="J668" s="9">
        <v>0</v>
      </c>
      <c r="K668" s="9">
        <v>0</v>
      </c>
      <c r="L668" s="9">
        <v>0</v>
      </c>
      <c r="M668" s="9">
        <v>0</v>
      </c>
      <c r="N668" s="9">
        <v>0</v>
      </c>
      <c r="O668" s="268"/>
      <c r="P668" s="268"/>
    </row>
    <row r="669" spans="1:18" ht="25.5" customHeight="1" x14ac:dyDescent="0.25">
      <c r="A669" s="238" t="s">
        <v>539</v>
      </c>
      <c r="B669" s="196" t="s">
        <v>103</v>
      </c>
      <c r="C669" s="4"/>
      <c r="D669" s="5"/>
      <c r="E669" s="5"/>
      <c r="F669" s="5"/>
      <c r="G669" s="12"/>
      <c r="H669" s="226">
        <v>4500</v>
      </c>
      <c r="I669" s="226">
        <v>0</v>
      </c>
      <c r="J669" s="226">
        <v>0</v>
      </c>
      <c r="K669" s="226">
        <v>0</v>
      </c>
      <c r="L669" s="226">
        <v>4500</v>
      </c>
      <c r="M669" s="11">
        <v>5500</v>
      </c>
      <c r="N669" s="11">
        <v>6500</v>
      </c>
      <c r="O669" s="242" t="s">
        <v>189</v>
      </c>
      <c r="P669" s="242" t="s">
        <v>626</v>
      </c>
      <c r="Q669" s="36"/>
      <c r="R669" s="36"/>
    </row>
    <row r="670" spans="1:18" ht="26.4" x14ac:dyDescent="0.25">
      <c r="A670" s="239"/>
      <c r="B670" s="196" t="s">
        <v>93</v>
      </c>
      <c r="C670" s="4"/>
      <c r="D670" s="5"/>
      <c r="E670" s="5"/>
      <c r="F670" s="5"/>
      <c r="G670" s="12"/>
      <c r="H670" s="227">
        <v>2.12</v>
      </c>
      <c r="I670" s="9" t="s">
        <v>229</v>
      </c>
      <c r="J670" s="9" t="s">
        <v>229</v>
      </c>
      <c r="K670" s="9" t="s">
        <v>229</v>
      </c>
      <c r="L670" s="9" t="s">
        <v>229</v>
      </c>
      <c r="M670" s="9">
        <v>0.3</v>
      </c>
      <c r="N670" s="9">
        <v>0.26</v>
      </c>
      <c r="O670" s="243"/>
      <c r="P670" s="337"/>
      <c r="Q670" s="36"/>
      <c r="R670" s="36"/>
    </row>
    <row r="671" spans="1:18" x14ac:dyDescent="0.25">
      <c r="A671" s="239"/>
      <c r="B671" s="201" t="s">
        <v>74</v>
      </c>
      <c r="C671" s="4"/>
      <c r="D671" s="5"/>
      <c r="E671" s="5"/>
      <c r="F671" s="5"/>
      <c r="G671" s="12"/>
      <c r="H671" s="228">
        <f>SUM(H672:H675)</f>
        <v>9537.4</v>
      </c>
      <c r="I671" s="228">
        <f t="shared" ref="I671:N671" si="234">SUM(I672:I675)</f>
        <v>0</v>
      </c>
      <c r="J671" s="228">
        <f t="shared" si="234"/>
        <v>0</v>
      </c>
      <c r="K671" s="228">
        <f t="shared" si="234"/>
        <v>1733.4</v>
      </c>
      <c r="L671" s="228">
        <f t="shared" si="234"/>
        <v>7804</v>
      </c>
      <c r="M671" s="228">
        <f t="shared" si="234"/>
        <v>1733.4</v>
      </c>
      <c r="N671" s="228">
        <f t="shared" si="234"/>
        <v>1733.4</v>
      </c>
      <c r="O671" s="243"/>
      <c r="P671" s="337"/>
      <c r="Q671" s="36"/>
      <c r="R671" s="36"/>
    </row>
    <row r="672" spans="1:18" x14ac:dyDescent="0.25">
      <c r="A672" s="239"/>
      <c r="B672" s="84" t="s">
        <v>16</v>
      </c>
      <c r="C672" s="197">
        <v>136</v>
      </c>
      <c r="D672" s="5" t="s">
        <v>233</v>
      </c>
      <c r="E672" s="6" t="s">
        <v>235</v>
      </c>
      <c r="F672" s="6" t="s">
        <v>433</v>
      </c>
      <c r="G672" s="13">
        <v>611</v>
      </c>
      <c r="H672" s="9">
        <f>I672+J672+K672+L672</f>
        <v>1733.4</v>
      </c>
      <c r="I672" s="9">
        <f t="shared" ref="I672:N672" si="235">I679</f>
        <v>0</v>
      </c>
      <c r="J672" s="9">
        <f t="shared" si="235"/>
        <v>0</v>
      </c>
      <c r="K672" s="9">
        <f t="shared" si="235"/>
        <v>1733.4</v>
      </c>
      <c r="L672" s="9">
        <f t="shared" si="235"/>
        <v>0</v>
      </c>
      <c r="M672" s="9">
        <f t="shared" si="235"/>
        <v>1733.4</v>
      </c>
      <c r="N672" s="9">
        <f t="shared" si="235"/>
        <v>1733.4</v>
      </c>
      <c r="O672" s="243"/>
      <c r="P672" s="337"/>
      <c r="Q672" s="36"/>
      <c r="R672" s="36"/>
    </row>
    <row r="673" spans="1:18" x14ac:dyDescent="0.25">
      <c r="A673" s="239"/>
      <c r="B673" s="195" t="s">
        <v>14</v>
      </c>
      <c r="C673" s="4" t="s">
        <v>229</v>
      </c>
      <c r="D673" s="5" t="s">
        <v>229</v>
      </c>
      <c r="E673" s="5" t="s">
        <v>229</v>
      </c>
      <c r="F673" s="5" t="s">
        <v>229</v>
      </c>
      <c r="G673" s="12" t="s">
        <v>229</v>
      </c>
      <c r="H673" s="9">
        <v>0</v>
      </c>
      <c r="I673" s="9">
        <v>0</v>
      </c>
      <c r="J673" s="9">
        <v>0</v>
      </c>
      <c r="K673" s="9">
        <v>0</v>
      </c>
      <c r="L673" s="9">
        <v>0</v>
      </c>
      <c r="M673" s="9">
        <v>0</v>
      </c>
      <c r="N673" s="9">
        <v>0</v>
      </c>
      <c r="O673" s="243"/>
      <c r="P673" s="337"/>
      <c r="Q673" s="36"/>
      <c r="R673" s="36"/>
    </row>
    <row r="674" spans="1:18" x14ac:dyDescent="0.25">
      <c r="A674" s="239"/>
      <c r="B674" s="196" t="s">
        <v>9</v>
      </c>
      <c r="C674" s="4" t="s">
        <v>229</v>
      </c>
      <c r="D674" s="5" t="s">
        <v>229</v>
      </c>
      <c r="E674" s="5" t="s">
        <v>229</v>
      </c>
      <c r="F674" s="5" t="s">
        <v>229</v>
      </c>
      <c r="G674" s="12" t="s">
        <v>229</v>
      </c>
      <c r="H674" s="9">
        <v>0</v>
      </c>
      <c r="I674" s="9">
        <v>0</v>
      </c>
      <c r="J674" s="9">
        <v>0</v>
      </c>
      <c r="K674" s="9">
        <v>0</v>
      </c>
      <c r="L674" s="9">
        <v>0</v>
      </c>
      <c r="M674" s="9">
        <v>0</v>
      </c>
      <c r="N674" s="9">
        <v>0</v>
      </c>
      <c r="O674" s="243"/>
      <c r="P674" s="337"/>
      <c r="Q674" s="36"/>
      <c r="R674" s="36"/>
    </row>
    <row r="675" spans="1:18" x14ac:dyDescent="0.25">
      <c r="A675" s="239"/>
      <c r="B675" s="198" t="s">
        <v>12</v>
      </c>
      <c r="C675" s="4" t="s">
        <v>229</v>
      </c>
      <c r="D675" s="5" t="s">
        <v>229</v>
      </c>
      <c r="E675" s="5" t="s">
        <v>229</v>
      </c>
      <c r="F675" s="5" t="s">
        <v>229</v>
      </c>
      <c r="G675" s="12" t="s">
        <v>229</v>
      </c>
      <c r="H675" s="9">
        <f t="shared" ref="H675:N675" si="236">H682</f>
        <v>7804</v>
      </c>
      <c r="I675" s="9">
        <f t="shared" si="236"/>
        <v>0</v>
      </c>
      <c r="J675" s="9">
        <f t="shared" si="236"/>
        <v>0</v>
      </c>
      <c r="K675" s="9">
        <f t="shared" si="236"/>
        <v>0</v>
      </c>
      <c r="L675" s="9">
        <f t="shared" si="236"/>
        <v>7804</v>
      </c>
      <c r="M675" s="9">
        <f t="shared" si="236"/>
        <v>0</v>
      </c>
      <c r="N675" s="9">
        <f t="shared" si="236"/>
        <v>0</v>
      </c>
      <c r="O675" s="244"/>
      <c r="P675" s="338"/>
      <c r="Q675" s="36"/>
      <c r="R675" s="36"/>
    </row>
    <row r="676" spans="1:18" ht="12.75" customHeight="1" x14ac:dyDescent="0.25">
      <c r="A676" s="238" t="s">
        <v>627</v>
      </c>
      <c r="B676" s="196" t="s">
        <v>103</v>
      </c>
      <c r="C676" s="4"/>
      <c r="D676" s="5"/>
      <c r="E676" s="5"/>
      <c r="F676" s="5"/>
      <c r="G676" s="12"/>
      <c r="H676" s="226">
        <v>4500</v>
      </c>
      <c r="I676" s="226">
        <v>0</v>
      </c>
      <c r="J676" s="226">
        <v>0</v>
      </c>
      <c r="K676" s="226">
        <v>0</v>
      </c>
      <c r="L676" s="226">
        <v>4500</v>
      </c>
      <c r="M676" s="11">
        <v>5500</v>
      </c>
      <c r="N676" s="11">
        <v>6500</v>
      </c>
      <c r="O676" s="242" t="s">
        <v>189</v>
      </c>
      <c r="P676" s="242" t="s">
        <v>628</v>
      </c>
      <c r="Q676" s="36"/>
      <c r="R676" s="36"/>
    </row>
    <row r="677" spans="1:18" ht="26.4" x14ac:dyDescent="0.25">
      <c r="A677" s="239"/>
      <c r="B677" s="196" t="s">
        <v>93</v>
      </c>
      <c r="C677" s="4"/>
      <c r="D677" s="5"/>
      <c r="E677" s="5"/>
      <c r="F677" s="5"/>
      <c r="G677" s="12"/>
      <c r="H677" s="227">
        <v>2.12</v>
      </c>
      <c r="I677" s="9" t="s">
        <v>229</v>
      </c>
      <c r="J677" s="9" t="s">
        <v>229</v>
      </c>
      <c r="K677" s="9" t="s">
        <v>229</v>
      </c>
      <c r="L677" s="9" t="s">
        <v>229</v>
      </c>
      <c r="M677" s="9">
        <v>0.3</v>
      </c>
      <c r="N677" s="9">
        <v>0.26</v>
      </c>
      <c r="O677" s="243"/>
      <c r="P677" s="337"/>
      <c r="Q677" s="36"/>
      <c r="R677" s="36"/>
    </row>
    <row r="678" spans="1:18" x14ac:dyDescent="0.25">
      <c r="A678" s="239"/>
      <c r="B678" s="201" t="s">
        <v>74</v>
      </c>
      <c r="C678" s="4"/>
      <c r="D678" s="5"/>
      <c r="E678" s="5"/>
      <c r="F678" s="5"/>
      <c r="G678" s="12"/>
      <c r="H678" s="228">
        <f>SUM(H679:H682)</f>
        <v>9537.4</v>
      </c>
      <c r="I678" s="228">
        <f t="shared" ref="I678:N678" si="237">SUM(I679:I682)</f>
        <v>0</v>
      </c>
      <c r="J678" s="228">
        <f t="shared" si="237"/>
        <v>0</v>
      </c>
      <c r="K678" s="228">
        <f t="shared" si="237"/>
        <v>1733.4</v>
      </c>
      <c r="L678" s="228">
        <f t="shared" si="237"/>
        <v>7804</v>
      </c>
      <c r="M678" s="228">
        <f t="shared" si="237"/>
        <v>1733.4</v>
      </c>
      <c r="N678" s="228">
        <f t="shared" si="237"/>
        <v>1733.4</v>
      </c>
      <c r="O678" s="243"/>
      <c r="P678" s="337"/>
      <c r="Q678" s="36"/>
      <c r="R678" s="36"/>
    </row>
    <row r="679" spans="1:18" x14ac:dyDescent="0.25">
      <c r="A679" s="239"/>
      <c r="B679" s="84" t="s">
        <v>16</v>
      </c>
      <c r="C679" s="197">
        <v>136</v>
      </c>
      <c r="D679" s="5" t="s">
        <v>233</v>
      </c>
      <c r="E679" s="6" t="s">
        <v>235</v>
      </c>
      <c r="F679" s="6" t="s">
        <v>433</v>
      </c>
      <c r="G679" s="13">
        <v>611</v>
      </c>
      <c r="H679" s="9">
        <f>I679+J679+K679+L679</f>
        <v>1733.4</v>
      </c>
      <c r="I679" s="9">
        <v>0</v>
      </c>
      <c r="J679" s="9">
        <v>0</v>
      </c>
      <c r="K679" s="9">
        <v>1733.4</v>
      </c>
      <c r="L679" s="9">
        <v>0</v>
      </c>
      <c r="M679" s="9">
        <v>1733.4</v>
      </c>
      <c r="N679" s="9">
        <v>1733.4</v>
      </c>
      <c r="O679" s="243"/>
      <c r="P679" s="337"/>
      <c r="Q679" s="36"/>
      <c r="R679" s="36"/>
    </row>
    <row r="680" spans="1:18" x14ac:dyDescent="0.25">
      <c r="A680" s="239"/>
      <c r="B680" s="195" t="s">
        <v>14</v>
      </c>
      <c r="C680" s="4" t="s">
        <v>229</v>
      </c>
      <c r="D680" s="5" t="s">
        <v>229</v>
      </c>
      <c r="E680" s="5" t="s">
        <v>229</v>
      </c>
      <c r="F680" s="5" t="s">
        <v>229</v>
      </c>
      <c r="G680" s="12" t="s">
        <v>229</v>
      </c>
      <c r="H680" s="9">
        <f>I680+J680+K680+L680</f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243"/>
      <c r="P680" s="337"/>
      <c r="Q680" s="36"/>
      <c r="R680" s="36"/>
    </row>
    <row r="681" spans="1:18" x14ac:dyDescent="0.25">
      <c r="A681" s="239"/>
      <c r="B681" s="196" t="s">
        <v>9</v>
      </c>
      <c r="C681" s="4" t="s">
        <v>229</v>
      </c>
      <c r="D681" s="5" t="s">
        <v>229</v>
      </c>
      <c r="E681" s="5" t="s">
        <v>229</v>
      </c>
      <c r="F681" s="5" t="s">
        <v>229</v>
      </c>
      <c r="G681" s="12" t="s">
        <v>229</v>
      </c>
      <c r="H681" s="9">
        <f>I681+J681+K681+L681</f>
        <v>0</v>
      </c>
      <c r="I681" s="9">
        <v>0</v>
      </c>
      <c r="J681" s="9">
        <v>0</v>
      </c>
      <c r="K681" s="9">
        <v>0</v>
      </c>
      <c r="L681" s="9">
        <v>0</v>
      </c>
      <c r="M681" s="9">
        <v>0</v>
      </c>
      <c r="N681" s="9">
        <v>0</v>
      </c>
      <c r="O681" s="243"/>
      <c r="P681" s="337"/>
      <c r="Q681" s="36"/>
      <c r="R681" s="36"/>
    </row>
    <row r="682" spans="1:18" x14ac:dyDescent="0.25">
      <c r="A682" s="240"/>
      <c r="B682" s="196" t="s">
        <v>10</v>
      </c>
      <c r="C682" s="4" t="s">
        <v>229</v>
      </c>
      <c r="D682" s="5" t="s">
        <v>229</v>
      </c>
      <c r="E682" s="5" t="s">
        <v>229</v>
      </c>
      <c r="F682" s="5" t="s">
        <v>229</v>
      </c>
      <c r="G682" s="12" t="s">
        <v>229</v>
      </c>
      <c r="H682" s="9">
        <f>I682+J682+K682+L682</f>
        <v>7804</v>
      </c>
      <c r="I682" s="9">
        <v>0</v>
      </c>
      <c r="J682" s="9">
        <v>0</v>
      </c>
      <c r="K682" s="9">
        <v>0</v>
      </c>
      <c r="L682" s="9">
        <v>7804</v>
      </c>
      <c r="M682" s="9">
        <v>0</v>
      </c>
      <c r="N682" s="9">
        <v>0</v>
      </c>
      <c r="O682" s="244"/>
      <c r="P682" s="338"/>
      <c r="Q682" s="36"/>
      <c r="R682" s="36"/>
    </row>
    <row r="683" spans="1:18" ht="26.4" x14ac:dyDescent="0.25">
      <c r="A683" s="248" t="s">
        <v>540</v>
      </c>
      <c r="B683" s="84" t="s">
        <v>106</v>
      </c>
      <c r="C683" s="4"/>
      <c r="D683" s="5"/>
      <c r="E683" s="5"/>
      <c r="F683" s="5"/>
      <c r="G683" s="12"/>
      <c r="H683" s="1" t="s">
        <v>51</v>
      </c>
      <c r="I683" s="1" t="s">
        <v>51</v>
      </c>
      <c r="J683" s="1" t="s">
        <v>51</v>
      </c>
      <c r="K683" s="1" t="s">
        <v>51</v>
      </c>
      <c r="L683" s="1" t="s">
        <v>51</v>
      </c>
      <c r="M683" s="1" t="s">
        <v>51</v>
      </c>
      <c r="N683" s="1" t="s">
        <v>51</v>
      </c>
      <c r="O683" s="242" t="s">
        <v>404</v>
      </c>
      <c r="P683" s="251" t="s">
        <v>629</v>
      </c>
    </row>
    <row r="684" spans="1:18" ht="29.25" customHeight="1" x14ac:dyDescent="0.25">
      <c r="A684" s="249"/>
      <c r="B684" s="196" t="s">
        <v>93</v>
      </c>
      <c r="C684" s="4"/>
      <c r="D684" s="5"/>
      <c r="E684" s="5"/>
      <c r="F684" s="5"/>
      <c r="G684" s="12"/>
      <c r="H684" s="1" t="s">
        <v>51</v>
      </c>
      <c r="I684" s="1" t="s">
        <v>229</v>
      </c>
      <c r="J684" s="1" t="s">
        <v>229</v>
      </c>
      <c r="K684" s="1" t="s">
        <v>229</v>
      </c>
      <c r="L684" s="1" t="s">
        <v>229</v>
      </c>
      <c r="M684" s="1" t="s">
        <v>51</v>
      </c>
      <c r="N684" s="1" t="s">
        <v>51</v>
      </c>
      <c r="O684" s="243"/>
      <c r="P684" s="252"/>
    </row>
    <row r="685" spans="1:18" x14ac:dyDescent="0.25">
      <c r="A685" s="249"/>
      <c r="B685" s="84" t="s">
        <v>74</v>
      </c>
      <c r="C685" s="4"/>
      <c r="D685" s="5"/>
      <c r="E685" s="5"/>
      <c r="F685" s="5"/>
      <c r="G685" s="12"/>
      <c r="H685" s="9">
        <f>SUM(H686:H692)</f>
        <v>19021.5</v>
      </c>
      <c r="I685" s="9">
        <f t="shared" ref="I685:N685" si="238">SUM(I686:I692)</f>
        <v>0</v>
      </c>
      <c r="J685" s="9">
        <f t="shared" si="238"/>
        <v>0</v>
      </c>
      <c r="K685" s="9">
        <f t="shared" si="238"/>
        <v>3847.7</v>
      </c>
      <c r="L685" s="9">
        <f t="shared" si="238"/>
        <v>15173.800000000001</v>
      </c>
      <c r="M685" s="9">
        <f t="shared" si="238"/>
        <v>8591</v>
      </c>
      <c r="N685" s="9">
        <f t="shared" si="238"/>
        <v>3271</v>
      </c>
      <c r="O685" s="243"/>
      <c r="P685" s="252"/>
    </row>
    <row r="686" spans="1:18" x14ac:dyDescent="0.25">
      <c r="A686" s="249"/>
      <c r="B686" s="238" t="s">
        <v>16</v>
      </c>
      <c r="C686" s="197">
        <v>136</v>
      </c>
      <c r="D686" s="5" t="s">
        <v>233</v>
      </c>
      <c r="E686" s="6" t="s">
        <v>238</v>
      </c>
      <c r="F686" s="6" t="s">
        <v>660</v>
      </c>
      <c r="G686" s="13">
        <v>621</v>
      </c>
      <c r="H686" s="9">
        <f>I686+J686+K686+L686</f>
        <v>9701.7999999999993</v>
      </c>
      <c r="I686" s="9">
        <f>I696</f>
        <v>0</v>
      </c>
      <c r="J686" s="9">
        <f t="shared" ref="J686:N686" si="239">J696</f>
        <v>0</v>
      </c>
      <c r="K686" s="232">
        <f t="shared" si="239"/>
        <v>3847.7</v>
      </c>
      <c r="L686" s="9">
        <f t="shared" si="239"/>
        <v>5854.1</v>
      </c>
      <c r="M686" s="9">
        <f>M696</f>
        <v>8591</v>
      </c>
      <c r="N686" s="9">
        <f t="shared" si="239"/>
        <v>3271</v>
      </c>
      <c r="O686" s="243"/>
      <c r="P686" s="252"/>
    </row>
    <row r="687" spans="1:18" x14ac:dyDescent="0.25">
      <c r="A687" s="249"/>
      <c r="B687" s="239"/>
      <c r="C687" s="197" t="s">
        <v>41</v>
      </c>
      <c r="D687" s="5" t="s">
        <v>233</v>
      </c>
      <c r="E687" s="6" t="s">
        <v>238</v>
      </c>
      <c r="F687" s="6" t="s">
        <v>462</v>
      </c>
      <c r="G687" s="12">
        <v>621</v>
      </c>
      <c r="H687" s="9">
        <f>H713</f>
        <v>4620.3</v>
      </c>
      <c r="I687" s="9">
        <f t="shared" ref="I687:N687" si="240">I713</f>
        <v>0</v>
      </c>
      <c r="J687" s="9">
        <f t="shared" si="240"/>
        <v>0</v>
      </c>
      <c r="K687" s="9">
        <f t="shared" si="240"/>
        <v>0</v>
      </c>
      <c r="L687" s="232">
        <f t="shared" si="240"/>
        <v>4620.3</v>
      </c>
      <c r="M687" s="9">
        <f t="shared" si="240"/>
        <v>0</v>
      </c>
      <c r="N687" s="9">
        <f t="shared" si="240"/>
        <v>0</v>
      </c>
      <c r="O687" s="243"/>
      <c r="P687" s="252"/>
    </row>
    <row r="688" spans="1:18" x14ac:dyDescent="0.25">
      <c r="A688" s="249"/>
      <c r="B688" s="239"/>
      <c r="C688" s="197" t="str">
        <f>C698</f>
        <v>136</v>
      </c>
      <c r="D688" s="197" t="str">
        <f t="shared" ref="D688:N688" si="241">D698</f>
        <v>07</v>
      </c>
      <c r="E688" s="197" t="str">
        <f t="shared" si="241"/>
        <v>09</v>
      </c>
      <c r="F688" s="197" t="str">
        <f t="shared" si="241"/>
        <v>071E251730</v>
      </c>
      <c r="G688" s="197">
        <f t="shared" si="241"/>
        <v>622</v>
      </c>
      <c r="H688" s="9">
        <f t="shared" si="241"/>
        <v>3100</v>
      </c>
      <c r="I688" s="9">
        <f t="shared" si="241"/>
        <v>0</v>
      </c>
      <c r="J688" s="9">
        <f t="shared" si="241"/>
        <v>0</v>
      </c>
      <c r="K688" s="9">
        <f t="shared" si="241"/>
        <v>0</v>
      </c>
      <c r="L688" s="232">
        <f t="shared" si="241"/>
        <v>3100</v>
      </c>
      <c r="M688" s="9">
        <f t="shared" si="241"/>
        <v>0</v>
      </c>
      <c r="N688" s="9">
        <f t="shared" si="241"/>
        <v>0</v>
      </c>
      <c r="O688" s="243"/>
      <c r="P688" s="252"/>
    </row>
    <row r="689" spans="1:16" x14ac:dyDescent="0.25">
      <c r="A689" s="249"/>
      <c r="B689" s="240"/>
      <c r="C689" s="197" t="s">
        <v>41</v>
      </c>
      <c r="D689" s="5" t="s">
        <v>233</v>
      </c>
      <c r="E689" s="6" t="s">
        <v>238</v>
      </c>
      <c r="F689" s="6" t="s">
        <v>463</v>
      </c>
      <c r="G689" s="12">
        <v>621</v>
      </c>
      <c r="H689" s="9">
        <f>H721</f>
        <v>1599.4</v>
      </c>
      <c r="I689" s="9">
        <f t="shared" ref="I689:N689" si="242">I721</f>
        <v>0</v>
      </c>
      <c r="J689" s="9">
        <f t="shared" si="242"/>
        <v>0</v>
      </c>
      <c r="K689" s="9">
        <f t="shared" si="242"/>
        <v>0</v>
      </c>
      <c r="L689" s="232">
        <f t="shared" si="242"/>
        <v>1599.4</v>
      </c>
      <c r="M689" s="9">
        <f t="shared" si="242"/>
        <v>0</v>
      </c>
      <c r="N689" s="9">
        <f t="shared" si="242"/>
        <v>0</v>
      </c>
      <c r="O689" s="243"/>
      <c r="P689" s="252"/>
    </row>
    <row r="690" spans="1:16" ht="13.35" customHeight="1" x14ac:dyDescent="0.25">
      <c r="A690" s="249"/>
      <c r="B690" s="198" t="s">
        <v>14</v>
      </c>
      <c r="C690" s="4"/>
      <c r="D690" s="5"/>
      <c r="E690" s="5"/>
      <c r="F690" s="5"/>
      <c r="G690" s="12"/>
      <c r="H690" s="9">
        <f>H700+H715+H722</f>
        <v>0</v>
      </c>
      <c r="I690" s="9">
        <f t="shared" ref="I690:N690" si="243">I700+I715+I722</f>
        <v>0</v>
      </c>
      <c r="J690" s="9">
        <f t="shared" si="243"/>
        <v>0</v>
      </c>
      <c r="K690" s="9">
        <f t="shared" si="243"/>
        <v>0</v>
      </c>
      <c r="L690" s="9">
        <f t="shared" si="243"/>
        <v>0</v>
      </c>
      <c r="M690" s="9">
        <f t="shared" si="243"/>
        <v>0</v>
      </c>
      <c r="N690" s="9">
        <f t="shared" si="243"/>
        <v>0</v>
      </c>
      <c r="O690" s="243"/>
      <c r="P690" s="252"/>
    </row>
    <row r="691" spans="1:16" x14ac:dyDescent="0.25">
      <c r="A691" s="249"/>
      <c r="B691" s="198" t="s">
        <v>15</v>
      </c>
      <c r="C691" s="4"/>
      <c r="D691" s="5"/>
      <c r="E691" s="5"/>
      <c r="F691" s="5"/>
      <c r="G691" s="12"/>
      <c r="H691" s="9">
        <f>H701+H716+H723</f>
        <v>0</v>
      </c>
      <c r="I691" s="9">
        <f t="shared" ref="I691:N692" si="244">I701+I716+I723</f>
        <v>0</v>
      </c>
      <c r="J691" s="9">
        <f t="shared" si="244"/>
        <v>0</v>
      </c>
      <c r="K691" s="9">
        <f t="shared" si="244"/>
        <v>0</v>
      </c>
      <c r="L691" s="9">
        <f t="shared" si="244"/>
        <v>0</v>
      </c>
      <c r="M691" s="9">
        <f t="shared" si="244"/>
        <v>0</v>
      </c>
      <c r="N691" s="9">
        <f t="shared" si="244"/>
        <v>0</v>
      </c>
      <c r="O691" s="243"/>
      <c r="P691" s="252"/>
    </row>
    <row r="692" spans="1:16" x14ac:dyDescent="0.25">
      <c r="A692" s="250"/>
      <c r="B692" s="198" t="s">
        <v>12</v>
      </c>
      <c r="C692" s="4"/>
      <c r="D692" s="5"/>
      <c r="E692" s="5"/>
      <c r="F692" s="5"/>
      <c r="G692" s="12"/>
      <c r="H692" s="9">
        <f>H702+H717+H724</f>
        <v>0</v>
      </c>
      <c r="I692" s="9">
        <f t="shared" si="244"/>
        <v>0</v>
      </c>
      <c r="J692" s="9">
        <f t="shared" si="244"/>
        <v>0</v>
      </c>
      <c r="K692" s="9">
        <f t="shared" si="244"/>
        <v>0</v>
      </c>
      <c r="L692" s="9">
        <f t="shared" si="244"/>
        <v>0</v>
      </c>
      <c r="M692" s="9">
        <f t="shared" si="244"/>
        <v>0</v>
      </c>
      <c r="N692" s="9">
        <f t="shared" si="244"/>
        <v>0</v>
      </c>
      <c r="O692" s="244"/>
      <c r="P692" s="253"/>
    </row>
    <row r="693" spans="1:16" ht="13.35" customHeight="1" x14ac:dyDescent="0.25">
      <c r="A693" s="241" t="s">
        <v>541</v>
      </c>
      <c r="B693" s="196" t="s">
        <v>448</v>
      </c>
      <c r="C693" s="4"/>
      <c r="D693" s="5"/>
      <c r="E693" s="5"/>
      <c r="F693" s="5"/>
      <c r="G693" s="12"/>
      <c r="H693" s="9">
        <v>0</v>
      </c>
      <c r="I693" s="9">
        <v>0</v>
      </c>
      <c r="J693" s="9">
        <v>0</v>
      </c>
      <c r="K693" s="9">
        <v>0</v>
      </c>
      <c r="L693" s="9">
        <v>0</v>
      </c>
      <c r="M693" s="9">
        <v>1</v>
      </c>
      <c r="N693" s="9">
        <v>1</v>
      </c>
      <c r="O693" s="242" t="s">
        <v>374</v>
      </c>
      <c r="P693" s="242" t="s">
        <v>429</v>
      </c>
    </row>
    <row r="694" spans="1:16" ht="13.35" customHeight="1" x14ac:dyDescent="0.25">
      <c r="A694" s="241"/>
      <c r="B694" s="196" t="s">
        <v>86</v>
      </c>
      <c r="C694" s="4"/>
      <c r="D694" s="5"/>
      <c r="E694" s="5"/>
      <c r="F694" s="5"/>
      <c r="G694" s="12"/>
      <c r="H694" s="9">
        <v>0</v>
      </c>
      <c r="I694" s="9" t="s">
        <v>229</v>
      </c>
      <c r="J694" s="9" t="s">
        <v>229</v>
      </c>
      <c r="K694" s="9" t="s">
        <v>229</v>
      </c>
      <c r="L694" s="9" t="s">
        <v>229</v>
      </c>
      <c r="M694" s="9">
        <v>8591</v>
      </c>
      <c r="N694" s="9">
        <v>3271</v>
      </c>
      <c r="O694" s="243"/>
      <c r="P694" s="243"/>
    </row>
    <row r="695" spans="1:16" ht="13.35" customHeight="1" x14ac:dyDescent="0.25">
      <c r="A695" s="241"/>
      <c r="B695" s="196" t="s">
        <v>74</v>
      </c>
      <c r="C695" s="4"/>
      <c r="D695" s="5"/>
      <c r="E695" s="5"/>
      <c r="F695" s="5"/>
      <c r="G695" s="12"/>
      <c r="H695" s="9">
        <f t="shared" ref="H695:N695" si="245">SUM(H696:H702)</f>
        <v>19021.5</v>
      </c>
      <c r="I695" s="9">
        <f t="shared" si="245"/>
        <v>0</v>
      </c>
      <c r="J695" s="9">
        <f t="shared" si="245"/>
        <v>0</v>
      </c>
      <c r="K695" s="9">
        <f t="shared" si="245"/>
        <v>3847.7</v>
      </c>
      <c r="L695" s="9">
        <f t="shared" si="245"/>
        <v>15173.800000000001</v>
      </c>
      <c r="M695" s="9">
        <f t="shared" si="245"/>
        <v>8591</v>
      </c>
      <c r="N695" s="9">
        <f t="shared" si="245"/>
        <v>3271</v>
      </c>
      <c r="O695" s="243"/>
      <c r="P695" s="243"/>
    </row>
    <row r="696" spans="1:16" ht="12.75" customHeight="1" x14ac:dyDescent="0.25">
      <c r="A696" s="241"/>
      <c r="B696" s="238" t="s">
        <v>16</v>
      </c>
      <c r="C696" s="197">
        <v>136</v>
      </c>
      <c r="D696" s="5" t="s">
        <v>233</v>
      </c>
      <c r="E696" s="6" t="s">
        <v>238</v>
      </c>
      <c r="F696" s="6" t="s">
        <v>659</v>
      </c>
      <c r="G696" s="12">
        <v>621</v>
      </c>
      <c r="H696" s="9">
        <f t="shared" ref="H696:N696" si="246">H706</f>
        <v>9701.7999999999993</v>
      </c>
      <c r="I696" s="9">
        <f t="shared" si="246"/>
        <v>0</v>
      </c>
      <c r="J696" s="9">
        <f t="shared" si="246"/>
        <v>0</v>
      </c>
      <c r="K696" s="9">
        <f t="shared" si="246"/>
        <v>3847.7</v>
      </c>
      <c r="L696" s="9">
        <f t="shared" si="246"/>
        <v>5854.1</v>
      </c>
      <c r="M696" s="9">
        <f t="shared" si="246"/>
        <v>8591</v>
      </c>
      <c r="N696" s="9">
        <f t="shared" si="246"/>
        <v>3271</v>
      </c>
      <c r="O696" s="243"/>
      <c r="P696" s="243"/>
    </row>
    <row r="697" spans="1:16" ht="12.75" customHeight="1" x14ac:dyDescent="0.25">
      <c r="A697" s="241"/>
      <c r="B697" s="239"/>
      <c r="C697" s="197" t="s">
        <v>41</v>
      </c>
      <c r="D697" s="5" t="s">
        <v>233</v>
      </c>
      <c r="E697" s="6" t="s">
        <v>238</v>
      </c>
      <c r="F697" s="6" t="s">
        <v>462</v>
      </c>
      <c r="G697" s="12">
        <v>621</v>
      </c>
      <c r="H697" s="9">
        <f t="shared" ref="H697:N697" si="247">H713</f>
        <v>4620.3</v>
      </c>
      <c r="I697" s="9">
        <f t="shared" si="247"/>
        <v>0</v>
      </c>
      <c r="J697" s="9">
        <f t="shared" si="247"/>
        <v>0</v>
      </c>
      <c r="K697" s="9">
        <f t="shared" si="247"/>
        <v>0</v>
      </c>
      <c r="L697" s="9">
        <f t="shared" si="247"/>
        <v>4620.3</v>
      </c>
      <c r="M697" s="1">
        <f t="shared" si="247"/>
        <v>0</v>
      </c>
      <c r="N697" s="1">
        <f t="shared" si="247"/>
        <v>0</v>
      </c>
      <c r="O697" s="243"/>
      <c r="P697" s="243"/>
    </row>
    <row r="698" spans="1:16" ht="12.75" customHeight="1" x14ac:dyDescent="0.25">
      <c r="A698" s="241"/>
      <c r="B698" s="239"/>
      <c r="C698" s="197" t="str">
        <f>C714</f>
        <v>136</v>
      </c>
      <c r="D698" s="197" t="str">
        <f t="shared" ref="D698:N698" si="248">D714</f>
        <v>07</v>
      </c>
      <c r="E698" s="197" t="str">
        <f t="shared" si="248"/>
        <v>09</v>
      </c>
      <c r="F698" s="197" t="str">
        <f t="shared" si="248"/>
        <v>071E251730</v>
      </c>
      <c r="G698" s="197">
        <f t="shared" si="248"/>
        <v>622</v>
      </c>
      <c r="H698" s="9">
        <f t="shared" si="248"/>
        <v>3100</v>
      </c>
      <c r="I698" s="9">
        <f t="shared" si="248"/>
        <v>0</v>
      </c>
      <c r="J698" s="9">
        <f t="shared" si="248"/>
        <v>0</v>
      </c>
      <c r="K698" s="9">
        <f t="shared" si="248"/>
        <v>0</v>
      </c>
      <c r="L698" s="9">
        <f t="shared" si="248"/>
        <v>3100</v>
      </c>
      <c r="M698" s="9">
        <f t="shared" si="248"/>
        <v>0</v>
      </c>
      <c r="N698" s="9">
        <f t="shared" si="248"/>
        <v>0</v>
      </c>
      <c r="O698" s="243"/>
      <c r="P698" s="243"/>
    </row>
    <row r="699" spans="1:16" ht="12.75" customHeight="1" x14ac:dyDescent="0.25">
      <c r="A699" s="241"/>
      <c r="B699" s="240"/>
      <c r="C699" s="197" t="s">
        <v>41</v>
      </c>
      <c r="D699" s="5" t="s">
        <v>233</v>
      </c>
      <c r="E699" s="6" t="s">
        <v>238</v>
      </c>
      <c r="F699" s="6" t="s">
        <v>463</v>
      </c>
      <c r="G699" s="12">
        <v>621</v>
      </c>
      <c r="H699" s="9">
        <f>H721</f>
        <v>1599.4</v>
      </c>
      <c r="I699" s="9">
        <f t="shared" ref="I699:N699" si="249">I721</f>
        <v>0</v>
      </c>
      <c r="J699" s="9">
        <f t="shared" si="249"/>
        <v>0</v>
      </c>
      <c r="K699" s="9">
        <f t="shared" si="249"/>
        <v>0</v>
      </c>
      <c r="L699" s="9">
        <f t="shared" si="249"/>
        <v>1599.4</v>
      </c>
      <c r="M699" s="1">
        <f t="shared" si="249"/>
        <v>0</v>
      </c>
      <c r="N699" s="1">
        <f t="shared" si="249"/>
        <v>0</v>
      </c>
      <c r="O699" s="243"/>
      <c r="P699" s="243"/>
    </row>
    <row r="700" spans="1:16" x14ac:dyDescent="0.25">
      <c r="A700" s="241"/>
      <c r="B700" s="196" t="s">
        <v>14</v>
      </c>
      <c r="C700" s="4"/>
      <c r="D700" s="5"/>
      <c r="E700" s="5"/>
      <c r="F700" s="5"/>
      <c r="G700" s="12"/>
      <c r="H700" s="1">
        <f>H707</f>
        <v>0</v>
      </c>
      <c r="I700" s="1">
        <f t="shared" ref="I700:N700" si="250">I707</f>
        <v>0</v>
      </c>
      <c r="J700" s="1">
        <f t="shared" si="250"/>
        <v>0</v>
      </c>
      <c r="K700" s="1">
        <f t="shared" si="250"/>
        <v>0</v>
      </c>
      <c r="L700" s="1">
        <f t="shared" si="250"/>
        <v>0</v>
      </c>
      <c r="M700" s="1">
        <f t="shared" si="250"/>
        <v>0</v>
      </c>
      <c r="N700" s="1">
        <f t="shared" si="250"/>
        <v>0</v>
      </c>
      <c r="O700" s="243"/>
      <c r="P700" s="243"/>
    </row>
    <row r="701" spans="1:16" x14ac:dyDescent="0.25">
      <c r="A701" s="241"/>
      <c r="B701" s="196" t="s">
        <v>15</v>
      </c>
      <c r="C701" s="4"/>
      <c r="D701" s="5"/>
      <c r="E701" s="5"/>
      <c r="F701" s="5"/>
      <c r="G701" s="12"/>
      <c r="H701" s="1">
        <f t="shared" ref="H701:N702" si="251">H708</f>
        <v>0</v>
      </c>
      <c r="I701" s="1">
        <f t="shared" si="251"/>
        <v>0</v>
      </c>
      <c r="J701" s="1">
        <f t="shared" si="251"/>
        <v>0</v>
      </c>
      <c r="K701" s="1">
        <f t="shared" si="251"/>
        <v>0</v>
      </c>
      <c r="L701" s="1">
        <f t="shared" si="251"/>
        <v>0</v>
      </c>
      <c r="M701" s="1">
        <f t="shared" si="251"/>
        <v>0</v>
      </c>
      <c r="N701" s="1">
        <f t="shared" si="251"/>
        <v>0</v>
      </c>
      <c r="O701" s="243"/>
      <c r="P701" s="243"/>
    </row>
    <row r="702" spans="1:16" ht="60" customHeight="1" x14ac:dyDescent="0.25">
      <c r="A702" s="241"/>
      <c r="B702" s="196" t="s">
        <v>12</v>
      </c>
      <c r="C702" s="4"/>
      <c r="D702" s="5"/>
      <c r="E702" s="5"/>
      <c r="F702" s="5"/>
      <c r="G702" s="12"/>
      <c r="H702" s="1">
        <f t="shared" si="251"/>
        <v>0</v>
      </c>
      <c r="I702" s="1">
        <f t="shared" si="251"/>
        <v>0</v>
      </c>
      <c r="J702" s="1">
        <f t="shared" si="251"/>
        <v>0</v>
      </c>
      <c r="K702" s="1">
        <f t="shared" si="251"/>
        <v>0</v>
      </c>
      <c r="L702" s="1">
        <f t="shared" si="251"/>
        <v>0</v>
      </c>
      <c r="M702" s="1">
        <f t="shared" si="251"/>
        <v>0</v>
      </c>
      <c r="N702" s="1">
        <f t="shared" si="251"/>
        <v>0</v>
      </c>
      <c r="O702" s="244"/>
      <c r="P702" s="244"/>
    </row>
    <row r="703" spans="1:16" x14ac:dyDescent="0.25">
      <c r="A703" s="238" t="s">
        <v>542</v>
      </c>
      <c r="B703" s="196" t="s">
        <v>448</v>
      </c>
      <c r="C703" s="4"/>
      <c r="D703" s="5"/>
      <c r="E703" s="5"/>
      <c r="F703" s="5"/>
      <c r="G703" s="12"/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1</v>
      </c>
      <c r="N703" s="1">
        <v>1</v>
      </c>
      <c r="O703" s="242" t="s">
        <v>432</v>
      </c>
      <c r="P703" s="242" t="s">
        <v>606</v>
      </c>
    </row>
    <row r="704" spans="1:16" ht="31.5" customHeight="1" x14ac:dyDescent="0.25">
      <c r="A704" s="239"/>
      <c r="B704" s="196" t="s">
        <v>86</v>
      </c>
      <c r="C704" s="4"/>
      <c r="D704" s="5"/>
      <c r="E704" s="5"/>
      <c r="F704" s="5"/>
      <c r="G704" s="12"/>
      <c r="H704" s="1">
        <v>0</v>
      </c>
      <c r="I704" s="1" t="s">
        <v>229</v>
      </c>
      <c r="J704" s="1" t="s">
        <v>229</v>
      </c>
      <c r="K704" s="1" t="s">
        <v>229</v>
      </c>
      <c r="L704" s="1" t="s">
        <v>229</v>
      </c>
      <c r="M704" s="1">
        <v>8591</v>
      </c>
      <c r="N704" s="1">
        <v>3271</v>
      </c>
      <c r="O704" s="243"/>
      <c r="P704" s="243"/>
    </row>
    <row r="705" spans="1:16" ht="27.75" customHeight="1" x14ac:dyDescent="0.25">
      <c r="A705" s="239"/>
      <c r="B705" s="196" t="s">
        <v>74</v>
      </c>
      <c r="C705" s="4"/>
      <c r="D705" s="5"/>
      <c r="E705" s="5"/>
      <c r="F705" s="5"/>
      <c r="G705" s="12"/>
      <c r="H705" s="1">
        <f>H706+H707+H708+H709</f>
        <v>9701.7999999999993</v>
      </c>
      <c r="I705" s="1">
        <f t="shared" ref="I705:N705" si="252">I706+I707+I708+I709</f>
        <v>0</v>
      </c>
      <c r="J705" s="1">
        <f t="shared" si="252"/>
        <v>0</v>
      </c>
      <c r="K705" s="1">
        <f t="shared" si="252"/>
        <v>3847.7</v>
      </c>
      <c r="L705" s="1">
        <f t="shared" si="252"/>
        <v>5854.1</v>
      </c>
      <c r="M705" s="1">
        <f t="shared" si="252"/>
        <v>8591</v>
      </c>
      <c r="N705" s="1">
        <f t="shared" si="252"/>
        <v>3271</v>
      </c>
      <c r="O705" s="243"/>
      <c r="P705" s="243"/>
    </row>
    <row r="706" spans="1:16" ht="12.75" customHeight="1" x14ac:dyDescent="0.25">
      <c r="A706" s="239"/>
      <c r="B706" s="200" t="s">
        <v>16</v>
      </c>
      <c r="C706" s="197">
        <v>136</v>
      </c>
      <c r="D706" s="5" t="s">
        <v>233</v>
      </c>
      <c r="E706" s="6" t="s">
        <v>238</v>
      </c>
      <c r="F706" s="6" t="s">
        <v>439</v>
      </c>
      <c r="G706" s="13">
        <v>621</v>
      </c>
      <c r="H706" s="1">
        <f>I706+J706+K706+L706</f>
        <v>9701.7999999999993</v>
      </c>
      <c r="I706" s="1">
        <v>0</v>
      </c>
      <c r="J706" s="1">
        <v>0</v>
      </c>
      <c r="K706" s="1">
        <v>3847.7</v>
      </c>
      <c r="L706" s="1">
        <v>5854.1</v>
      </c>
      <c r="M706" s="1">
        <v>8591</v>
      </c>
      <c r="N706" s="1">
        <v>3271</v>
      </c>
      <c r="O706" s="243"/>
      <c r="P706" s="243"/>
    </row>
    <row r="707" spans="1:16" x14ac:dyDescent="0.25">
      <c r="A707" s="239"/>
      <c r="B707" s="196" t="s">
        <v>14</v>
      </c>
      <c r="C707" s="4"/>
      <c r="D707" s="5"/>
      <c r="E707" s="5"/>
      <c r="F707" s="5"/>
      <c r="G707" s="12"/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243"/>
      <c r="P707" s="243"/>
    </row>
    <row r="708" spans="1:16" x14ac:dyDescent="0.25">
      <c r="A708" s="239"/>
      <c r="B708" s="196" t="s">
        <v>15</v>
      </c>
      <c r="C708" s="4"/>
      <c r="D708" s="5"/>
      <c r="E708" s="5"/>
      <c r="F708" s="5"/>
      <c r="G708" s="12"/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243"/>
      <c r="P708" s="243"/>
    </row>
    <row r="709" spans="1:16" ht="13.5" customHeight="1" x14ac:dyDescent="0.25">
      <c r="A709" s="240"/>
      <c r="B709" s="196" t="s">
        <v>12</v>
      </c>
      <c r="C709" s="4"/>
      <c r="D709" s="5"/>
      <c r="E709" s="5"/>
      <c r="F709" s="5"/>
      <c r="G709" s="12"/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243"/>
      <c r="P709" s="244"/>
    </row>
    <row r="710" spans="1:16" ht="12.75" customHeight="1" x14ac:dyDescent="0.25">
      <c r="A710" s="254" t="s">
        <v>585</v>
      </c>
      <c r="B710" s="192" t="s">
        <v>586</v>
      </c>
      <c r="C710" s="54"/>
      <c r="D710" s="55"/>
      <c r="E710" s="55"/>
      <c r="F710" s="55"/>
      <c r="G710" s="91"/>
      <c r="H710" s="87">
        <v>1</v>
      </c>
      <c r="I710" s="56">
        <v>0</v>
      </c>
      <c r="J710" s="56">
        <v>0</v>
      </c>
      <c r="K710" s="56">
        <v>0</v>
      </c>
      <c r="L710" s="56">
        <v>0</v>
      </c>
      <c r="M710" s="56">
        <v>0</v>
      </c>
      <c r="N710" s="56">
        <v>0</v>
      </c>
      <c r="O710" s="245" t="s">
        <v>374</v>
      </c>
      <c r="P710" s="251" t="s">
        <v>501</v>
      </c>
    </row>
    <row r="711" spans="1:16" ht="13.35" customHeight="1" x14ac:dyDescent="0.25">
      <c r="A711" s="254"/>
      <c r="B711" s="129" t="s">
        <v>86</v>
      </c>
      <c r="C711" s="54"/>
      <c r="D711" s="55"/>
      <c r="E711" s="55"/>
      <c r="F711" s="55"/>
      <c r="G711" s="91"/>
      <c r="H711" s="56">
        <v>0</v>
      </c>
      <c r="I711" s="56" t="s">
        <v>229</v>
      </c>
      <c r="J711" s="56" t="s">
        <v>229</v>
      </c>
      <c r="K711" s="56" t="s">
        <v>229</v>
      </c>
      <c r="L711" s="56" t="s">
        <v>229</v>
      </c>
      <c r="M711" s="56">
        <v>0</v>
      </c>
      <c r="N711" s="56">
        <v>0</v>
      </c>
      <c r="O711" s="246"/>
      <c r="P711" s="252"/>
    </row>
    <row r="712" spans="1:16" ht="13.35" customHeight="1" x14ac:dyDescent="0.25">
      <c r="A712" s="254"/>
      <c r="B712" s="129" t="s">
        <v>74</v>
      </c>
      <c r="C712" s="54"/>
      <c r="D712" s="55"/>
      <c r="E712" s="55"/>
      <c r="F712" s="55"/>
      <c r="G712" s="91"/>
      <c r="H712" s="56">
        <f>H713+H714+H715+H716+H717</f>
        <v>7720.3</v>
      </c>
      <c r="I712" s="56">
        <f t="shared" ref="I712:N712" si="253">I713+I714+I715+I716+I717</f>
        <v>0</v>
      </c>
      <c r="J712" s="56">
        <f t="shared" si="253"/>
        <v>0</v>
      </c>
      <c r="K712" s="56">
        <f t="shared" si="253"/>
        <v>0</v>
      </c>
      <c r="L712" s="56">
        <f t="shared" si="253"/>
        <v>7720.3</v>
      </c>
      <c r="M712" s="56">
        <f t="shared" si="253"/>
        <v>0</v>
      </c>
      <c r="N712" s="56">
        <f t="shared" si="253"/>
        <v>0</v>
      </c>
      <c r="O712" s="246"/>
      <c r="P712" s="252"/>
    </row>
    <row r="713" spans="1:16" x14ac:dyDescent="0.25">
      <c r="A713" s="254"/>
      <c r="B713" s="235" t="s">
        <v>16</v>
      </c>
      <c r="C713" s="54" t="s">
        <v>41</v>
      </c>
      <c r="D713" s="54" t="s">
        <v>233</v>
      </c>
      <c r="E713" s="55" t="s">
        <v>238</v>
      </c>
      <c r="F713" s="135" t="s">
        <v>462</v>
      </c>
      <c r="G713" s="91">
        <v>621</v>
      </c>
      <c r="H713" s="56">
        <f>I713+J713+K713+L713</f>
        <v>4620.3</v>
      </c>
      <c r="I713" s="56">
        <v>0</v>
      </c>
      <c r="J713" s="56">
        <v>0</v>
      </c>
      <c r="K713" s="56">
        <v>0</v>
      </c>
      <c r="L713" s="56">
        <v>4620.3</v>
      </c>
      <c r="M713" s="56">
        <v>0</v>
      </c>
      <c r="N713" s="56">
        <v>0</v>
      </c>
      <c r="O713" s="246"/>
      <c r="P713" s="252"/>
    </row>
    <row r="714" spans="1:16" x14ac:dyDescent="0.25">
      <c r="A714" s="254"/>
      <c r="B714" s="236"/>
      <c r="C714" s="54" t="s">
        <v>41</v>
      </c>
      <c r="D714" s="54" t="s">
        <v>233</v>
      </c>
      <c r="E714" s="54" t="s">
        <v>235</v>
      </c>
      <c r="F714" s="135" t="s">
        <v>462</v>
      </c>
      <c r="G714" s="91">
        <v>622</v>
      </c>
      <c r="H714" s="56">
        <f>I714+J714+K714+L714</f>
        <v>3100</v>
      </c>
      <c r="I714" s="56">
        <v>0</v>
      </c>
      <c r="J714" s="56">
        <v>0</v>
      </c>
      <c r="K714" s="56">
        <v>0</v>
      </c>
      <c r="L714" s="56">
        <v>3100</v>
      </c>
      <c r="M714" s="56">
        <v>0</v>
      </c>
      <c r="N714" s="56">
        <v>0</v>
      </c>
      <c r="O714" s="246"/>
      <c r="P714" s="252"/>
    </row>
    <row r="715" spans="1:16" ht="13.35" customHeight="1" x14ac:dyDescent="0.25">
      <c r="A715" s="254"/>
      <c r="B715" s="129" t="s">
        <v>14</v>
      </c>
      <c r="C715" s="54"/>
      <c r="D715" s="55"/>
      <c r="E715" s="55"/>
      <c r="F715" s="55"/>
      <c r="G715" s="91"/>
      <c r="H715" s="86">
        <v>0</v>
      </c>
      <c r="I715" s="86">
        <v>0</v>
      </c>
      <c r="J715" s="86">
        <v>0</v>
      </c>
      <c r="K715" s="86">
        <v>0</v>
      </c>
      <c r="L715" s="86">
        <v>0</v>
      </c>
      <c r="M715" s="86">
        <v>0</v>
      </c>
      <c r="N715" s="86">
        <v>0</v>
      </c>
      <c r="O715" s="246"/>
      <c r="P715" s="252"/>
    </row>
    <row r="716" spans="1:16" x14ac:dyDescent="0.25">
      <c r="A716" s="254"/>
      <c r="B716" s="129" t="s">
        <v>15</v>
      </c>
      <c r="C716" s="54"/>
      <c r="D716" s="55"/>
      <c r="E716" s="55"/>
      <c r="F716" s="55"/>
      <c r="G716" s="91"/>
      <c r="H716" s="86">
        <v>0</v>
      </c>
      <c r="I716" s="86">
        <v>0</v>
      </c>
      <c r="J716" s="86">
        <v>0</v>
      </c>
      <c r="K716" s="86">
        <v>0</v>
      </c>
      <c r="L716" s="86">
        <v>0</v>
      </c>
      <c r="M716" s="86">
        <v>0</v>
      </c>
      <c r="N716" s="86">
        <v>0</v>
      </c>
      <c r="O716" s="246"/>
      <c r="P716" s="252"/>
    </row>
    <row r="717" spans="1:16" ht="13.35" customHeight="1" x14ac:dyDescent="0.25">
      <c r="A717" s="254"/>
      <c r="B717" s="129" t="s">
        <v>12</v>
      </c>
      <c r="C717" s="54"/>
      <c r="D717" s="55"/>
      <c r="E717" s="55"/>
      <c r="F717" s="55"/>
      <c r="G717" s="91"/>
      <c r="H717" s="86">
        <v>0</v>
      </c>
      <c r="I717" s="86">
        <v>0</v>
      </c>
      <c r="J717" s="86">
        <v>0</v>
      </c>
      <c r="K717" s="86">
        <v>0</v>
      </c>
      <c r="L717" s="86">
        <v>0</v>
      </c>
      <c r="M717" s="86">
        <v>0</v>
      </c>
      <c r="N717" s="86">
        <v>0</v>
      </c>
      <c r="O717" s="247"/>
      <c r="P717" s="253"/>
    </row>
    <row r="718" spans="1:16" ht="18" customHeight="1" x14ac:dyDescent="0.25">
      <c r="A718" s="254" t="s">
        <v>543</v>
      </c>
      <c r="B718" s="192" t="s">
        <v>586</v>
      </c>
      <c r="C718" s="54"/>
      <c r="D718" s="55"/>
      <c r="E718" s="55"/>
      <c r="F718" s="55"/>
      <c r="G718" s="91"/>
      <c r="H718" s="56">
        <v>0</v>
      </c>
      <c r="I718" s="56">
        <v>0</v>
      </c>
      <c r="J718" s="56">
        <v>0</v>
      </c>
      <c r="K718" s="56">
        <v>0</v>
      </c>
      <c r="L718" s="56">
        <v>0</v>
      </c>
      <c r="M718" s="56">
        <v>1</v>
      </c>
      <c r="N718" s="56">
        <v>3</v>
      </c>
      <c r="O718" s="245" t="s">
        <v>374</v>
      </c>
      <c r="P718" s="251" t="s">
        <v>604</v>
      </c>
    </row>
    <row r="719" spans="1:16" ht="26.4" customHeight="1" x14ac:dyDescent="0.25">
      <c r="A719" s="254"/>
      <c r="B719" s="129" t="s">
        <v>86</v>
      </c>
      <c r="C719" s="54"/>
      <c r="D719" s="55"/>
      <c r="E719" s="55"/>
      <c r="F719" s="55"/>
      <c r="G719" s="91"/>
      <c r="H719" s="56">
        <v>0</v>
      </c>
      <c r="I719" s="56" t="s">
        <v>229</v>
      </c>
      <c r="J719" s="56" t="s">
        <v>229</v>
      </c>
      <c r="K719" s="56" t="s">
        <v>229</v>
      </c>
      <c r="L719" s="56" t="s">
        <v>229</v>
      </c>
      <c r="M719" s="56">
        <v>0</v>
      </c>
      <c r="N719" s="56">
        <v>0</v>
      </c>
      <c r="O719" s="246"/>
      <c r="P719" s="252"/>
    </row>
    <row r="720" spans="1:16" ht="13.35" customHeight="1" x14ac:dyDescent="0.25">
      <c r="A720" s="254"/>
      <c r="B720" s="129" t="s">
        <v>74</v>
      </c>
      <c r="C720" s="54"/>
      <c r="D720" s="55"/>
      <c r="E720" s="55"/>
      <c r="F720" s="55"/>
      <c r="G720" s="91"/>
      <c r="H720" s="56">
        <v>0</v>
      </c>
      <c r="I720" s="56">
        <v>0</v>
      </c>
      <c r="J720" s="56">
        <v>0</v>
      </c>
      <c r="K720" s="56">
        <v>0</v>
      </c>
      <c r="L720" s="56">
        <v>0</v>
      </c>
      <c r="M720" s="56">
        <v>0</v>
      </c>
      <c r="N720" s="56">
        <v>0</v>
      </c>
      <c r="O720" s="246"/>
      <c r="P720" s="252"/>
    </row>
    <row r="721" spans="1:16" ht="12.75" customHeight="1" x14ac:dyDescent="0.25">
      <c r="A721" s="254"/>
      <c r="B721" s="128" t="s">
        <v>16</v>
      </c>
      <c r="C721" s="54" t="s">
        <v>41</v>
      </c>
      <c r="D721" s="54" t="s">
        <v>233</v>
      </c>
      <c r="E721" s="55" t="s">
        <v>238</v>
      </c>
      <c r="F721" s="135" t="s">
        <v>463</v>
      </c>
      <c r="G721" s="91">
        <v>621</v>
      </c>
      <c r="H721" s="56">
        <f>I721+J721+K721+L721</f>
        <v>1599.4</v>
      </c>
      <c r="I721" s="56">
        <v>0</v>
      </c>
      <c r="J721" s="56">
        <v>0</v>
      </c>
      <c r="K721" s="56">
        <v>0</v>
      </c>
      <c r="L721" s="56">
        <v>1599.4</v>
      </c>
      <c r="M721" s="56">
        <v>0</v>
      </c>
      <c r="N721" s="56">
        <v>0</v>
      </c>
      <c r="O721" s="246"/>
      <c r="P721" s="252"/>
    </row>
    <row r="722" spans="1:16" x14ac:dyDescent="0.25">
      <c r="A722" s="254"/>
      <c r="B722" s="129" t="s">
        <v>14</v>
      </c>
      <c r="C722" s="54"/>
      <c r="D722" s="55"/>
      <c r="E722" s="55"/>
      <c r="F722" s="55"/>
      <c r="G722" s="91"/>
      <c r="H722" s="86">
        <v>0</v>
      </c>
      <c r="I722" s="86">
        <v>0</v>
      </c>
      <c r="J722" s="86">
        <v>0</v>
      </c>
      <c r="K722" s="86">
        <v>0</v>
      </c>
      <c r="L722" s="86">
        <v>0</v>
      </c>
      <c r="M722" s="86">
        <v>0</v>
      </c>
      <c r="N722" s="86">
        <v>0</v>
      </c>
      <c r="O722" s="246"/>
      <c r="P722" s="252"/>
    </row>
    <row r="723" spans="1:16" ht="12.75" customHeight="1" x14ac:dyDescent="0.25">
      <c r="A723" s="254"/>
      <c r="B723" s="129" t="s">
        <v>15</v>
      </c>
      <c r="C723" s="54"/>
      <c r="D723" s="55"/>
      <c r="E723" s="55"/>
      <c r="F723" s="55"/>
      <c r="G723" s="91"/>
      <c r="H723" s="86">
        <v>0</v>
      </c>
      <c r="I723" s="86">
        <v>0</v>
      </c>
      <c r="J723" s="86">
        <v>0</v>
      </c>
      <c r="K723" s="86">
        <v>0</v>
      </c>
      <c r="L723" s="86">
        <v>0</v>
      </c>
      <c r="M723" s="86">
        <v>0</v>
      </c>
      <c r="N723" s="86">
        <v>0</v>
      </c>
      <c r="O723" s="246"/>
      <c r="P723" s="252"/>
    </row>
    <row r="724" spans="1:16" ht="37.5" customHeight="1" x14ac:dyDescent="0.25">
      <c r="A724" s="254"/>
      <c r="B724" s="129" t="s">
        <v>12</v>
      </c>
      <c r="C724" s="54"/>
      <c r="D724" s="55"/>
      <c r="E724" s="55"/>
      <c r="F724" s="55"/>
      <c r="G724" s="91"/>
      <c r="H724" s="86">
        <v>0</v>
      </c>
      <c r="I724" s="86">
        <v>0</v>
      </c>
      <c r="J724" s="86">
        <v>0</v>
      </c>
      <c r="K724" s="86">
        <v>0</v>
      </c>
      <c r="L724" s="86">
        <v>0</v>
      </c>
      <c r="M724" s="86">
        <v>0</v>
      </c>
      <c r="N724" s="86">
        <v>0</v>
      </c>
      <c r="O724" s="247"/>
      <c r="P724" s="253"/>
    </row>
    <row r="725" spans="1:16" x14ac:dyDescent="0.25">
      <c r="A725" s="303" t="s">
        <v>19</v>
      </c>
      <c r="B725" s="120" t="s">
        <v>242</v>
      </c>
      <c r="C725" s="98"/>
      <c r="D725" s="99"/>
      <c r="E725" s="99"/>
      <c r="F725" s="99"/>
      <c r="G725" s="211"/>
      <c r="H725" s="121">
        <f>H726+H727+H728+H729</f>
        <v>28249327.479499996</v>
      </c>
      <c r="I725" s="121">
        <f t="shared" ref="I725:N725" si="254">I726+I727+I728+I729</f>
        <v>6598295.1149999984</v>
      </c>
      <c r="J725" s="121">
        <f t="shared" si="254"/>
        <v>9172902.785000002</v>
      </c>
      <c r="K725" s="121">
        <f t="shared" si="254"/>
        <v>4422098.05736</v>
      </c>
      <c r="L725" s="121">
        <f t="shared" si="254"/>
        <v>8056031.52214</v>
      </c>
      <c r="M725" s="121">
        <f t="shared" si="254"/>
        <v>29647339.599999998</v>
      </c>
      <c r="N725" s="121">
        <f t="shared" si="254"/>
        <v>31177665.799999997</v>
      </c>
      <c r="O725" s="303"/>
      <c r="P725" s="303"/>
    </row>
    <row r="726" spans="1:16" x14ac:dyDescent="0.25">
      <c r="A726" s="304"/>
      <c r="B726" s="120" t="s">
        <v>7</v>
      </c>
      <c r="C726" s="98"/>
      <c r="D726" s="99"/>
      <c r="E726" s="99"/>
      <c r="F726" s="99"/>
      <c r="G726" s="211"/>
      <c r="H726" s="121">
        <f>H339+H346+H353+H360+H367+H368+H369+H370+H371+H372+H379+H386+H387+H388+H389+H404+H411+H425+H447+H454+H455+H456+H457+H467+H495+H496+H497+H506+H507+H508+H517+H518+H519+H528+H529+H530+H539+H540+H541+H550+H551+H552+H576+H577+H578+H579+H580+H592+H593+H594+H595+H596+H608+H609+H610+H611+H612+H624+H625+H626+H627+H628+H640+H641+H642+H643+H644+H656+H657+H658+H659+H660+H679+H706+H713+H721+H714</f>
        <v>28202368.579499993</v>
      </c>
      <c r="I726" s="121">
        <f t="shared" ref="I726:N726" si="255">I339+I346+I353+I360+I367+I368+I369+I370+I371+I372+I379+I386+I387+I388+I389+I404+I411+I425+I447+I454+I455+I456+I457+I467+I495+I496+I497+I506+I507+I508+I517+I518+I519+I528+I529+I530+I539+I540+I541+I550+I551+I552+I576+I577+I578+I579+I580+I592+I593+I594+I595+I596+I608+I609+I610+I611+I612+I624+I625+I626+I627+I628+I640+I641+I642+I643+I644+I656+I657+I658+I659+I660+I679+I706+I713+I721+I714</f>
        <v>6598295.1149999984</v>
      </c>
      <c r="J726" s="121">
        <f t="shared" si="255"/>
        <v>9159568.6850000024</v>
      </c>
      <c r="K726" s="121">
        <f t="shared" si="255"/>
        <v>4414374.7038500002</v>
      </c>
      <c r="L726" s="121">
        <f t="shared" si="255"/>
        <v>8030130.07565</v>
      </c>
      <c r="M726" s="121">
        <f t="shared" si="255"/>
        <v>29647339.599999998</v>
      </c>
      <c r="N726" s="121">
        <f t="shared" si="255"/>
        <v>31177665.799999997</v>
      </c>
      <c r="O726" s="304"/>
      <c r="P726" s="304"/>
    </row>
    <row r="727" spans="1:16" x14ac:dyDescent="0.25">
      <c r="A727" s="304"/>
      <c r="B727" s="120" t="s">
        <v>14</v>
      </c>
      <c r="C727" s="98"/>
      <c r="D727" s="99"/>
      <c r="E727" s="99"/>
      <c r="F727" s="99"/>
      <c r="G727" s="211"/>
      <c r="H727" s="121">
        <f t="shared" ref="H727:N727" si="256">H566+H567+H568+H569+H570+H486+H476+H438+H419+H398+H3176+H440+H487+H488+H439+H333+H441+H489+H673+H690</f>
        <v>38631.300000000003</v>
      </c>
      <c r="I727" s="121">
        <f t="shared" si="256"/>
        <v>0</v>
      </c>
      <c r="J727" s="121">
        <f t="shared" si="256"/>
        <v>13334.1</v>
      </c>
      <c r="K727" s="121">
        <f t="shared" si="256"/>
        <v>7552.6835100000008</v>
      </c>
      <c r="L727" s="121">
        <f t="shared" si="256"/>
        <v>17744.516489999998</v>
      </c>
      <c r="M727" s="121">
        <f t="shared" si="256"/>
        <v>0</v>
      </c>
      <c r="N727" s="121">
        <f t="shared" si="256"/>
        <v>0</v>
      </c>
      <c r="O727" s="304"/>
      <c r="P727" s="304"/>
    </row>
    <row r="728" spans="1:16" x14ac:dyDescent="0.25">
      <c r="A728" s="304"/>
      <c r="B728" s="120" t="s">
        <v>15</v>
      </c>
      <c r="C728" s="98"/>
      <c r="D728" s="99"/>
      <c r="E728" s="99"/>
      <c r="F728" s="99"/>
      <c r="G728" s="211"/>
      <c r="H728" s="121">
        <f t="shared" ref="H728:N728" si="257">H334+H399+H420+H442+H477+H490+H571+H674+H691</f>
        <v>523.6</v>
      </c>
      <c r="I728" s="121">
        <f t="shared" si="257"/>
        <v>0</v>
      </c>
      <c r="J728" s="121">
        <f t="shared" si="257"/>
        <v>0</v>
      </c>
      <c r="K728" s="121">
        <f t="shared" si="257"/>
        <v>170.67</v>
      </c>
      <c r="L728" s="121">
        <f t="shared" si="257"/>
        <v>352.93000000000006</v>
      </c>
      <c r="M728" s="121">
        <f t="shared" si="257"/>
        <v>0</v>
      </c>
      <c r="N728" s="121">
        <f t="shared" si="257"/>
        <v>0</v>
      </c>
      <c r="O728" s="304"/>
      <c r="P728" s="304"/>
    </row>
    <row r="729" spans="1:16" x14ac:dyDescent="0.25">
      <c r="A729" s="305"/>
      <c r="B729" s="120" t="s">
        <v>10</v>
      </c>
      <c r="C729" s="98"/>
      <c r="D729" s="99"/>
      <c r="E729" s="99"/>
      <c r="F729" s="99"/>
      <c r="G729" s="211"/>
      <c r="H729" s="121">
        <f t="shared" ref="H729:N729" si="258">H335+H400+H421+H443+H478+H491+H7203+H572+H675+H692</f>
        <v>7804</v>
      </c>
      <c r="I729" s="121">
        <f t="shared" si="258"/>
        <v>0</v>
      </c>
      <c r="J729" s="121">
        <f t="shared" si="258"/>
        <v>0</v>
      </c>
      <c r="K729" s="121">
        <f t="shared" si="258"/>
        <v>0</v>
      </c>
      <c r="L729" s="121">
        <f t="shared" si="258"/>
        <v>7804</v>
      </c>
      <c r="M729" s="121">
        <f t="shared" si="258"/>
        <v>0</v>
      </c>
      <c r="N729" s="121">
        <f t="shared" si="258"/>
        <v>0</v>
      </c>
      <c r="O729" s="305"/>
      <c r="P729" s="305"/>
    </row>
    <row r="730" spans="1:16" ht="29.25" customHeight="1" x14ac:dyDescent="0.25">
      <c r="A730" s="275" t="s">
        <v>395</v>
      </c>
      <c r="B730" s="276"/>
      <c r="C730" s="276"/>
      <c r="D730" s="276"/>
      <c r="E730" s="276"/>
      <c r="F730" s="276"/>
      <c r="G730" s="276"/>
      <c r="H730" s="276"/>
      <c r="I730" s="276"/>
      <c r="J730" s="276"/>
      <c r="K730" s="276"/>
      <c r="L730" s="276"/>
      <c r="M730" s="276"/>
      <c r="N730" s="276"/>
      <c r="O730" s="276"/>
      <c r="P730" s="277"/>
    </row>
    <row r="731" spans="1:16" x14ac:dyDescent="0.25">
      <c r="A731" s="275" t="s">
        <v>128</v>
      </c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7"/>
    </row>
    <row r="732" spans="1:16" ht="13.35" customHeight="1" x14ac:dyDescent="0.25">
      <c r="A732" s="238" t="s">
        <v>575</v>
      </c>
      <c r="B732" s="71" t="s">
        <v>396</v>
      </c>
      <c r="C732" s="4"/>
      <c r="D732" s="5"/>
      <c r="E732" s="5"/>
      <c r="F732" s="5"/>
      <c r="G732" s="12"/>
      <c r="H732" s="9">
        <v>7</v>
      </c>
      <c r="I732" s="9">
        <v>2</v>
      </c>
      <c r="J732" s="9">
        <v>1</v>
      </c>
      <c r="K732" s="9">
        <v>2</v>
      </c>
      <c r="L732" s="9">
        <v>2</v>
      </c>
      <c r="M732" s="9">
        <v>4</v>
      </c>
      <c r="N732" s="9">
        <v>4</v>
      </c>
      <c r="O732" s="242" t="s">
        <v>364</v>
      </c>
      <c r="P732" s="268" t="s">
        <v>630</v>
      </c>
    </row>
    <row r="733" spans="1:16" ht="25.5" customHeight="1" x14ac:dyDescent="0.25">
      <c r="A733" s="239"/>
      <c r="B733" s="71" t="s">
        <v>86</v>
      </c>
      <c r="C733" s="4"/>
      <c r="D733" s="5"/>
      <c r="E733" s="5"/>
      <c r="F733" s="5"/>
      <c r="G733" s="12"/>
      <c r="H733" s="9">
        <v>198</v>
      </c>
      <c r="I733" s="9" t="s">
        <v>229</v>
      </c>
      <c r="J733" s="9" t="s">
        <v>229</v>
      </c>
      <c r="K733" s="9" t="s">
        <v>229</v>
      </c>
      <c r="L733" s="9" t="s">
        <v>229</v>
      </c>
      <c r="M733" s="9">
        <v>379.5</v>
      </c>
      <c r="N733" s="9">
        <v>379.5</v>
      </c>
      <c r="O733" s="243"/>
      <c r="P733" s="268"/>
    </row>
    <row r="734" spans="1:16" ht="27.6" customHeight="1" x14ac:dyDescent="0.25">
      <c r="A734" s="239"/>
      <c r="B734" s="71" t="s">
        <v>74</v>
      </c>
      <c r="C734" s="4"/>
      <c r="D734" s="5"/>
      <c r="E734" s="5"/>
      <c r="F734" s="5"/>
      <c r="G734" s="12"/>
      <c r="H734" s="9">
        <f>SUM(H735:H738)</f>
        <v>1518</v>
      </c>
      <c r="I734" s="9">
        <f t="shared" ref="I734:N734" si="259">SUM(I735:I738)</f>
        <v>490</v>
      </c>
      <c r="J734" s="9">
        <f t="shared" si="259"/>
        <v>240</v>
      </c>
      <c r="K734" s="9">
        <f t="shared" si="259"/>
        <v>380</v>
      </c>
      <c r="L734" s="9">
        <f t="shared" si="259"/>
        <v>408</v>
      </c>
      <c r="M734" s="9">
        <f t="shared" si="259"/>
        <v>1518</v>
      </c>
      <c r="N734" s="9">
        <f t="shared" si="259"/>
        <v>1518</v>
      </c>
      <c r="O734" s="243"/>
      <c r="P734" s="268"/>
    </row>
    <row r="735" spans="1:16" x14ac:dyDescent="0.25">
      <c r="A735" s="239"/>
      <c r="B735" s="92" t="s">
        <v>16</v>
      </c>
      <c r="C735" s="13" t="str">
        <f>C742</f>
        <v>136</v>
      </c>
      <c r="D735" s="13" t="str">
        <f>D742</f>
        <v>07</v>
      </c>
      <c r="E735" s="13" t="str">
        <f>E742</f>
        <v>09</v>
      </c>
      <c r="F735" s="6" t="s">
        <v>336</v>
      </c>
      <c r="G735" s="13">
        <v>622</v>
      </c>
      <c r="H735" s="9">
        <f>H742+H749</f>
        <v>1518</v>
      </c>
      <c r="I735" s="9">
        <f>I742+I749</f>
        <v>490</v>
      </c>
      <c r="J735" s="9">
        <f>J742+J749</f>
        <v>240</v>
      </c>
      <c r="K735" s="9">
        <f>K742+K749</f>
        <v>380</v>
      </c>
      <c r="L735" s="9">
        <f>L742+L749</f>
        <v>408</v>
      </c>
      <c r="M735" s="9">
        <f>M742</f>
        <v>1518</v>
      </c>
      <c r="N735" s="9">
        <f>N742</f>
        <v>1518</v>
      </c>
      <c r="O735" s="243"/>
      <c r="P735" s="268"/>
    </row>
    <row r="736" spans="1:16" x14ac:dyDescent="0.25">
      <c r="A736" s="239"/>
      <c r="B736" s="71" t="s">
        <v>14</v>
      </c>
      <c r="C736" s="12"/>
      <c r="D736" s="12"/>
      <c r="E736" s="12"/>
      <c r="F736" s="12"/>
      <c r="G736" s="12"/>
      <c r="H736" s="9">
        <f>H743+H750</f>
        <v>0</v>
      </c>
      <c r="I736" s="9">
        <f t="shared" ref="I736:N736" si="260">I743+I750</f>
        <v>0</v>
      </c>
      <c r="J736" s="9">
        <f t="shared" si="260"/>
        <v>0</v>
      </c>
      <c r="K736" s="9">
        <f t="shared" si="260"/>
        <v>0</v>
      </c>
      <c r="L736" s="9">
        <f t="shared" si="260"/>
        <v>0</v>
      </c>
      <c r="M736" s="9">
        <f t="shared" si="260"/>
        <v>0</v>
      </c>
      <c r="N736" s="9">
        <f t="shared" si="260"/>
        <v>0</v>
      </c>
      <c r="O736" s="243"/>
      <c r="P736" s="268"/>
    </row>
    <row r="737" spans="1:16" x14ac:dyDescent="0.25">
      <c r="A737" s="239"/>
      <c r="B737" s="71" t="s">
        <v>15</v>
      </c>
      <c r="C737" s="12"/>
      <c r="D737" s="12"/>
      <c r="E737" s="12"/>
      <c r="F737" s="12"/>
      <c r="G737" s="12"/>
      <c r="H737" s="9">
        <f>H744+H751</f>
        <v>0</v>
      </c>
      <c r="I737" s="9">
        <f t="shared" ref="I737:N737" si="261">I744+I751</f>
        <v>0</v>
      </c>
      <c r="J737" s="9">
        <f t="shared" si="261"/>
        <v>0</v>
      </c>
      <c r="K737" s="9">
        <f t="shared" si="261"/>
        <v>0</v>
      </c>
      <c r="L737" s="9">
        <f t="shared" si="261"/>
        <v>0</v>
      </c>
      <c r="M737" s="9">
        <f t="shared" si="261"/>
        <v>0</v>
      </c>
      <c r="N737" s="9">
        <f t="shared" si="261"/>
        <v>0</v>
      </c>
      <c r="O737" s="243"/>
      <c r="P737" s="268"/>
    </row>
    <row r="738" spans="1:16" x14ac:dyDescent="0.25">
      <c r="A738" s="240"/>
      <c r="B738" s="71" t="s">
        <v>12</v>
      </c>
      <c r="C738" s="12"/>
      <c r="D738" s="12"/>
      <c r="E738" s="12"/>
      <c r="F738" s="12"/>
      <c r="G738" s="12"/>
      <c r="H738" s="9">
        <f>H745+H752</f>
        <v>0</v>
      </c>
      <c r="I738" s="9">
        <f t="shared" ref="I738:N738" si="262">I745+I752</f>
        <v>0</v>
      </c>
      <c r="J738" s="9">
        <f t="shared" si="262"/>
        <v>0</v>
      </c>
      <c r="K738" s="9">
        <f t="shared" si="262"/>
        <v>0</v>
      </c>
      <c r="L738" s="9">
        <f t="shared" si="262"/>
        <v>0</v>
      </c>
      <c r="M738" s="9">
        <f t="shared" si="262"/>
        <v>0</v>
      </c>
      <c r="N738" s="9">
        <f t="shared" si="262"/>
        <v>0</v>
      </c>
      <c r="O738" s="244"/>
      <c r="P738" s="268"/>
    </row>
    <row r="739" spans="1:16" ht="26.4" x14ac:dyDescent="0.25">
      <c r="A739" s="241" t="s">
        <v>576</v>
      </c>
      <c r="B739" s="71" t="s">
        <v>105</v>
      </c>
      <c r="C739" s="4"/>
      <c r="D739" s="5"/>
      <c r="E739" s="5"/>
      <c r="F739" s="5"/>
      <c r="G739" s="12"/>
      <c r="H739" s="9">
        <f>I739+J739+K739+L739</f>
        <v>6</v>
      </c>
      <c r="I739" s="9">
        <v>2</v>
      </c>
      <c r="J739" s="9">
        <v>1</v>
      </c>
      <c r="K739" s="9">
        <v>2</v>
      </c>
      <c r="L739" s="9">
        <v>1</v>
      </c>
      <c r="M739" s="9">
        <v>4</v>
      </c>
      <c r="N739" s="9">
        <v>4</v>
      </c>
      <c r="O739" s="242" t="s">
        <v>366</v>
      </c>
      <c r="P739" s="242" t="s">
        <v>631</v>
      </c>
    </row>
    <row r="740" spans="1:16" ht="26.4" x14ac:dyDescent="0.25">
      <c r="A740" s="241"/>
      <c r="B740" s="71" t="s">
        <v>86</v>
      </c>
      <c r="C740" s="4"/>
      <c r="D740" s="5"/>
      <c r="E740" s="5"/>
      <c r="F740" s="5"/>
      <c r="G740" s="12"/>
      <c r="H740" s="9">
        <v>198</v>
      </c>
      <c r="I740" s="9" t="s">
        <v>229</v>
      </c>
      <c r="J740" s="9" t="s">
        <v>229</v>
      </c>
      <c r="K740" s="9" t="s">
        <v>229</v>
      </c>
      <c r="L740" s="9" t="s">
        <v>229</v>
      </c>
      <c r="M740" s="9">
        <f>ROUND(M741/M739,1)</f>
        <v>379.5</v>
      </c>
      <c r="N740" s="9">
        <f>ROUND(N741/N739,1)</f>
        <v>379.5</v>
      </c>
      <c r="O740" s="243"/>
      <c r="P740" s="243"/>
    </row>
    <row r="741" spans="1:16" x14ac:dyDescent="0.25">
      <c r="A741" s="241"/>
      <c r="B741" s="71" t="s">
        <v>74</v>
      </c>
      <c r="C741" s="4"/>
      <c r="D741" s="5"/>
      <c r="E741" s="5"/>
      <c r="F741" s="5"/>
      <c r="G741" s="12"/>
      <c r="H741" s="9">
        <f t="shared" ref="H741:N741" si="263">SUM(H742:H745)</f>
        <v>1188</v>
      </c>
      <c r="I741" s="9">
        <f t="shared" si="263"/>
        <v>490</v>
      </c>
      <c r="J741" s="9">
        <f t="shared" si="263"/>
        <v>240</v>
      </c>
      <c r="K741" s="9">
        <f t="shared" si="263"/>
        <v>380</v>
      </c>
      <c r="L741" s="9">
        <f t="shared" si="263"/>
        <v>78</v>
      </c>
      <c r="M741" s="9">
        <f t="shared" si="263"/>
        <v>1518</v>
      </c>
      <c r="N741" s="9">
        <f t="shared" si="263"/>
        <v>1518</v>
      </c>
      <c r="O741" s="243"/>
      <c r="P741" s="243"/>
    </row>
    <row r="742" spans="1:16" x14ac:dyDescent="0.25">
      <c r="A742" s="241"/>
      <c r="B742" s="71" t="s">
        <v>16</v>
      </c>
      <c r="C742" s="6" t="s">
        <v>41</v>
      </c>
      <c r="D742" s="5" t="s">
        <v>233</v>
      </c>
      <c r="E742" s="6" t="s">
        <v>235</v>
      </c>
      <c r="F742" s="6" t="s">
        <v>336</v>
      </c>
      <c r="G742" s="13" t="s">
        <v>45</v>
      </c>
      <c r="H742" s="9">
        <f>I742+J742+K742+L742</f>
        <v>1188</v>
      </c>
      <c r="I742" s="9">
        <v>490</v>
      </c>
      <c r="J742" s="9">
        <v>240</v>
      </c>
      <c r="K742" s="9">
        <v>380</v>
      </c>
      <c r="L742" s="9">
        <v>78</v>
      </c>
      <c r="M742" s="9">
        <v>1518</v>
      </c>
      <c r="N742" s="9">
        <v>1518</v>
      </c>
      <c r="O742" s="243"/>
      <c r="P742" s="243"/>
    </row>
    <row r="743" spans="1:16" x14ac:dyDescent="0.25">
      <c r="A743" s="241"/>
      <c r="B743" s="71" t="s">
        <v>14</v>
      </c>
      <c r="C743" s="4"/>
      <c r="D743" s="5"/>
      <c r="E743" s="5"/>
      <c r="F743" s="5"/>
      <c r="G743" s="12"/>
      <c r="H743" s="9">
        <f>I743+J743+K743+L743</f>
        <v>0</v>
      </c>
      <c r="I743" s="9">
        <v>0</v>
      </c>
      <c r="J743" s="9">
        <v>0</v>
      </c>
      <c r="K743" s="9">
        <v>0</v>
      </c>
      <c r="L743" s="9">
        <v>0</v>
      </c>
      <c r="M743" s="9">
        <v>0</v>
      </c>
      <c r="N743" s="9">
        <v>0</v>
      </c>
      <c r="O743" s="243"/>
      <c r="P743" s="243"/>
    </row>
    <row r="744" spans="1:16" x14ac:dyDescent="0.25">
      <c r="A744" s="241"/>
      <c r="B744" s="71" t="s">
        <v>15</v>
      </c>
      <c r="C744" s="4"/>
      <c r="D744" s="5"/>
      <c r="E744" s="5"/>
      <c r="F744" s="5"/>
      <c r="G744" s="12"/>
      <c r="H744" s="9">
        <f>I744+J744+K744+L744</f>
        <v>0</v>
      </c>
      <c r="I744" s="9">
        <v>0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243"/>
      <c r="P744" s="243"/>
    </row>
    <row r="745" spans="1:16" x14ac:dyDescent="0.25">
      <c r="A745" s="241"/>
      <c r="B745" s="71" t="s">
        <v>12</v>
      </c>
      <c r="C745" s="4"/>
      <c r="D745" s="5"/>
      <c r="E745" s="5"/>
      <c r="F745" s="5"/>
      <c r="G745" s="12"/>
      <c r="H745" s="9">
        <f>I745+J745+K745+L745</f>
        <v>0</v>
      </c>
      <c r="I745" s="9">
        <v>0</v>
      </c>
      <c r="J745" s="9">
        <v>0</v>
      </c>
      <c r="K745" s="9">
        <v>0</v>
      </c>
      <c r="L745" s="9">
        <v>0</v>
      </c>
      <c r="M745" s="9">
        <v>0</v>
      </c>
      <c r="N745" s="9">
        <v>0</v>
      </c>
      <c r="O745" s="244"/>
      <c r="P745" s="244"/>
    </row>
    <row r="746" spans="1:16" ht="26.4" x14ac:dyDescent="0.25">
      <c r="A746" s="241" t="s">
        <v>591</v>
      </c>
      <c r="B746" s="71" t="s">
        <v>105</v>
      </c>
      <c r="C746" s="4"/>
      <c r="D746" s="5"/>
      <c r="E746" s="5"/>
      <c r="F746" s="5"/>
      <c r="G746" s="12"/>
      <c r="H746" s="9">
        <f>I746+J746+K746+L746</f>
        <v>1</v>
      </c>
      <c r="I746" s="9">
        <v>0</v>
      </c>
      <c r="J746" s="9">
        <v>0</v>
      </c>
      <c r="K746" s="9">
        <v>0</v>
      </c>
      <c r="L746" s="9">
        <v>1</v>
      </c>
      <c r="M746" s="9">
        <v>0</v>
      </c>
      <c r="N746" s="9">
        <v>0</v>
      </c>
      <c r="O746" s="268" t="s">
        <v>365</v>
      </c>
      <c r="P746" s="268" t="s">
        <v>592</v>
      </c>
    </row>
    <row r="747" spans="1:16" ht="26.4" x14ac:dyDescent="0.25">
      <c r="A747" s="241"/>
      <c r="B747" s="71" t="s">
        <v>84</v>
      </c>
      <c r="C747" s="4"/>
      <c r="D747" s="5"/>
      <c r="E747" s="5"/>
      <c r="F747" s="5"/>
      <c r="G747" s="12"/>
      <c r="H747" s="9">
        <v>330</v>
      </c>
      <c r="I747" s="9" t="s">
        <v>229</v>
      </c>
      <c r="J747" s="9" t="s">
        <v>229</v>
      </c>
      <c r="K747" s="9" t="s">
        <v>229</v>
      </c>
      <c r="L747" s="9" t="s">
        <v>229</v>
      </c>
      <c r="M747" s="9">
        <v>0</v>
      </c>
      <c r="N747" s="9">
        <v>0</v>
      </c>
      <c r="O747" s="268"/>
      <c r="P747" s="268"/>
    </row>
    <row r="748" spans="1:16" x14ac:dyDescent="0.25">
      <c r="A748" s="241"/>
      <c r="B748" s="71" t="s">
        <v>74</v>
      </c>
      <c r="C748" s="4"/>
      <c r="D748" s="5"/>
      <c r="E748" s="5"/>
      <c r="F748" s="5"/>
      <c r="G748" s="12"/>
      <c r="H748" s="9">
        <f t="shared" ref="H748:N748" si="264">SUM(H749:H752)</f>
        <v>330</v>
      </c>
      <c r="I748" s="9">
        <f t="shared" si="264"/>
        <v>0</v>
      </c>
      <c r="J748" s="9">
        <f t="shared" si="264"/>
        <v>0</v>
      </c>
      <c r="K748" s="9">
        <f t="shared" si="264"/>
        <v>0</v>
      </c>
      <c r="L748" s="9">
        <f t="shared" si="264"/>
        <v>330</v>
      </c>
      <c r="M748" s="9">
        <f t="shared" si="264"/>
        <v>0</v>
      </c>
      <c r="N748" s="9">
        <f t="shared" si="264"/>
        <v>0</v>
      </c>
      <c r="O748" s="268"/>
      <c r="P748" s="268"/>
    </row>
    <row r="749" spans="1:16" x14ac:dyDescent="0.25">
      <c r="A749" s="241"/>
      <c r="B749" s="71" t="s">
        <v>16</v>
      </c>
      <c r="C749" s="6" t="s">
        <v>41</v>
      </c>
      <c r="D749" s="6" t="s">
        <v>233</v>
      </c>
      <c r="E749" s="6" t="s">
        <v>235</v>
      </c>
      <c r="F749" s="6" t="s">
        <v>336</v>
      </c>
      <c r="G749" s="13" t="s">
        <v>45</v>
      </c>
      <c r="H749" s="9">
        <f>I749+J749+K749+L749</f>
        <v>330</v>
      </c>
      <c r="I749" s="9">
        <v>0</v>
      </c>
      <c r="J749" s="9">
        <v>0</v>
      </c>
      <c r="K749" s="9">
        <v>0</v>
      </c>
      <c r="L749" s="9">
        <v>330</v>
      </c>
      <c r="M749" s="9">
        <v>0</v>
      </c>
      <c r="N749" s="9">
        <v>0</v>
      </c>
      <c r="O749" s="268"/>
      <c r="P749" s="268"/>
    </row>
    <row r="750" spans="1:16" x14ac:dyDescent="0.25">
      <c r="A750" s="241"/>
      <c r="B750" s="71" t="s">
        <v>14</v>
      </c>
      <c r="C750" s="4"/>
      <c r="D750" s="5"/>
      <c r="E750" s="5"/>
      <c r="F750" s="5"/>
      <c r="G750" s="12"/>
      <c r="H750" s="9">
        <f>I750+J750+K750+L750</f>
        <v>0</v>
      </c>
      <c r="I750" s="9">
        <v>0</v>
      </c>
      <c r="J750" s="9">
        <v>0</v>
      </c>
      <c r="K750" s="9">
        <v>0</v>
      </c>
      <c r="L750" s="9">
        <v>0</v>
      </c>
      <c r="M750" s="9">
        <v>0</v>
      </c>
      <c r="N750" s="9">
        <v>0</v>
      </c>
      <c r="O750" s="268"/>
      <c r="P750" s="268"/>
    </row>
    <row r="751" spans="1:16" x14ac:dyDescent="0.25">
      <c r="A751" s="241"/>
      <c r="B751" s="71" t="s">
        <v>15</v>
      </c>
      <c r="C751" s="4"/>
      <c r="D751" s="5"/>
      <c r="E751" s="5"/>
      <c r="F751" s="5"/>
      <c r="G751" s="12"/>
      <c r="H751" s="9">
        <f>I751+J751+K751+L751</f>
        <v>0</v>
      </c>
      <c r="I751" s="9">
        <v>0</v>
      </c>
      <c r="J751" s="9">
        <v>0</v>
      </c>
      <c r="K751" s="9">
        <v>0</v>
      </c>
      <c r="L751" s="9">
        <v>0</v>
      </c>
      <c r="M751" s="9">
        <v>0</v>
      </c>
      <c r="N751" s="9">
        <v>0</v>
      </c>
      <c r="O751" s="268"/>
      <c r="P751" s="268"/>
    </row>
    <row r="752" spans="1:16" x14ac:dyDescent="0.25">
      <c r="A752" s="241"/>
      <c r="B752" s="71" t="s">
        <v>12</v>
      </c>
      <c r="C752" s="4"/>
      <c r="D752" s="5"/>
      <c r="E752" s="5"/>
      <c r="F752" s="5"/>
      <c r="G752" s="12"/>
      <c r="H752" s="9">
        <f>I752+J752+K752+L752</f>
        <v>0</v>
      </c>
      <c r="I752" s="9">
        <v>0</v>
      </c>
      <c r="J752" s="9">
        <v>0</v>
      </c>
      <c r="K752" s="9">
        <v>0</v>
      </c>
      <c r="L752" s="9">
        <v>0</v>
      </c>
      <c r="M752" s="9">
        <v>0</v>
      </c>
      <c r="N752" s="9">
        <v>0</v>
      </c>
      <c r="O752" s="268"/>
      <c r="P752" s="268"/>
    </row>
    <row r="753" spans="1:24" x14ac:dyDescent="0.25">
      <c r="A753" s="286" t="s">
        <v>20</v>
      </c>
      <c r="B753" s="93" t="s">
        <v>242</v>
      </c>
      <c r="C753" s="94"/>
      <c r="D753" s="95"/>
      <c r="E753" s="95"/>
      <c r="F753" s="95"/>
      <c r="G753" s="212"/>
      <c r="H753" s="96">
        <f>H754+H755+H756+H757</f>
        <v>1518</v>
      </c>
      <c r="I753" s="96">
        <f t="shared" ref="I753:N753" si="265">I754+I755+I756+I757</f>
        <v>490</v>
      </c>
      <c r="J753" s="96">
        <f t="shared" si="265"/>
        <v>240</v>
      </c>
      <c r="K753" s="96">
        <f t="shared" si="265"/>
        <v>380</v>
      </c>
      <c r="L753" s="96">
        <f t="shared" si="265"/>
        <v>408</v>
      </c>
      <c r="M753" s="96">
        <f t="shared" si="265"/>
        <v>1518</v>
      </c>
      <c r="N753" s="96">
        <f t="shared" si="265"/>
        <v>1518</v>
      </c>
      <c r="O753" s="306"/>
      <c r="P753" s="306"/>
    </row>
    <row r="754" spans="1:24" x14ac:dyDescent="0.25">
      <c r="A754" s="287"/>
      <c r="B754" s="93" t="s">
        <v>7</v>
      </c>
      <c r="C754" s="94"/>
      <c r="D754" s="95"/>
      <c r="E754" s="95"/>
      <c r="F754" s="95"/>
      <c r="G754" s="212"/>
      <c r="H754" s="96">
        <f>H735</f>
        <v>1518</v>
      </c>
      <c r="I754" s="96">
        <f t="shared" ref="I754:N754" si="266">I735</f>
        <v>490</v>
      </c>
      <c r="J754" s="96">
        <f t="shared" si="266"/>
        <v>240</v>
      </c>
      <c r="K754" s="96">
        <f t="shared" si="266"/>
        <v>380</v>
      </c>
      <c r="L754" s="96">
        <f t="shared" si="266"/>
        <v>408</v>
      </c>
      <c r="M754" s="96">
        <f t="shared" si="266"/>
        <v>1518</v>
      </c>
      <c r="N754" s="96">
        <f t="shared" si="266"/>
        <v>1518</v>
      </c>
      <c r="O754" s="306"/>
      <c r="P754" s="306"/>
    </row>
    <row r="755" spans="1:24" x14ac:dyDescent="0.25">
      <c r="A755" s="287"/>
      <c r="B755" s="93" t="s">
        <v>14</v>
      </c>
      <c r="C755" s="94"/>
      <c r="D755" s="95"/>
      <c r="E755" s="95"/>
      <c r="F755" s="95"/>
      <c r="G755" s="212"/>
      <c r="H755" s="96">
        <f>H736</f>
        <v>0</v>
      </c>
      <c r="I755" s="96">
        <f t="shared" ref="I755:N755" si="267">I736</f>
        <v>0</v>
      </c>
      <c r="J755" s="96">
        <f t="shared" si="267"/>
        <v>0</v>
      </c>
      <c r="K755" s="96">
        <f t="shared" si="267"/>
        <v>0</v>
      </c>
      <c r="L755" s="96">
        <f t="shared" si="267"/>
        <v>0</v>
      </c>
      <c r="M755" s="96">
        <f t="shared" si="267"/>
        <v>0</v>
      </c>
      <c r="N755" s="96">
        <f t="shared" si="267"/>
        <v>0</v>
      </c>
      <c r="O755" s="306"/>
      <c r="P755" s="306"/>
    </row>
    <row r="756" spans="1:24" x14ac:dyDescent="0.25">
      <c r="A756" s="287"/>
      <c r="B756" s="93" t="s">
        <v>15</v>
      </c>
      <c r="C756" s="94"/>
      <c r="D756" s="95"/>
      <c r="E756" s="95"/>
      <c r="F756" s="95"/>
      <c r="G756" s="212"/>
      <c r="H756" s="96">
        <f>H737</f>
        <v>0</v>
      </c>
      <c r="I756" s="96">
        <f t="shared" ref="I756:N756" si="268">I737</f>
        <v>0</v>
      </c>
      <c r="J756" s="96">
        <f t="shared" si="268"/>
        <v>0</v>
      </c>
      <c r="K756" s="96">
        <f t="shared" si="268"/>
        <v>0</v>
      </c>
      <c r="L756" s="96">
        <f t="shared" si="268"/>
        <v>0</v>
      </c>
      <c r="M756" s="96">
        <f t="shared" si="268"/>
        <v>0</v>
      </c>
      <c r="N756" s="96">
        <f t="shared" si="268"/>
        <v>0</v>
      </c>
      <c r="O756" s="306"/>
      <c r="P756" s="306"/>
      <c r="Q756" s="39"/>
      <c r="R756" s="39"/>
      <c r="S756" s="34"/>
      <c r="T756" s="34"/>
      <c r="U756" s="34"/>
      <c r="V756" s="34"/>
      <c r="W756" s="34"/>
      <c r="X756" s="34"/>
    </row>
    <row r="757" spans="1:24" x14ac:dyDescent="0.25">
      <c r="A757" s="288"/>
      <c r="B757" s="93" t="s">
        <v>10</v>
      </c>
      <c r="C757" s="94"/>
      <c r="D757" s="95"/>
      <c r="E757" s="95"/>
      <c r="F757" s="95"/>
      <c r="G757" s="212"/>
      <c r="H757" s="96">
        <f>H738</f>
        <v>0</v>
      </c>
      <c r="I757" s="96">
        <f t="shared" ref="I757:N757" si="269">I738</f>
        <v>0</v>
      </c>
      <c r="J757" s="96">
        <f t="shared" si="269"/>
        <v>0</v>
      </c>
      <c r="K757" s="96">
        <f t="shared" si="269"/>
        <v>0</v>
      </c>
      <c r="L757" s="96">
        <f t="shared" si="269"/>
        <v>0</v>
      </c>
      <c r="M757" s="96">
        <f t="shared" si="269"/>
        <v>0</v>
      </c>
      <c r="N757" s="96">
        <f t="shared" si="269"/>
        <v>0</v>
      </c>
      <c r="O757" s="306"/>
      <c r="P757" s="306"/>
      <c r="Q757" s="39"/>
      <c r="R757" s="39"/>
      <c r="S757" s="34"/>
      <c r="T757" s="34"/>
      <c r="U757" s="34"/>
      <c r="V757" s="34"/>
      <c r="W757" s="34"/>
      <c r="X757" s="34"/>
    </row>
    <row r="758" spans="1:24" x14ac:dyDescent="0.25">
      <c r="A758" s="286" t="s">
        <v>21</v>
      </c>
      <c r="B758" s="93" t="s">
        <v>242</v>
      </c>
      <c r="C758" s="94"/>
      <c r="D758" s="95"/>
      <c r="E758" s="95"/>
      <c r="F758" s="95"/>
      <c r="G758" s="212"/>
      <c r="H758" s="96">
        <f>SUM(H759:H762)</f>
        <v>39039116.203779995</v>
      </c>
      <c r="I758" s="96">
        <f t="shared" ref="I758:N758" si="270">SUM(I759:I762)</f>
        <v>7580933.6873499984</v>
      </c>
      <c r="J758" s="96">
        <f t="shared" si="270"/>
        <v>11139476.793930002</v>
      </c>
      <c r="K758" s="96">
        <f t="shared" si="270"/>
        <v>7869406.1223600013</v>
      </c>
      <c r="L758" s="96">
        <f t="shared" si="270"/>
        <v>12449299.600140002</v>
      </c>
      <c r="M758" s="96">
        <f t="shared" si="270"/>
        <v>35950382.700000003</v>
      </c>
      <c r="N758" s="96">
        <f t="shared" si="270"/>
        <v>35176321.299999997</v>
      </c>
      <c r="O758" s="286"/>
      <c r="P758" s="286"/>
      <c r="Q758" s="39"/>
      <c r="R758" s="39"/>
      <c r="S758" s="34"/>
      <c r="T758" s="34"/>
      <c r="U758" s="34"/>
      <c r="V758" s="34"/>
      <c r="W758" s="34"/>
      <c r="X758" s="34"/>
    </row>
    <row r="759" spans="1:24" x14ac:dyDescent="0.25">
      <c r="A759" s="287"/>
      <c r="B759" s="93" t="s">
        <v>13</v>
      </c>
      <c r="C759" s="94"/>
      <c r="D759" s="95"/>
      <c r="E759" s="95"/>
      <c r="F759" s="95"/>
      <c r="G759" s="212"/>
      <c r="H759" s="96">
        <f t="shared" ref="H759:N760" si="271">H143+H282+H310+H726+H754</f>
        <v>35138766.316479996</v>
      </c>
      <c r="I759" s="96">
        <f t="shared" si="271"/>
        <v>7367767.9873499982</v>
      </c>
      <c r="J759" s="96">
        <f t="shared" si="271"/>
        <v>10391427.566630002</v>
      </c>
      <c r="K759" s="96">
        <f t="shared" si="271"/>
        <v>6834636.2688500006</v>
      </c>
      <c r="L759" s="96">
        <f t="shared" si="271"/>
        <v>10544934.493650001</v>
      </c>
      <c r="M759" s="96">
        <f t="shared" si="271"/>
        <v>34389719</v>
      </c>
      <c r="N759" s="96">
        <f t="shared" si="271"/>
        <v>34390949.699999996</v>
      </c>
      <c r="O759" s="287"/>
      <c r="P759" s="287"/>
      <c r="Q759" s="39"/>
      <c r="R759" s="39"/>
      <c r="S759" s="34"/>
      <c r="T759" s="34"/>
      <c r="U759" s="34"/>
      <c r="V759" s="34"/>
      <c r="W759" s="34"/>
      <c r="X759" s="34"/>
    </row>
    <row r="760" spans="1:24" x14ac:dyDescent="0.25">
      <c r="A760" s="287"/>
      <c r="B760" s="93" t="s">
        <v>14</v>
      </c>
      <c r="C760" s="94"/>
      <c r="D760" s="95"/>
      <c r="E760" s="95"/>
      <c r="F760" s="95"/>
      <c r="G760" s="212"/>
      <c r="H760" s="96">
        <f t="shared" si="271"/>
        <v>3657196.8873000001</v>
      </c>
      <c r="I760" s="96">
        <f t="shared" si="271"/>
        <v>205100</v>
      </c>
      <c r="J760" s="96">
        <f t="shared" si="271"/>
        <v>736353.82729999989</v>
      </c>
      <c r="K760" s="96">
        <f t="shared" si="271"/>
        <v>885804.7835100001</v>
      </c>
      <c r="L760" s="96">
        <f t="shared" si="271"/>
        <v>1829938.2764900003</v>
      </c>
      <c r="M760" s="96">
        <f t="shared" si="271"/>
        <v>1418867.0999999999</v>
      </c>
      <c r="N760" s="96">
        <f t="shared" si="271"/>
        <v>663941.69999999995</v>
      </c>
      <c r="O760" s="287"/>
      <c r="P760" s="287"/>
    </row>
    <row r="761" spans="1:24" x14ac:dyDescent="0.25">
      <c r="A761" s="287"/>
      <c r="B761" s="93" t="s">
        <v>15</v>
      </c>
      <c r="C761" s="94"/>
      <c r="D761" s="95"/>
      <c r="E761" s="95"/>
      <c r="F761" s="95"/>
      <c r="G761" s="212"/>
      <c r="H761" s="96">
        <f t="shared" ref="H761:N761" si="272">H145+H284+H312+H728+H756+H146</f>
        <v>235349.00000000003</v>
      </c>
      <c r="I761" s="96">
        <f t="shared" si="272"/>
        <v>8065.7</v>
      </c>
      <c r="J761" s="96">
        <f t="shared" si="272"/>
        <v>11695.4</v>
      </c>
      <c r="K761" s="96">
        <f t="shared" si="272"/>
        <v>148965.07</v>
      </c>
      <c r="L761" s="96">
        <f t="shared" si="272"/>
        <v>66622.83</v>
      </c>
      <c r="M761" s="96">
        <f t="shared" si="272"/>
        <v>141796.6</v>
      </c>
      <c r="N761" s="96">
        <f t="shared" si="272"/>
        <v>121429.90000000001</v>
      </c>
      <c r="O761" s="287"/>
      <c r="P761" s="287"/>
    </row>
    <row r="762" spans="1:24" x14ac:dyDescent="0.25">
      <c r="A762" s="288"/>
      <c r="B762" s="93" t="s">
        <v>12</v>
      </c>
      <c r="C762" s="94"/>
      <c r="D762" s="95"/>
      <c r="E762" s="95"/>
      <c r="F762" s="95"/>
      <c r="G762" s="212"/>
      <c r="H762" s="96">
        <f t="shared" ref="H762:N762" si="273">H147+H285+H313+H729+H757</f>
        <v>7804</v>
      </c>
      <c r="I762" s="96">
        <f t="shared" si="273"/>
        <v>0</v>
      </c>
      <c r="J762" s="96">
        <f t="shared" si="273"/>
        <v>0</v>
      </c>
      <c r="K762" s="96">
        <f t="shared" si="273"/>
        <v>0</v>
      </c>
      <c r="L762" s="96">
        <f t="shared" si="273"/>
        <v>7804</v>
      </c>
      <c r="M762" s="96">
        <f t="shared" si="273"/>
        <v>0</v>
      </c>
      <c r="N762" s="96">
        <f t="shared" si="273"/>
        <v>0</v>
      </c>
      <c r="O762" s="288"/>
      <c r="P762" s="288"/>
    </row>
    <row r="763" spans="1:24" x14ac:dyDescent="0.25">
      <c r="A763" s="275" t="s">
        <v>129</v>
      </c>
      <c r="B763" s="276"/>
      <c r="C763" s="276"/>
      <c r="D763" s="276"/>
      <c r="E763" s="276"/>
      <c r="F763" s="276"/>
      <c r="G763" s="276"/>
      <c r="H763" s="276"/>
      <c r="I763" s="276"/>
      <c r="J763" s="276"/>
      <c r="K763" s="276"/>
      <c r="L763" s="276"/>
      <c r="M763" s="276"/>
      <c r="N763" s="276"/>
      <c r="O763" s="276"/>
      <c r="P763" s="277"/>
    </row>
    <row r="764" spans="1:24" x14ac:dyDescent="0.25">
      <c r="A764" s="275" t="s">
        <v>67</v>
      </c>
      <c r="B764" s="276"/>
      <c r="C764" s="276"/>
      <c r="D764" s="276"/>
      <c r="E764" s="276"/>
      <c r="F764" s="276"/>
      <c r="G764" s="276"/>
      <c r="H764" s="276"/>
      <c r="I764" s="276"/>
      <c r="J764" s="276"/>
      <c r="K764" s="276"/>
      <c r="L764" s="276"/>
      <c r="M764" s="276"/>
      <c r="N764" s="276"/>
      <c r="O764" s="276"/>
      <c r="P764" s="277"/>
    </row>
    <row r="765" spans="1:24" x14ac:dyDescent="0.25">
      <c r="A765" s="275" t="s">
        <v>130</v>
      </c>
      <c r="B765" s="276"/>
      <c r="C765" s="276"/>
      <c r="D765" s="276"/>
      <c r="E765" s="276"/>
      <c r="F765" s="276"/>
      <c r="G765" s="276"/>
      <c r="H765" s="276"/>
      <c r="I765" s="276"/>
      <c r="J765" s="276"/>
      <c r="K765" s="276"/>
      <c r="L765" s="276"/>
      <c r="M765" s="276"/>
      <c r="N765" s="276"/>
      <c r="O765" s="276"/>
      <c r="P765" s="277"/>
    </row>
    <row r="766" spans="1:24" x14ac:dyDescent="0.25">
      <c r="A766" s="275" t="s">
        <v>131</v>
      </c>
      <c r="B766" s="276"/>
      <c r="C766" s="276"/>
      <c r="D766" s="276"/>
      <c r="E766" s="276"/>
      <c r="F766" s="276"/>
      <c r="G766" s="276"/>
      <c r="H766" s="276"/>
      <c r="I766" s="276"/>
      <c r="J766" s="276"/>
      <c r="K766" s="276"/>
      <c r="L766" s="276"/>
      <c r="M766" s="276"/>
      <c r="N766" s="276"/>
      <c r="O766" s="276"/>
      <c r="P766" s="277"/>
    </row>
    <row r="767" spans="1:24" x14ac:dyDescent="0.25">
      <c r="A767" s="274" t="s">
        <v>132</v>
      </c>
      <c r="B767" s="137" t="s">
        <v>226</v>
      </c>
      <c r="C767" s="4"/>
      <c r="D767" s="5"/>
      <c r="E767" s="5"/>
      <c r="F767" s="5"/>
      <c r="G767" s="12"/>
      <c r="H767" s="9">
        <f>H774</f>
        <v>21788</v>
      </c>
      <c r="I767" s="9">
        <f t="shared" ref="I767:N768" si="274">I774</f>
        <v>5537</v>
      </c>
      <c r="J767" s="9">
        <f t="shared" si="274"/>
        <v>383</v>
      </c>
      <c r="K767" s="9">
        <f t="shared" si="274"/>
        <v>9541</v>
      </c>
      <c r="L767" s="9">
        <f t="shared" si="274"/>
        <v>6327</v>
      </c>
      <c r="M767" s="9">
        <f t="shared" si="274"/>
        <v>55710</v>
      </c>
      <c r="N767" s="9">
        <f t="shared" si="274"/>
        <v>57035</v>
      </c>
      <c r="O767" s="268" t="s">
        <v>397</v>
      </c>
      <c r="P767" s="268" t="s">
        <v>596</v>
      </c>
    </row>
    <row r="768" spans="1:24" ht="26.4" x14ac:dyDescent="0.25">
      <c r="A768" s="274"/>
      <c r="B768" s="117" t="s">
        <v>89</v>
      </c>
      <c r="C768" s="4"/>
      <c r="D768" s="5"/>
      <c r="E768" s="5"/>
      <c r="F768" s="5"/>
      <c r="G768" s="12"/>
      <c r="H768" s="9">
        <f>H775</f>
        <v>1.4</v>
      </c>
      <c r="I768" s="9" t="s">
        <v>229</v>
      </c>
      <c r="J768" s="9" t="s">
        <v>229</v>
      </c>
      <c r="K768" s="9" t="s">
        <v>229</v>
      </c>
      <c r="L768" s="9" t="s">
        <v>229</v>
      </c>
      <c r="M768" s="9">
        <f t="shared" si="274"/>
        <v>1.2</v>
      </c>
      <c r="N768" s="9">
        <f t="shared" si="274"/>
        <v>1.2</v>
      </c>
      <c r="O768" s="268"/>
      <c r="P768" s="268"/>
    </row>
    <row r="769" spans="1:16" x14ac:dyDescent="0.25">
      <c r="A769" s="274"/>
      <c r="B769" s="117" t="s">
        <v>74</v>
      </c>
      <c r="C769" s="4"/>
      <c r="D769" s="5"/>
      <c r="E769" s="5"/>
      <c r="F769" s="5"/>
      <c r="G769" s="12"/>
      <c r="H769" s="9">
        <f t="shared" ref="H769:N769" si="275">SUM(H770:H773)</f>
        <v>30847.887360000001</v>
      </c>
      <c r="I769" s="9">
        <f t="shared" si="275"/>
        <v>0</v>
      </c>
      <c r="J769" s="9">
        <f t="shared" si="275"/>
        <v>16860.85151</v>
      </c>
      <c r="K769" s="9">
        <f t="shared" si="275"/>
        <v>6096.4316399999998</v>
      </c>
      <c r="L769" s="9">
        <f t="shared" si="275"/>
        <v>7890.6042100000004</v>
      </c>
      <c r="M769" s="9">
        <f t="shared" si="275"/>
        <v>66853.600000000006</v>
      </c>
      <c r="N769" s="9">
        <f t="shared" si="275"/>
        <v>68443.899999999994</v>
      </c>
      <c r="O769" s="268"/>
      <c r="P769" s="268"/>
    </row>
    <row r="770" spans="1:16" ht="12.75" customHeight="1" x14ac:dyDescent="0.25">
      <c r="A770" s="274"/>
      <c r="B770" s="133" t="s">
        <v>16</v>
      </c>
      <c r="C770" s="4">
        <f t="shared" ref="C770:H770" si="276">C777</f>
        <v>136</v>
      </c>
      <c r="D770" s="4" t="str">
        <f t="shared" si="276"/>
        <v>07</v>
      </c>
      <c r="E770" s="4" t="str">
        <f t="shared" si="276"/>
        <v>05</v>
      </c>
      <c r="F770" s="4" t="str">
        <f t="shared" si="276"/>
        <v>0720100650</v>
      </c>
      <c r="G770" s="12">
        <f t="shared" si="276"/>
        <v>621</v>
      </c>
      <c r="H770" s="9">
        <f t="shared" si="276"/>
        <v>30847.887360000001</v>
      </c>
      <c r="I770" s="9">
        <f t="shared" ref="I770:N770" si="277">I777</f>
        <v>0</v>
      </c>
      <c r="J770" s="9">
        <f t="shared" si="277"/>
        <v>16860.85151</v>
      </c>
      <c r="K770" s="9">
        <f t="shared" si="277"/>
        <v>6096.4316399999998</v>
      </c>
      <c r="L770" s="9">
        <f t="shared" si="277"/>
        <v>7890.6042100000004</v>
      </c>
      <c r="M770" s="9">
        <f t="shared" si="277"/>
        <v>66853.600000000006</v>
      </c>
      <c r="N770" s="9">
        <f t="shared" si="277"/>
        <v>68443.899999999994</v>
      </c>
      <c r="O770" s="268"/>
      <c r="P770" s="268"/>
    </row>
    <row r="771" spans="1:16" ht="23.1" customHeight="1" x14ac:dyDescent="0.25">
      <c r="A771" s="274"/>
      <c r="B771" s="117" t="s">
        <v>14</v>
      </c>
      <c r="C771" s="4"/>
      <c r="D771" s="5"/>
      <c r="E771" s="5"/>
      <c r="F771" s="5"/>
      <c r="G771" s="12"/>
      <c r="H771" s="9">
        <f>H778</f>
        <v>0</v>
      </c>
      <c r="I771" s="9">
        <f t="shared" ref="I771:N771" si="278">I778</f>
        <v>0</v>
      </c>
      <c r="J771" s="9">
        <f t="shared" si="278"/>
        <v>0</v>
      </c>
      <c r="K771" s="9">
        <f t="shared" si="278"/>
        <v>0</v>
      </c>
      <c r="L771" s="9">
        <f t="shared" si="278"/>
        <v>0</v>
      </c>
      <c r="M771" s="9">
        <f t="shared" si="278"/>
        <v>0</v>
      </c>
      <c r="N771" s="9">
        <f t="shared" si="278"/>
        <v>0</v>
      </c>
      <c r="O771" s="268"/>
      <c r="P771" s="268"/>
    </row>
    <row r="772" spans="1:16" x14ac:dyDescent="0.25">
      <c r="A772" s="274"/>
      <c r="B772" s="117" t="s">
        <v>15</v>
      </c>
      <c r="C772" s="4"/>
      <c r="D772" s="5"/>
      <c r="E772" s="5"/>
      <c r="F772" s="5"/>
      <c r="G772" s="12"/>
      <c r="H772" s="9">
        <f>H779</f>
        <v>0</v>
      </c>
      <c r="I772" s="9">
        <f t="shared" ref="I772:N772" si="279">I779</f>
        <v>0</v>
      </c>
      <c r="J772" s="9">
        <f t="shared" si="279"/>
        <v>0</v>
      </c>
      <c r="K772" s="9">
        <f t="shared" si="279"/>
        <v>0</v>
      </c>
      <c r="L772" s="9">
        <f t="shared" si="279"/>
        <v>0</v>
      </c>
      <c r="M772" s="9">
        <f t="shared" si="279"/>
        <v>0</v>
      </c>
      <c r="N772" s="9">
        <f t="shared" si="279"/>
        <v>0</v>
      </c>
      <c r="O772" s="268"/>
      <c r="P772" s="268"/>
    </row>
    <row r="773" spans="1:16" x14ac:dyDescent="0.25">
      <c r="A773" s="274"/>
      <c r="B773" s="117" t="s">
        <v>12</v>
      </c>
      <c r="C773" s="4"/>
      <c r="D773" s="5"/>
      <c r="E773" s="5"/>
      <c r="F773" s="5"/>
      <c r="G773" s="12"/>
      <c r="H773" s="9">
        <f>H780</f>
        <v>0</v>
      </c>
      <c r="I773" s="9">
        <f t="shared" ref="I773:N773" si="280">I780</f>
        <v>0</v>
      </c>
      <c r="J773" s="9">
        <f t="shared" si="280"/>
        <v>0</v>
      </c>
      <c r="K773" s="9">
        <f t="shared" si="280"/>
        <v>0</v>
      </c>
      <c r="L773" s="9">
        <f t="shared" si="280"/>
        <v>0</v>
      </c>
      <c r="M773" s="9">
        <f t="shared" si="280"/>
        <v>0</v>
      </c>
      <c r="N773" s="9">
        <f t="shared" si="280"/>
        <v>0</v>
      </c>
      <c r="O773" s="268"/>
      <c r="P773" s="268"/>
    </row>
    <row r="774" spans="1:16" ht="13.35" customHeight="1" x14ac:dyDescent="0.25">
      <c r="A774" s="241" t="s">
        <v>201</v>
      </c>
      <c r="B774" s="137" t="s">
        <v>226</v>
      </c>
      <c r="C774" s="4"/>
      <c r="D774" s="5"/>
      <c r="E774" s="5"/>
      <c r="F774" s="5"/>
      <c r="G774" s="12"/>
      <c r="H774" s="9">
        <v>21788</v>
      </c>
      <c r="I774" s="9">
        <v>5537</v>
      </c>
      <c r="J774" s="9">
        <v>383</v>
      </c>
      <c r="K774" s="9">
        <v>9541</v>
      </c>
      <c r="L774" s="9">
        <v>6327</v>
      </c>
      <c r="M774" s="9">
        <v>55710</v>
      </c>
      <c r="N774" s="9">
        <v>57035</v>
      </c>
      <c r="O774" s="268" t="s">
        <v>398</v>
      </c>
      <c r="P774" s="268" t="s">
        <v>587</v>
      </c>
    </row>
    <row r="775" spans="1:16" ht="26.4" x14ac:dyDescent="0.25">
      <c r="A775" s="241"/>
      <c r="B775" s="117" t="s">
        <v>86</v>
      </c>
      <c r="C775" s="4"/>
      <c r="D775" s="5"/>
      <c r="E775" s="5"/>
      <c r="F775" s="5"/>
      <c r="G775" s="12"/>
      <c r="H775" s="9">
        <f>ROUND(H776/H774,1)</f>
        <v>1.4</v>
      </c>
      <c r="I775" s="9" t="s">
        <v>229</v>
      </c>
      <c r="J775" s="9" t="s">
        <v>229</v>
      </c>
      <c r="K775" s="9" t="s">
        <v>229</v>
      </c>
      <c r="L775" s="9" t="s">
        <v>229</v>
      </c>
      <c r="M775" s="9">
        <f>ROUND(M776/M774,1)</f>
        <v>1.2</v>
      </c>
      <c r="N775" s="9">
        <f>ROUND(N776/N774,1)</f>
        <v>1.2</v>
      </c>
      <c r="O775" s="268"/>
      <c r="P775" s="268"/>
    </row>
    <row r="776" spans="1:16" ht="13.35" customHeight="1" x14ac:dyDescent="0.25">
      <c r="A776" s="241"/>
      <c r="B776" s="117" t="s">
        <v>74</v>
      </c>
      <c r="C776" s="4"/>
      <c r="D776" s="5"/>
      <c r="E776" s="5"/>
      <c r="F776" s="5"/>
      <c r="G776" s="12"/>
      <c r="H776" s="9">
        <f t="shared" ref="H776:N776" si="281">SUM(H777:H780)</f>
        <v>30847.887360000001</v>
      </c>
      <c r="I776" s="9">
        <f t="shared" si="281"/>
        <v>0</v>
      </c>
      <c r="J776" s="9">
        <f t="shared" si="281"/>
        <v>16860.85151</v>
      </c>
      <c r="K776" s="9">
        <f t="shared" si="281"/>
        <v>6096.4316399999998</v>
      </c>
      <c r="L776" s="9">
        <f t="shared" si="281"/>
        <v>7890.6042100000004</v>
      </c>
      <c r="M776" s="9">
        <f t="shared" si="281"/>
        <v>66853.600000000006</v>
      </c>
      <c r="N776" s="9">
        <f t="shared" si="281"/>
        <v>68443.899999999994</v>
      </c>
      <c r="O776" s="268"/>
      <c r="P776" s="268"/>
    </row>
    <row r="777" spans="1:16" x14ac:dyDescent="0.25">
      <c r="A777" s="241"/>
      <c r="B777" s="117" t="s">
        <v>16</v>
      </c>
      <c r="C777" s="4">
        <v>136</v>
      </c>
      <c r="D777" s="5" t="s">
        <v>233</v>
      </c>
      <c r="E777" s="6" t="s">
        <v>239</v>
      </c>
      <c r="F777" s="5" t="s">
        <v>265</v>
      </c>
      <c r="G777" s="13">
        <v>621</v>
      </c>
      <c r="H777" s="9">
        <f>I777+J777+K777+L777</f>
        <v>30847.887360000001</v>
      </c>
      <c r="I777" s="56">
        <v>0</v>
      </c>
      <c r="J777" s="56">
        <v>16860.85151</v>
      </c>
      <c r="K777" s="56">
        <v>6096.4316399999998</v>
      </c>
      <c r="L777" s="56">
        <v>7890.6042100000004</v>
      </c>
      <c r="M777" s="9">
        <v>66853.600000000006</v>
      </c>
      <c r="N777" s="9">
        <v>68443.899999999994</v>
      </c>
      <c r="O777" s="268"/>
      <c r="P777" s="268"/>
    </row>
    <row r="778" spans="1:16" x14ac:dyDescent="0.25">
      <c r="A778" s="241"/>
      <c r="B778" s="117" t="s">
        <v>14</v>
      </c>
      <c r="C778" s="4"/>
      <c r="D778" s="5"/>
      <c r="E778" s="5"/>
      <c r="F778" s="5"/>
      <c r="G778" s="12"/>
      <c r="H778" s="9">
        <f>I778+J778+K778+L778</f>
        <v>0</v>
      </c>
      <c r="I778" s="9">
        <v>0</v>
      </c>
      <c r="J778" s="9">
        <v>0</v>
      </c>
      <c r="K778" s="9">
        <v>0</v>
      </c>
      <c r="L778" s="9">
        <v>0</v>
      </c>
      <c r="M778" s="9">
        <v>0</v>
      </c>
      <c r="N778" s="9">
        <v>0</v>
      </c>
      <c r="O778" s="268"/>
      <c r="P778" s="268"/>
    </row>
    <row r="779" spans="1:16" x14ac:dyDescent="0.25">
      <c r="A779" s="241"/>
      <c r="B779" s="117" t="s">
        <v>15</v>
      </c>
      <c r="C779" s="4"/>
      <c r="D779" s="5"/>
      <c r="E779" s="5"/>
      <c r="F779" s="5"/>
      <c r="G779" s="12"/>
      <c r="H779" s="9">
        <f>I779+J779+K779+L779</f>
        <v>0</v>
      </c>
      <c r="I779" s="9">
        <v>0</v>
      </c>
      <c r="J779" s="9">
        <v>0</v>
      </c>
      <c r="K779" s="9">
        <v>0</v>
      </c>
      <c r="L779" s="9">
        <v>0</v>
      </c>
      <c r="M779" s="9">
        <v>0</v>
      </c>
      <c r="N779" s="9">
        <v>0</v>
      </c>
      <c r="O779" s="268"/>
      <c r="P779" s="268"/>
    </row>
    <row r="780" spans="1:16" ht="27.75" customHeight="1" x14ac:dyDescent="0.25">
      <c r="A780" s="241"/>
      <c r="B780" s="117" t="s">
        <v>12</v>
      </c>
      <c r="C780" s="4"/>
      <c r="D780" s="5"/>
      <c r="E780" s="5"/>
      <c r="F780" s="5"/>
      <c r="G780" s="12"/>
      <c r="H780" s="9">
        <f>I780+J780+K780+L780</f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268"/>
      <c r="P780" s="268"/>
    </row>
    <row r="781" spans="1:16" s="53" customFormat="1" ht="30.75" customHeight="1" x14ac:dyDescent="0.25">
      <c r="A781" s="269" t="s">
        <v>344</v>
      </c>
      <c r="B781" s="148" t="s">
        <v>114</v>
      </c>
      <c r="C781" s="54"/>
      <c r="D781" s="55"/>
      <c r="E781" s="55"/>
      <c r="F781" s="55"/>
      <c r="G781" s="91"/>
      <c r="H781" s="87" t="s">
        <v>51</v>
      </c>
      <c r="I781" s="87" t="s">
        <v>51</v>
      </c>
      <c r="J781" s="87" t="s">
        <v>51</v>
      </c>
      <c r="K781" s="87" t="s">
        <v>51</v>
      </c>
      <c r="L781" s="87" t="s">
        <v>51</v>
      </c>
      <c r="M781" s="87" t="s">
        <v>51</v>
      </c>
      <c r="N781" s="87" t="s">
        <v>51</v>
      </c>
      <c r="O781" s="267" t="s">
        <v>399</v>
      </c>
      <c r="P781" s="267" t="s">
        <v>632</v>
      </c>
    </row>
    <row r="782" spans="1:16" s="53" customFormat="1" ht="26.4" x14ac:dyDescent="0.25">
      <c r="A782" s="269"/>
      <c r="B782" s="148" t="s">
        <v>89</v>
      </c>
      <c r="C782" s="54"/>
      <c r="D782" s="55"/>
      <c r="E782" s="55"/>
      <c r="F782" s="55"/>
      <c r="G782" s="91"/>
      <c r="H782" s="87" t="s">
        <v>51</v>
      </c>
      <c r="I782" s="56" t="s">
        <v>229</v>
      </c>
      <c r="J782" s="56" t="s">
        <v>229</v>
      </c>
      <c r="K782" s="56" t="s">
        <v>229</v>
      </c>
      <c r="L782" s="56" t="s">
        <v>229</v>
      </c>
      <c r="M782" s="87" t="s">
        <v>51</v>
      </c>
      <c r="N782" s="87" t="s">
        <v>51</v>
      </c>
      <c r="O782" s="267"/>
      <c r="P782" s="267"/>
    </row>
    <row r="783" spans="1:16" s="53" customFormat="1" ht="30.75" customHeight="1" x14ac:dyDescent="0.25">
      <c r="A783" s="269"/>
      <c r="B783" s="148" t="s">
        <v>74</v>
      </c>
      <c r="C783" s="54"/>
      <c r="D783" s="55"/>
      <c r="E783" s="55"/>
      <c r="F783" s="55"/>
      <c r="G783" s="91"/>
      <c r="H783" s="56">
        <f t="shared" ref="H783:N783" si="282">SUM(H784:H787)</f>
        <v>0</v>
      </c>
      <c r="I783" s="56">
        <f t="shared" si="282"/>
        <v>0</v>
      </c>
      <c r="J783" s="56">
        <f t="shared" si="282"/>
        <v>0</v>
      </c>
      <c r="K783" s="56">
        <f t="shared" si="282"/>
        <v>0</v>
      </c>
      <c r="L783" s="56">
        <f t="shared" si="282"/>
        <v>0</v>
      </c>
      <c r="M783" s="56">
        <f t="shared" si="282"/>
        <v>0</v>
      </c>
      <c r="N783" s="56">
        <f t="shared" si="282"/>
        <v>0</v>
      </c>
      <c r="O783" s="267"/>
      <c r="P783" s="267"/>
    </row>
    <row r="784" spans="1:16" s="53" customFormat="1" ht="44.25" customHeight="1" x14ac:dyDescent="0.25">
      <c r="A784" s="269"/>
      <c r="B784" s="148" t="s">
        <v>16</v>
      </c>
      <c r="C784" s="54"/>
      <c r="D784" s="54"/>
      <c r="E784" s="54"/>
      <c r="F784" s="54"/>
      <c r="G784" s="91"/>
      <c r="H784" s="348" t="s">
        <v>612</v>
      </c>
      <c r="I784" s="349"/>
      <c r="J784" s="349"/>
      <c r="K784" s="349"/>
      <c r="L784" s="349"/>
      <c r="M784" s="349"/>
      <c r="N784" s="350"/>
      <c r="O784" s="267"/>
      <c r="P784" s="267"/>
    </row>
    <row r="785" spans="1:18" s="53" customFormat="1" x14ac:dyDescent="0.25">
      <c r="A785" s="269"/>
      <c r="B785" s="148" t="s">
        <v>14</v>
      </c>
      <c r="C785" s="54"/>
      <c r="D785" s="55"/>
      <c r="E785" s="55"/>
      <c r="F785" s="55"/>
      <c r="G785" s="91"/>
      <c r="H785" s="56">
        <f>SUM(I785:L785)</f>
        <v>0</v>
      </c>
      <c r="I785" s="56">
        <v>0</v>
      </c>
      <c r="J785" s="56">
        <v>0</v>
      </c>
      <c r="K785" s="56">
        <v>0</v>
      </c>
      <c r="L785" s="56">
        <v>0</v>
      </c>
      <c r="M785" s="56">
        <v>0</v>
      </c>
      <c r="N785" s="56">
        <v>0</v>
      </c>
      <c r="O785" s="267"/>
      <c r="P785" s="267"/>
    </row>
    <row r="786" spans="1:18" s="53" customFormat="1" x14ac:dyDescent="0.25">
      <c r="A786" s="269"/>
      <c r="B786" s="148" t="s">
        <v>15</v>
      </c>
      <c r="C786" s="54"/>
      <c r="D786" s="55"/>
      <c r="E786" s="55"/>
      <c r="F786" s="55"/>
      <c r="G786" s="91"/>
      <c r="H786" s="56">
        <f>SUM(I786:L786)</f>
        <v>0</v>
      </c>
      <c r="I786" s="56">
        <v>0</v>
      </c>
      <c r="J786" s="56">
        <v>0</v>
      </c>
      <c r="K786" s="56">
        <v>0</v>
      </c>
      <c r="L786" s="56">
        <v>0</v>
      </c>
      <c r="M786" s="56">
        <v>0</v>
      </c>
      <c r="N786" s="56">
        <v>0</v>
      </c>
      <c r="O786" s="267"/>
      <c r="P786" s="267"/>
    </row>
    <row r="787" spans="1:18" s="53" customFormat="1" ht="15.75" customHeight="1" x14ac:dyDescent="0.25">
      <c r="A787" s="269"/>
      <c r="B787" s="148" t="s">
        <v>12</v>
      </c>
      <c r="C787" s="54"/>
      <c r="D787" s="55"/>
      <c r="E787" s="55"/>
      <c r="F787" s="55"/>
      <c r="G787" s="91"/>
      <c r="H787" s="56">
        <f>SUM(I787:L787)</f>
        <v>0</v>
      </c>
      <c r="I787" s="56">
        <v>0</v>
      </c>
      <c r="J787" s="56">
        <v>0</v>
      </c>
      <c r="K787" s="56">
        <v>0</v>
      </c>
      <c r="L787" s="56">
        <v>0</v>
      </c>
      <c r="M787" s="56">
        <v>0</v>
      </c>
      <c r="N787" s="56">
        <v>0</v>
      </c>
      <c r="O787" s="267"/>
      <c r="P787" s="267"/>
    </row>
    <row r="788" spans="1:18" s="53" customFormat="1" ht="31.5" customHeight="1" x14ac:dyDescent="0.25">
      <c r="A788" s="269" t="s">
        <v>545</v>
      </c>
      <c r="B788" s="148" t="s">
        <v>616</v>
      </c>
      <c r="C788" s="54"/>
      <c r="D788" s="55"/>
      <c r="E788" s="55"/>
      <c r="F788" s="55"/>
      <c r="G788" s="91"/>
      <c r="H788" s="87" t="s">
        <v>51</v>
      </c>
      <c r="I788" s="87" t="s">
        <v>51</v>
      </c>
      <c r="J788" s="87" t="s">
        <v>51</v>
      </c>
      <c r="K788" s="87" t="s">
        <v>51</v>
      </c>
      <c r="L788" s="87" t="s">
        <v>51</v>
      </c>
      <c r="M788" s="87" t="s">
        <v>51</v>
      </c>
      <c r="N788" s="87" t="s">
        <v>51</v>
      </c>
      <c r="O788" s="267" t="s">
        <v>546</v>
      </c>
      <c r="P788" s="245" t="s">
        <v>617</v>
      </c>
    </row>
    <row r="789" spans="1:18" s="53" customFormat="1" ht="26.4" x14ac:dyDescent="0.25">
      <c r="A789" s="269"/>
      <c r="B789" s="148" t="s">
        <v>86</v>
      </c>
      <c r="C789" s="54"/>
      <c r="D789" s="55"/>
      <c r="E789" s="55"/>
      <c r="F789" s="55"/>
      <c r="G789" s="91"/>
      <c r="H789" s="87" t="s">
        <v>51</v>
      </c>
      <c r="I789" s="56" t="s">
        <v>229</v>
      </c>
      <c r="J789" s="56" t="s">
        <v>229</v>
      </c>
      <c r="K789" s="56" t="s">
        <v>229</v>
      </c>
      <c r="L789" s="56" t="s">
        <v>229</v>
      </c>
      <c r="M789" s="87" t="s">
        <v>51</v>
      </c>
      <c r="N789" s="87" t="s">
        <v>51</v>
      </c>
      <c r="O789" s="267"/>
      <c r="P789" s="246"/>
    </row>
    <row r="790" spans="1:18" s="53" customFormat="1" ht="15.75" customHeight="1" x14ac:dyDescent="0.25">
      <c r="A790" s="269"/>
      <c r="B790" s="148" t="s">
        <v>74</v>
      </c>
      <c r="C790" s="54"/>
      <c r="D790" s="55"/>
      <c r="E790" s="55"/>
      <c r="F790" s="55"/>
      <c r="G790" s="91"/>
      <c r="H790" s="56">
        <f t="shared" ref="H790:N790" si="283">SUM(H791:H794)</f>
        <v>0</v>
      </c>
      <c r="I790" s="56">
        <f t="shared" si="283"/>
        <v>0</v>
      </c>
      <c r="J790" s="56">
        <f t="shared" si="283"/>
        <v>0</v>
      </c>
      <c r="K790" s="56">
        <f t="shared" si="283"/>
        <v>0</v>
      </c>
      <c r="L790" s="56">
        <f t="shared" si="283"/>
        <v>0</v>
      </c>
      <c r="M790" s="56">
        <f t="shared" si="283"/>
        <v>0</v>
      </c>
      <c r="N790" s="56">
        <f t="shared" si="283"/>
        <v>0</v>
      </c>
      <c r="O790" s="267"/>
      <c r="P790" s="246"/>
    </row>
    <row r="791" spans="1:18" s="53" customFormat="1" ht="46.5" customHeight="1" x14ac:dyDescent="0.25">
      <c r="A791" s="269"/>
      <c r="B791" s="148" t="s">
        <v>16</v>
      </c>
      <c r="C791" s="54"/>
      <c r="D791" s="55"/>
      <c r="E791" s="55"/>
      <c r="F791" s="55"/>
      <c r="G791" s="91"/>
      <c r="H791" s="348" t="s">
        <v>612</v>
      </c>
      <c r="I791" s="349"/>
      <c r="J791" s="349"/>
      <c r="K791" s="349"/>
      <c r="L791" s="349"/>
      <c r="M791" s="349"/>
      <c r="N791" s="350"/>
      <c r="O791" s="267"/>
      <c r="P791" s="246"/>
    </row>
    <row r="792" spans="1:18" s="53" customFormat="1" ht="15.75" customHeight="1" x14ac:dyDescent="0.25">
      <c r="A792" s="269"/>
      <c r="B792" s="148" t="s">
        <v>14</v>
      </c>
      <c r="C792" s="54"/>
      <c r="D792" s="55"/>
      <c r="E792" s="55"/>
      <c r="F792" s="55"/>
      <c r="G792" s="91"/>
      <c r="H792" s="56">
        <f>SUM(I792:L792)</f>
        <v>0</v>
      </c>
      <c r="I792" s="56">
        <v>0</v>
      </c>
      <c r="J792" s="56">
        <v>0</v>
      </c>
      <c r="K792" s="56">
        <v>0</v>
      </c>
      <c r="L792" s="56">
        <v>0</v>
      </c>
      <c r="M792" s="56">
        <v>0</v>
      </c>
      <c r="N792" s="56">
        <v>0</v>
      </c>
      <c r="O792" s="267"/>
      <c r="P792" s="246"/>
    </row>
    <row r="793" spans="1:18" s="53" customFormat="1" ht="15.75" customHeight="1" x14ac:dyDescent="0.25">
      <c r="A793" s="269"/>
      <c r="B793" s="148" t="s">
        <v>15</v>
      </c>
      <c r="C793" s="54"/>
      <c r="D793" s="55"/>
      <c r="E793" s="55"/>
      <c r="F793" s="55"/>
      <c r="G793" s="91"/>
      <c r="H793" s="56">
        <f>SUM(I793:L793)</f>
        <v>0</v>
      </c>
      <c r="I793" s="56">
        <v>0</v>
      </c>
      <c r="J793" s="56">
        <v>0</v>
      </c>
      <c r="K793" s="56">
        <v>0</v>
      </c>
      <c r="L793" s="56">
        <v>0</v>
      </c>
      <c r="M793" s="56">
        <v>0</v>
      </c>
      <c r="N793" s="56">
        <v>0</v>
      </c>
      <c r="O793" s="267"/>
      <c r="P793" s="246"/>
    </row>
    <row r="794" spans="1:18" s="53" customFormat="1" ht="15.75" customHeight="1" x14ac:dyDescent="0.25">
      <c r="A794" s="269"/>
      <c r="B794" s="148" t="s">
        <v>12</v>
      </c>
      <c r="C794" s="54"/>
      <c r="D794" s="55"/>
      <c r="E794" s="55"/>
      <c r="F794" s="55"/>
      <c r="G794" s="91"/>
      <c r="H794" s="56">
        <f>SUM(I794:L794)</f>
        <v>0</v>
      </c>
      <c r="I794" s="56">
        <v>0</v>
      </c>
      <c r="J794" s="56">
        <v>0</v>
      </c>
      <c r="K794" s="56">
        <v>0</v>
      </c>
      <c r="L794" s="56">
        <v>0</v>
      </c>
      <c r="M794" s="56">
        <v>0</v>
      </c>
      <c r="N794" s="56">
        <v>0</v>
      </c>
      <c r="O794" s="267"/>
      <c r="P794" s="247"/>
    </row>
    <row r="795" spans="1:18" x14ac:dyDescent="0.25">
      <c r="A795" s="235" t="s">
        <v>544</v>
      </c>
      <c r="B795" s="167" t="s">
        <v>226</v>
      </c>
      <c r="C795" s="54"/>
      <c r="D795" s="55"/>
      <c r="E795" s="55"/>
      <c r="F795" s="55"/>
      <c r="G795" s="91"/>
      <c r="H795" s="56">
        <v>521304</v>
      </c>
      <c r="I795" s="56">
        <v>131724</v>
      </c>
      <c r="J795" s="56">
        <v>195912</v>
      </c>
      <c r="K795" s="56">
        <v>65345</v>
      </c>
      <c r="L795" s="56">
        <v>128323</v>
      </c>
      <c r="M795" s="56">
        <v>0</v>
      </c>
      <c r="N795" s="56">
        <v>0</v>
      </c>
      <c r="O795" s="245" t="s">
        <v>437</v>
      </c>
      <c r="P795" s="255" t="s">
        <v>350</v>
      </c>
      <c r="Q795" s="36"/>
      <c r="R795" s="36"/>
    </row>
    <row r="796" spans="1:18" ht="26.4" x14ac:dyDescent="0.25">
      <c r="A796" s="237"/>
      <c r="B796" s="130" t="s">
        <v>88</v>
      </c>
      <c r="C796" s="54"/>
      <c r="D796" s="55"/>
      <c r="E796" s="55"/>
      <c r="F796" s="55"/>
      <c r="G796" s="91"/>
      <c r="H796" s="57">
        <f>H797/H795</f>
        <v>7.5151375473811816E-2</v>
      </c>
      <c r="I796" s="56" t="s">
        <v>229</v>
      </c>
      <c r="J796" s="56" t="s">
        <v>229</v>
      </c>
      <c r="K796" s="56" t="s">
        <v>229</v>
      </c>
      <c r="L796" s="56" t="s">
        <v>229</v>
      </c>
      <c r="M796" s="56">
        <v>0</v>
      </c>
      <c r="N796" s="56">
        <v>0</v>
      </c>
      <c r="O796" s="246"/>
      <c r="P796" s="256"/>
      <c r="Q796" s="36"/>
      <c r="R796" s="36"/>
    </row>
    <row r="797" spans="1:18" x14ac:dyDescent="0.25">
      <c r="A797" s="237"/>
      <c r="B797" s="130" t="s">
        <v>74</v>
      </c>
      <c r="C797" s="54"/>
      <c r="D797" s="55"/>
      <c r="E797" s="55"/>
      <c r="F797" s="55"/>
      <c r="G797" s="91"/>
      <c r="H797" s="56">
        <f t="shared" ref="H797:N797" si="284">SUM(H798:H801)</f>
        <v>39176.712639999998</v>
      </c>
      <c r="I797" s="56">
        <f t="shared" si="284"/>
        <v>15400</v>
      </c>
      <c r="J797" s="56">
        <f t="shared" si="284"/>
        <v>8453.1484899999996</v>
      </c>
      <c r="K797" s="56">
        <f t="shared" si="284"/>
        <v>6613.5683600000002</v>
      </c>
      <c r="L797" s="56">
        <f t="shared" si="284"/>
        <v>8709.9957900000009</v>
      </c>
      <c r="M797" s="56">
        <f t="shared" si="284"/>
        <v>0</v>
      </c>
      <c r="N797" s="56">
        <f t="shared" si="284"/>
        <v>0</v>
      </c>
      <c r="O797" s="246"/>
      <c r="P797" s="256"/>
      <c r="Q797" s="36"/>
      <c r="R797" s="36"/>
    </row>
    <row r="798" spans="1:18" x14ac:dyDescent="0.25">
      <c r="A798" s="237"/>
      <c r="B798" s="131" t="s">
        <v>16</v>
      </c>
      <c r="C798" s="54">
        <v>136</v>
      </c>
      <c r="D798" s="59" t="s">
        <v>233</v>
      </c>
      <c r="E798" s="59" t="s">
        <v>239</v>
      </c>
      <c r="F798" s="55" t="s">
        <v>430</v>
      </c>
      <c r="G798" s="91">
        <v>621</v>
      </c>
      <c r="H798" s="56">
        <f>H805</f>
        <v>39176.712639999998</v>
      </c>
      <c r="I798" s="56">
        <f t="shared" ref="I798:N798" si="285">I805</f>
        <v>15400</v>
      </c>
      <c r="J798" s="56">
        <f t="shared" si="285"/>
        <v>8453.1484899999996</v>
      </c>
      <c r="K798" s="56">
        <f t="shared" si="285"/>
        <v>6613.5683600000002</v>
      </c>
      <c r="L798" s="56">
        <f t="shared" si="285"/>
        <v>8709.9957900000009</v>
      </c>
      <c r="M798" s="56">
        <f t="shared" si="285"/>
        <v>0</v>
      </c>
      <c r="N798" s="56">
        <f t="shared" si="285"/>
        <v>0</v>
      </c>
      <c r="O798" s="246"/>
      <c r="P798" s="256"/>
      <c r="Q798" s="36"/>
      <c r="R798" s="36"/>
    </row>
    <row r="799" spans="1:18" x14ac:dyDescent="0.25">
      <c r="A799" s="237"/>
      <c r="B799" s="130" t="s">
        <v>14</v>
      </c>
      <c r="C799" s="54"/>
      <c r="D799" s="54"/>
      <c r="E799" s="54"/>
      <c r="F799" s="54"/>
      <c r="G799" s="91"/>
      <c r="H799" s="56">
        <f>H806</f>
        <v>0</v>
      </c>
      <c r="I799" s="56">
        <f t="shared" ref="I799:N799" si="286">I806</f>
        <v>0</v>
      </c>
      <c r="J799" s="56">
        <f t="shared" si="286"/>
        <v>0</v>
      </c>
      <c r="K799" s="56">
        <f t="shared" si="286"/>
        <v>0</v>
      </c>
      <c r="L799" s="56">
        <f t="shared" si="286"/>
        <v>0</v>
      </c>
      <c r="M799" s="56">
        <f t="shared" si="286"/>
        <v>0</v>
      </c>
      <c r="N799" s="56">
        <f t="shared" si="286"/>
        <v>0</v>
      </c>
      <c r="O799" s="246"/>
      <c r="P799" s="256"/>
      <c r="Q799" s="36"/>
      <c r="R799" s="36"/>
    </row>
    <row r="800" spans="1:18" x14ac:dyDescent="0.25">
      <c r="A800" s="237"/>
      <c r="B800" s="130" t="s">
        <v>15</v>
      </c>
      <c r="C800" s="54"/>
      <c r="D800" s="54"/>
      <c r="E800" s="54"/>
      <c r="F800" s="54"/>
      <c r="G800" s="91"/>
      <c r="H800" s="56">
        <f t="shared" ref="H800:N801" si="287">H807</f>
        <v>0</v>
      </c>
      <c r="I800" s="56">
        <f t="shared" si="287"/>
        <v>0</v>
      </c>
      <c r="J800" s="56">
        <f t="shared" si="287"/>
        <v>0</v>
      </c>
      <c r="K800" s="56">
        <f t="shared" si="287"/>
        <v>0</v>
      </c>
      <c r="L800" s="56">
        <f t="shared" si="287"/>
        <v>0</v>
      </c>
      <c r="M800" s="56">
        <f t="shared" si="287"/>
        <v>0</v>
      </c>
      <c r="N800" s="56">
        <f t="shared" si="287"/>
        <v>0</v>
      </c>
      <c r="O800" s="246"/>
      <c r="P800" s="256"/>
      <c r="Q800" s="36"/>
      <c r="R800" s="36"/>
    </row>
    <row r="801" spans="1:18" ht="105.75" customHeight="1" x14ac:dyDescent="0.25">
      <c r="A801" s="236"/>
      <c r="B801" s="130" t="s">
        <v>12</v>
      </c>
      <c r="C801" s="54"/>
      <c r="D801" s="54"/>
      <c r="E801" s="54"/>
      <c r="F801" s="54"/>
      <c r="G801" s="91"/>
      <c r="H801" s="56">
        <f t="shared" si="287"/>
        <v>0</v>
      </c>
      <c r="I801" s="56">
        <f t="shared" si="287"/>
        <v>0</v>
      </c>
      <c r="J801" s="56">
        <f t="shared" si="287"/>
        <v>0</v>
      </c>
      <c r="K801" s="56">
        <f t="shared" si="287"/>
        <v>0</v>
      </c>
      <c r="L801" s="56">
        <f t="shared" si="287"/>
        <v>0</v>
      </c>
      <c r="M801" s="56">
        <f t="shared" si="287"/>
        <v>0</v>
      </c>
      <c r="N801" s="56">
        <f t="shared" si="287"/>
        <v>0</v>
      </c>
      <c r="O801" s="247"/>
      <c r="P801" s="257"/>
      <c r="Q801" s="36"/>
      <c r="R801" s="36"/>
    </row>
    <row r="802" spans="1:18" x14ac:dyDescent="0.25">
      <c r="A802" s="235" t="s">
        <v>547</v>
      </c>
      <c r="B802" s="134" t="s">
        <v>226</v>
      </c>
      <c r="C802" s="54"/>
      <c r="D802" s="55"/>
      <c r="E802" s="55"/>
      <c r="F802" s="55"/>
      <c r="G802" s="91"/>
      <c r="H802" s="56">
        <v>521304</v>
      </c>
      <c r="I802" s="56">
        <v>131724</v>
      </c>
      <c r="J802" s="56">
        <v>195912</v>
      </c>
      <c r="K802" s="56">
        <v>65345</v>
      </c>
      <c r="L802" s="56">
        <v>128323</v>
      </c>
      <c r="M802" s="56">
        <v>0</v>
      </c>
      <c r="N802" s="56">
        <v>0</v>
      </c>
      <c r="O802" s="245" t="s">
        <v>161</v>
      </c>
      <c r="P802" s="245" t="s">
        <v>453</v>
      </c>
    </row>
    <row r="803" spans="1:18" ht="26.4" x14ac:dyDescent="0.25">
      <c r="A803" s="237"/>
      <c r="B803" s="130" t="s">
        <v>88</v>
      </c>
      <c r="C803" s="54"/>
      <c r="D803" s="55"/>
      <c r="E803" s="55"/>
      <c r="F803" s="55"/>
      <c r="G803" s="91"/>
      <c r="H803" s="57">
        <f>H804/H802</f>
        <v>7.5151375473811816E-2</v>
      </c>
      <c r="I803" s="56" t="s">
        <v>229</v>
      </c>
      <c r="J803" s="56" t="s">
        <v>229</v>
      </c>
      <c r="K803" s="56" t="s">
        <v>229</v>
      </c>
      <c r="L803" s="56" t="s">
        <v>229</v>
      </c>
      <c r="M803" s="56">
        <v>0</v>
      </c>
      <c r="N803" s="56">
        <v>0</v>
      </c>
      <c r="O803" s="246"/>
      <c r="P803" s="309"/>
    </row>
    <row r="804" spans="1:18" x14ac:dyDescent="0.25">
      <c r="A804" s="237"/>
      <c r="B804" s="130" t="s">
        <v>74</v>
      </c>
      <c r="C804" s="54"/>
      <c r="D804" s="59"/>
      <c r="E804" s="59"/>
      <c r="F804" s="55"/>
      <c r="G804" s="91"/>
      <c r="H804" s="56">
        <f t="shared" ref="H804:N804" si="288">H805+H806+H807+H808</f>
        <v>39176.712639999998</v>
      </c>
      <c r="I804" s="56">
        <f t="shared" si="288"/>
        <v>15400</v>
      </c>
      <c r="J804" s="56">
        <f t="shared" si="288"/>
        <v>8453.1484899999996</v>
      </c>
      <c r="K804" s="56">
        <f t="shared" si="288"/>
        <v>6613.5683600000002</v>
      </c>
      <c r="L804" s="56">
        <f t="shared" si="288"/>
        <v>8709.9957900000009</v>
      </c>
      <c r="M804" s="56">
        <f t="shared" si="288"/>
        <v>0</v>
      </c>
      <c r="N804" s="56">
        <f t="shared" si="288"/>
        <v>0</v>
      </c>
      <c r="O804" s="246"/>
      <c r="P804" s="309"/>
    </row>
    <row r="805" spans="1:18" x14ac:dyDescent="0.25">
      <c r="A805" s="237"/>
      <c r="B805" s="131" t="s">
        <v>16</v>
      </c>
      <c r="C805" s="54">
        <v>136</v>
      </c>
      <c r="D805" s="59" t="s">
        <v>233</v>
      </c>
      <c r="E805" s="59" t="s">
        <v>239</v>
      </c>
      <c r="F805" s="55" t="s">
        <v>430</v>
      </c>
      <c r="G805" s="91">
        <v>621</v>
      </c>
      <c r="H805" s="56">
        <f>I805+J805+K805+L805</f>
        <v>39176.712639999998</v>
      </c>
      <c r="I805" s="56">
        <v>15400</v>
      </c>
      <c r="J805" s="56">
        <v>8453.1484899999996</v>
      </c>
      <c r="K805" s="56">
        <v>6613.5683600000002</v>
      </c>
      <c r="L805" s="56">
        <v>8709.9957900000009</v>
      </c>
      <c r="M805" s="56">
        <v>0</v>
      </c>
      <c r="N805" s="56">
        <v>0</v>
      </c>
      <c r="O805" s="246"/>
      <c r="P805" s="309"/>
    </row>
    <row r="806" spans="1:18" x14ac:dyDescent="0.25">
      <c r="A806" s="237"/>
      <c r="B806" s="130" t="s">
        <v>14</v>
      </c>
      <c r="C806" s="54"/>
      <c r="D806" s="55"/>
      <c r="E806" s="55"/>
      <c r="F806" s="55"/>
      <c r="G806" s="91"/>
      <c r="H806" s="57">
        <f>I806+J806+K806+L806</f>
        <v>0</v>
      </c>
      <c r="I806" s="57">
        <v>0</v>
      </c>
      <c r="J806" s="57">
        <v>0</v>
      </c>
      <c r="K806" s="57">
        <v>0</v>
      </c>
      <c r="L806" s="57">
        <v>0</v>
      </c>
      <c r="M806" s="57">
        <v>0</v>
      </c>
      <c r="N806" s="57">
        <v>0</v>
      </c>
      <c r="O806" s="246"/>
      <c r="P806" s="309"/>
    </row>
    <row r="807" spans="1:18" x14ac:dyDescent="0.25">
      <c r="A807" s="237"/>
      <c r="B807" s="130" t="s">
        <v>15</v>
      </c>
      <c r="C807" s="54"/>
      <c r="D807" s="55"/>
      <c r="E807" s="55"/>
      <c r="F807" s="55"/>
      <c r="G807" s="91"/>
      <c r="H807" s="57">
        <f>I807+J807+K807+L807</f>
        <v>0</v>
      </c>
      <c r="I807" s="57">
        <v>0</v>
      </c>
      <c r="J807" s="57">
        <v>0</v>
      </c>
      <c r="K807" s="57">
        <v>0</v>
      </c>
      <c r="L807" s="57">
        <v>0</v>
      </c>
      <c r="M807" s="57">
        <v>0</v>
      </c>
      <c r="N807" s="57">
        <v>0</v>
      </c>
      <c r="O807" s="246"/>
      <c r="P807" s="309"/>
    </row>
    <row r="808" spans="1:18" ht="134.25" customHeight="1" x14ac:dyDescent="0.25">
      <c r="A808" s="236"/>
      <c r="B808" s="130" t="s">
        <v>12</v>
      </c>
      <c r="C808" s="54"/>
      <c r="D808" s="55"/>
      <c r="E808" s="55"/>
      <c r="F808" s="55"/>
      <c r="G808" s="91"/>
      <c r="H808" s="57">
        <f>I808+J808+K808+L808</f>
        <v>0</v>
      </c>
      <c r="I808" s="57">
        <v>0</v>
      </c>
      <c r="J808" s="57">
        <v>0</v>
      </c>
      <c r="K808" s="57">
        <v>0</v>
      </c>
      <c r="L808" s="57">
        <v>0</v>
      </c>
      <c r="M808" s="57">
        <v>0</v>
      </c>
      <c r="N808" s="57">
        <v>0</v>
      </c>
      <c r="O808" s="247"/>
      <c r="P808" s="310"/>
    </row>
    <row r="809" spans="1:18" ht="12.75" customHeight="1" x14ac:dyDescent="0.25">
      <c r="A809" s="286" t="s">
        <v>22</v>
      </c>
      <c r="B809" s="93" t="s">
        <v>242</v>
      </c>
      <c r="C809" s="94"/>
      <c r="D809" s="95"/>
      <c r="E809" s="95"/>
      <c r="F809" s="95"/>
      <c r="G809" s="212"/>
      <c r="H809" s="96">
        <f t="shared" ref="H809:N809" si="289">H810+H811+H812+H813</f>
        <v>70024.600000000006</v>
      </c>
      <c r="I809" s="96">
        <f t="shared" si="289"/>
        <v>15400</v>
      </c>
      <c r="J809" s="96">
        <f t="shared" si="289"/>
        <v>25314</v>
      </c>
      <c r="K809" s="96">
        <f t="shared" si="289"/>
        <v>12710</v>
      </c>
      <c r="L809" s="96">
        <f t="shared" si="289"/>
        <v>16600.600000000002</v>
      </c>
      <c r="M809" s="96">
        <f t="shared" si="289"/>
        <v>66853.600000000006</v>
      </c>
      <c r="N809" s="96">
        <f t="shared" si="289"/>
        <v>68443.899999999994</v>
      </c>
      <c r="O809" s="242"/>
      <c r="P809" s="311"/>
    </row>
    <row r="810" spans="1:18" ht="12.75" customHeight="1" x14ac:dyDescent="0.25">
      <c r="A810" s="287"/>
      <c r="B810" s="93" t="s">
        <v>7</v>
      </c>
      <c r="C810" s="94"/>
      <c r="D810" s="95"/>
      <c r="E810" s="95"/>
      <c r="F810" s="95"/>
      <c r="G810" s="212"/>
      <c r="H810" s="96">
        <f>H770+H798</f>
        <v>70024.600000000006</v>
      </c>
      <c r="I810" s="96">
        <f t="shared" ref="I810:N810" si="290">I770+I798</f>
        <v>15400</v>
      </c>
      <c r="J810" s="96">
        <f t="shared" si="290"/>
        <v>25314</v>
      </c>
      <c r="K810" s="96">
        <f t="shared" si="290"/>
        <v>12710</v>
      </c>
      <c r="L810" s="96">
        <f t="shared" si="290"/>
        <v>16600.600000000002</v>
      </c>
      <c r="M810" s="96">
        <f t="shared" si="290"/>
        <v>66853.600000000006</v>
      </c>
      <c r="N810" s="96">
        <f t="shared" si="290"/>
        <v>68443.899999999994</v>
      </c>
      <c r="O810" s="243"/>
      <c r="P810" s="295"/>
    </row>
    <row r="811" spans="1:18" ht="12.75" customHeight="1" x14ac:dyDescent="0.25">
      <c r="A811" s="287"/>
      <c r="B811" s="93" t="s">
        <v>14</v>
      </c>
      <c r="C811" s="94"/>
      <c r="D811" s="95"/>
      <c r="E811" s="95"/>
      <c r="F811" s="95"/>
      <c r="G811" s="212"/>
      <c r="H811" s="96">
        <f t="shared" ref="H811:N813" si="291">H771+H785+H799</f>
        <v>0</v>
      </c>
      <c r="I811" s="96">
        <f t="shared" si="291"/>
        <v>0</v>
      </c>
      <c r="J811" s="96">
        <f t="shared" si="291"/>
        <v>0</v>
      </c>
      <c r="K811" s="96">
        <f t="shared" si="291"/>
        <v>0</v>
      </c>
      <c r="L811" s="96">
        <f t="shared" si="291"/>
        <v>0</v>
      </c>
      <c r="M811" s="96">
        <f t="shared" si="291"/>
        <v>0</v>
      </c>
      <c r="N811" s="96">
        <f t="shared" si="291"/>
        <v>0</v>
      </c>
      <c r="O811" s="243"/>
      <c r="P811" s="295"/>
    </row>
    <row r="812" spans="1:18" ht="12.75" customHeight="1" x14ac:dyDescent="0.25">
      <c r="A812" s="287"/>
      <c r="B812" s="93" t="s">
        <v>15</v>
      </c>
      <c r="C812" s="94"/>
      <c r="D812" s="95"/>
      <c r="E812" s="95"/>
      <c r="F812" s="95"/>
      <c r="G812" s="212"/>
      <c r="H812" s="96">
        <f t="shared" si="291"/>
        <v>0</v>
      </c>
      <c r="I812" s="96">
        <f t="shared" si="291"/>
        <v>0</v>
      </c>
      <c r="J812" s="96">
        <f t="shared" si="291"/>
        <v>0</v>
      </c>
      <c r="K812" s="96">
        <f t="shared" si="291"/>
        <v>0</v>
      </c>
      <c r="L812" s="96">
        <f t="shared" si="291"/>
        <v>0</v>
      </c>
      <c r="M812" s="96">
        <f t="shared" si="291"/>
        <v>0</v>
      </c>
      <c r="N812" s="96">
        <f t="shared" si="291"/>
        <v>0</v>
      </c>
      <c r="O812" s="243"/>
      <c r="P812" s="295"/>
    </row>
    <row r="813" spans="1:18" x14ac:dyDescent="0.25">
      <c r="A813" s="288"/>
      <c r="B813" s="93" t="s">
        <v>10</v>
      </c>
      <c r="C813" s="94"/>
      <c r="D813" s="95"/>
      <c r="E813" s="95"/>
      <c r="F813" s="95"/>
      <c r="G813" s="212"/>
      <c r="H813" s="96">
        <f t="shared" si="291"/>
        <v>0</v>
      </c>
      <c r="I813" s="96">
        <f t="shared" si="291"/>
        <v>0</v>
      </c>
      <c r="J813" s="96">
        <f t="shared" si="291"/>
        <v>0</v>
      </c>
      <c r="K813" s="96">
        <f t="shared" si="291"/>
        <v>0</v>
      </c>
      <c r="L813" s="96">
        <f t="shared" si="291"/>
        <v>0</v>
      </c>
      <c r="M813" s="96">
        <f t="shared" si="291"/>
        <v>0</v>
      </c>
      <c r="N813" s="96">
        <f t="shared" si="291"/>
        <v>0</v>
      </c>
      <c r="O813" s="244"/>
      <c r="P813" s="296"/>
    </row>
    <row r="814" spans="1:18" ht="12.75" customHeight="1" x14ac:dyDescent="0.25">
      <c r="A814" s="258" t="s">
        <v>133</v>
      </c>
      <c r="B814" s="260"/>
      <c r="C814" s="260"/>
      <c r="D814" s="260"/>
      <c r="E814" s="260"/>
      <c r="F814" s="260"/>
      <c r="G814" s="260"/>
      <c r="H814" s="260"/>
      <c r="I814" s="260"/>
      <c r="J814" s="260"/>
      <c r="K814" s="260"/>
      <c r="L814" s="260"/>
      <c r="M814" s="260"/>
      <c r="N814" s="260"/>
      <c r="O814" s="260"/>
      <c r="P814" s="261"/>
    </row>
    <row r="815" spans="1:18" x14ac:dyDescent="0.25">
      <c r="A815" s="274" t="s">
        <v>548</v>
      </c>
      <c r="B815" s="92" t="s">
        <v>107</v>
      </c>
      <c r="C815" s="4"/>
      <c r="D815" s="5"/>
      <c r="E815" s="5"/>
      <c r="F815" s="5"/>
      <c r="G815" s="12"/>
      <c r="H815" s="9">
        <f>H823+H830</f>
        <v>785</v>
      </c>
      <c r="I815" s="56" t="s">
        <v>51</v>
      </c>
      <c r="J815" s="56" t="s">
        <v>51</v>
      </c>
      <c r="K815" s="56" t="s">
        <v>51</v>
      </c>
      <c r="L815" s="56" t="s">
        <v>51</v>
      </c>
      <c r="M815" s="9">
        <f>M823+M830</f>
        <v>753</v>
      </c>
      <c r="N815" s="9">
        <f>N823+N830</f>
        <v>753</v>
      </c>
      <c r="O815" s="268" t="s">
        <v>367</v>
      </c>
      <c r="P815" s="308" t="s">
        <v>169</v>
      </c>
    </row>
    <row r="816" spans="1:18" ht="26.4" x14ac:dyDescent="0.25">
      <c r="A816" s="307"/>
      <c r="B816" s="71" t="s">
        <v>86</v>
      </c>
      <c r="C816" s="25"/>
      <c r="D816" s="5"/>
      <c r="E816" s="5"/>
      <c r="F816" s="5"/>
      <c r="G816" s="12"/>
      <c r="H816" s="9">
        <f>H817/H815</f>
        <v>89.171974522292999</v>
      </c>
      <c r="I816" s="56" t="s">
        <v>229</v>
      </c>
      <c r="J816" s="56" t="s">
        <v>229</v>
      </c>
      <c r="K816" s="56" t="s">
        <v>229</v>
      </c>
      <c r="L816" s="56" t="s">
        <v>229</v>
      </c>
      <c r="M816" s="9">
        <f>M817/M815</f>
        <v>82.337317397078351</v>
      </c>
      <c r="N816" s="9">
        <f>N817/N815</f>
        <v>82.337317397078351</v>
      </c>
      <c r="O816" s="268"/>
      <c r="P816" s="308"/>
    </row>
    <row r="817" spans="1:16" x14ac:dyDescent="0.25">
      <c r="A817" s="274"/>
      <c r="B817" s="71" t="s">
        <v>74</v>
      </c>
      <c r="C817" s="4"/>
      <c r="D817" s="5"/>
      <c r="E817" s="5"/>
      <c r="F817" s="5"/>
      <c r="G817" s="12"/>
      <c r="H817" s="9">
        <f>I817+J817+K817+L817</f>
        <v>70000</v>
      </c>
      <c r="I817" s="9">
        <f>SUM(I818:I822)</f>
        <v>12580.516229999999</v>
      </c>
      <c r="J817" s="9">
        <f t="shared" ref="J817:N817" si="292">SUM(J818:J822)</f>
        <v>4195.6534199999996</v>
      </c>
      <c r="K817" s="9">
        <f t="shared" si="292"/>
        <v>45223.830349999997</v>
      </c>
      <c r="L817" s="9">
        <f t="shared" si="292"/>
        <v>8000</v>
      </c>
      <c r="M817" s="9">
        <f t="shared" si="292"/>
        <v>62000</v>
      </c>
      <c r="N817" s="9">
        <f t="shared" si="292"/>
        <v>62000</v>
      </c>
      <c r="O817" s="268"/>
      <c r="P817" s="308"/>
    </row>
    <row r="818" spans="1:16" x14ac:dyDescent="0.25">
      <c r="A818" s="274"/>
      <c r="B818" s="238" t="s">
        <v>16</v>
      </c>
      <c r="C818" s="4">
        <f>C826</f>
        <v>136</v>
      </c>
      <c r="D818" s="4" t="str">
        <f t="shared" ref="D818:N818" si="293">D826</f>
        <v>10</v>
      </c>
      <c r="E818" s="4" t="str">
        <f t="shared" si="293"/>
        <v>03</v>
      </c>
      <c r="F818" s="5" t="str">
        <f>F826</f>
        <v>0720203490</v>
      </c>
      <c r="G818" s="12">
        <f t="shared" si="293"/>
        <v>321</v>
      </c>
      <c r="H818" s="9">
        <f>I818+J818+K818+L818</f>
        <v>62000</v>
      </c>
      <c r="I818" s="9">
        <f t="shared" si="293"/>
        <v>12580.516229999999</v>
      </c>
      <c r="J818" s="9">
        <f t="shared" si="293"/>
        <v>4195.6534199999996</v>
      </c>
      <c r="K818" s="9">
        <f>K826</f>
        <v>45223.830349999997</v>
      </c>
      <c r="L818" s="9">
        <f t="shared" si="293"/>
        <v>0</v>
      </c>
      <c r="M818" s="9">
        <f t="shared" si="293"/>
        <v>62000</v>
      </c>
      <c r="N818" s="9">
        <f t="shared" si="293"/>
        <v>62000</v>
      </c>
      <c r="O818" s="268"/>
      <c r="P818" s="308"/>
    </row>
    <row r="819" spans="1:16" x14ac:dyDescent="0.25">
      <c r="A819" s="274"/>
      <c r="B819" s="240"/>
      <c r="C819" s="4">
        <f t="shared" ref="C819:H819" si="294">C833</f>
        <v>136</v>
      </c>
      <c r="D819" s="4" t="str">
        <f t="shared" si="294"/>
        <v>07</v>
      </c>
      <c r="E819" s="4" t="str">
        <f t="shared" si="294"/>
        <v>09</v>
      </c>
      <c r="F819" s="4" t="str">
        <f t="shared" si="294"/>
        <v>0720203490</v>
      </c>
      <c r="G819" s="12">
        <f t="shared" si="294"/>
        <v>244</v>
      </c>
      <c r="H819" s="9">
        <f t="shared" si="294"/>
        <v>8000</v>
      </c>
      <c r="I819" s="9">
        <f t="shared" ref="I819:N819" si="295">I833</f>
        <v>0</v>
      </c>
      <c r="J819" s="9">
        <f t="shared" si="295"/>
        <v>0</v>
      </c>
      <c r="K819" s="9">
        <f t="shared" si="295"/>
        <v>0</v>
      </c>
      <c r="L819" s="9">
        <f t="shared" si="295"/>
        <v>8000</v>
      </c>
      <c r="M819" s="9">
        <f t="shared" si="295"/>
        <v>0</v>
      </c>
      <c r="N819" s="9">
        <f t="shared" si="295"/>
        <v>0</v>
      </c>
      <c r="O819" s="268"/>
      <c r="P819" s="308"/>
    </row>
    <row r="820" spans="1:16" x14ac:dyDescent="0.25">
      <c r="A820" s="274"/>
      <c r="B820" s="71" t="s">
        <v>14</v>
      </c>
      <c r="C820" s="4"/>
      <c r="D820" s="5"/>
      <c r="E820" s="5"/>
      <c r="F820" s="5"/>
      <c r="G820" s="12"/>
      <c r="H820" s="9">
        <f>I820+J820+K820+L820</f>
        <v>0</v>
      </c>
      <c r="I820" s="9">
        <f t="shared" ref="I820:N822" si="296">I827</f>
        <v>0</v>
      </c>
      <c r="J820" s="9">
        <f t="shared" si="296"/>
        <v>0</v>
      </c>
      <c r="K820" s="9">
        <f t="shared" si="296"/>
        <v>0</v>
      </c>
      <c r="L820" s="9">
        <f t="shared" si="296"/>
        <v>0</v>
      </c>
      <c r="M820" s="9">
        <f t="shared" si="296"/>
        <v>0</v>
      </c>
      <c r="N820" s="9">
        <f t="shared" si="296"/>
        <v>0</v>
      </c>
      <c r="O820" s="268"/>
      <c r="P820" s="308"/>
    </row>
    <row r="821" spans="1:16" x14ac:dyDescent="0.25">
      <c r="A821" s="274"/>
      <c r="B821" s="71" t="s">
        <v>15</v>
      </c>
      <c r="C821" s="4"/>
      <c r="D821" s="5"/>
      <c r="E821" s="5"/>
      <c r="F821" s="5"/>
      <c r="G821" s="12"/>
      <c r="H821" s="9">
        <f>I821+J821+K821+L821</f>
        <v>0</v>
      </c>
      <c r="I821" s="9">
        <f t="shared" si="296"/>
        <v>0</v>
      </c>
      <c r="J821" s="9">
        <f t="shared" si="296"/>
        <v>0</v>
      </c>
      <c r="K821" s="9">
        <f t="shared" si="296"/>
        <v>0</v>
      </c>
      <c r="L821" s="9">
        <f t="shared" si="296"/>
        <v>0</v>
      </c>
      <c r="M821" s="9">
        <f t="shared" si="296"/>
        <v>0</v>
      </c>
      <c r="N821" s="9">
        <f t="shared" si="296"/>
        <v>0</v>
      </c>
      <c r="O821" s="268"/>
      <c r="P821" s="308"/>
    </row>
    <row r="822" spans="1:16" x14ac:dyDescent="0.25">
      <c r="A822" s="274"/>
      <c r="B822" s="71" t="s">
        <v>12</v>
      </c>
      <c r="C822" s="4"/>
      <c r="D822" s="5"/>
      <c r="E822" s="5"/>
      <c r="F822" s="5"/>
      <c r="G822" s="12"/>
      <c r="H822" s="9">
        <f>I822+J822+K822+L822</f>
        <v>0</v>
      </c>
      <c r="I822" s="9">
        <f t="shared" si="296"/>
        <v>0</v>
      </c>
      <c r="J822" s="9">
        <f t="shared" si="296"/>
        <v>0</v>
      </c>
      <c r="K822" s="9">
        <f t="shared" si="296"/>
        <v>0</v>
      </c>
      <c r="L822" s="9">
        <f t="shared" si="296"/>
        <v>0</v>
      </c>
      <c r="M822" s="9">
        <f t="shared" si="296"/>
        <v>0</v>
      </c>
      <c r="N822" s="9">
        <f t="shared" si="296"/>
        <v>0</v>
      </c>
      <c r="O822" s="268"/>
      <c r="P822" s="308"/>
    </row>
    <row r="823" spans="1:16" x14ac:dyDescent="0.25">
      <c r="A823" s="241" t="s">
        <v>549</v>
      </c>
      <c r="B823" s="71" t="s">
        <v>107</v>
      </c>
      <c r="C823" s="4"/>
      <c r="D823" s="5"/>
      <c r="E823" s="5"/>
      <c r="F823" s="5"/>
      <c r="G823" s="12"/>
      <c r="H823" s="9">
        <v>753</v>
      </c>
      <c r="I823" s="9">
        <v>199</v>
      </c>
      <c r="J823" s="9">
        <v>166</v>
      </c>
      <c r="K823" s="9">
        <v>239</v>
      </c>
      <c r="L823" s="9">
        <v>149</v>
      </c>
      <c r="M823" s="9">
        <v>753</v>
      </c>
      <c r="N823" s="9">
        <v>753</v>
      </c>
      <c r="O823" s="268" t="s">
        <v>217</v>
      </c>
      <c r="P823" s="308" t="s">
        <v>184</v>
      </c>
    </row>
    <row r="824" spans="1:16" ht="26.4" x14ac:dyDescent="0.25">
      <c r="A824" s="241"/>
      <c r="B824" s="71" t="s">
        <v>86</v>
      </c>
      <c r="C824" s="4"/>
      <c r="D824" s="5"/>
      <c r="E824" s="5"/>
      <c r="F824" s="5"/>
      <c r="G824" s="12"/>
      <c r="H824" s="9">
        <f t="shared" ref="H824:N824" si="297">ROUND(H825/H823,1)</f>
        <v>82.3</v>
      </c>
      <c r="I824" s="56" t="s">
        <v>229</v>
      </c>
      <c r="J824" s="56" t="s">
        <v>229</v>
      </c>
      <c r="K824" s="56" t="s">
        <v>229</v>
      </c>
      <c r="L824" s="56" t="s">
        <v>229</v>
      </c>
      <c r="M824" s="9">
        <f t="shared" si="297"/>
        <v>82.3</v>
      </c>
      <c r="N824" s="9">
        <f t="shared" si="297"/>
        <v>82.3</v>
      </c>
      <c r="O824" s="268"/>
      <c r="P824" s="308"/>
    </row>
    <row r="825" spans="1:16" x14ac:dyDescent="0.25">
      <c r="A825" s="241"/>
      <c r="B825" s="71" t="s">
        <v>74</v>
      </c>
      <c r="C825" s="4"/>
      <c r="D825" s="5"/>
      <c r="E825" s="5"/>
      <c r="F825" s="5"/>
      <c r="G825" s="12"/>
      <c r="H825" s="9">
        <f t="shared" ref="H825:N825" si="298">SUM(H826:H829)</f>
        <v>62000</v>
      </c>
      <c r="I825" s="9">
        <f t="shared" si="298"/>
        <v>12580.516229999999</v>
      </c>
      <c r="J825" s="9">
        <f t="shared" si="298"/>
        <v>4195.6534199999996</v>
      </c>
      <c r="K825" s="9">
        <f t="shared" si="298"/>
        <v>45223.830349999997</v>
      </c>
      <c r="L825" s="9">
        <f t="shared" si="298"/>
        <v>0</v>
      </c>
      <c r="M825" s="9">
        <f t="shared" si="298"/>
        <v>62000</v>
      </c>
      <c r="N825" s="9">
        <f t="shared" si="298"/>
        <v>62000</v>
      </c>
      <c r="O825" s="268"/>
      <c r="P825" s="308"/>
    </row>
    <row r="826" spans="1:16" x14ac:dyDescent="0.25">
      <c r="A826" s="241"/>
      <c r="B826" s="71" t="s">
        <v>16</v>
      </c>
      <c r="C826" s="4">
        <v>136</v>
      </c>
      <c r="D826" s="5" t="s">
        <v>237</v>
      </c>
      <c r="E826" s="6" t="s">
        <v>238</v>
      </c>
      <c r="F826" s="5" t="s">
        <v>300</v>
      </c>
      <c r="G826" s="12">
        <v>321</v>
      </c>
      <c r="H826" s="9">
        <f>I826+J826+K826+L826</f>
        <v>62000</v>
      </c>
      <c r="I826" s="9">
        <v>12580.516229999999</v>
      </c>
      <c r="J826" s="9">
        <v>4195.6534199999996</v>
      </c>
      <c r="K826" s="9">
        <v>45223.830349999997</v>
      </c>
      <c r="L826" s="9">
        <v>0</v>
      </c>
      <c r="M826" s="9">
        <v>62000</v>
      </c>
      <c r="N826" s="9">
        <v>62000</v>
      </c>
      <c r="O826" s="268"/>
      <c r="P826" s="308"/>
    </row>
    <row r="827" spans="1:16" x14ac:dyDescent="0.25">
      <c r="A827" s="241"/>
      <c r="B827" s="71" t="s">
        <v>14</v>
      </c>
      <c r="C827" s="4"/>
      <c r="D827" s="5"/>
      <c r="E827" s="5"/>
      <c r="F827" s="5"/>
      <c r="G827" s="12"/>
      <c r="H827" s="1">
        <f>I827+J827+K827+L827</f>
        <v>0</v>
      </c>
      <c r="I827" s="1">
        <v>0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268"/>
      <c r="P827" s="308"/>
    </row>
    <row r="828" spans="1:16" x14ac:dyDescent="0.25">
      <c r="A828" s="241"/>
      <c r="B828" s="71" t="s">
        <v>15</v>
      </c>
      <c r="C828" s="4"/>
      <c r="D828" s="5"/>
      <c r="E828" s="5"/>
      <c r="F828" s="5"/>
      <c r="G828" s="12"/>
      <c r="H828" s="1">
        <f>I828+J828+K828+L828</f>
        <v>0</v>
      </c>
      <c r="I828" s="1">
        <v>0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268"/>
      <c r="P828" s="308"/>
    </row>
    <row r="829" spans="1:16" ht="101.25" customHeight="1" x14ac:dyDescent="0.25">
      <c r="A829" s="241"/>
      <c r="B829" s="71" t="s">
        <v>12</v>
      </c>
      <c r="C829" s="4"/>
      <c r="D829" s="5"/>
      <c r="E829" s="5"/>
      <c r="F829" s="5"/>
      <c r="G829" s="12"/>
      <c r="H829" s="1">
        <f>I829+J829+K829+L829</f>
        <v>0</v>
      </c>
      <c r="I829" s="1">
        <v>0</v>
      </c>
      <c r="J829" s="1">
        <v>0</v>
      </c>
      <c r="K829" s="1">
        <v>0</v>
      </c>
      <c r="L829" s="1">
        <v>0</v>
      </c>
      <c r="M829" s="1">
        <v>0</v>
      </c>
      <c r="N829" s="1">
        <v>0</v>
      </c>
      <c r="O829" s="268"/>
      <c r="P829" s="308"/>
    </row>
    <row r="830" spans="1:16" x14ac:dyDescent="0.25">
      <c r="A830" s="238" t="s">
        <v>657</v>
      </c>
      <c r="B830" s="188" t="s">
        <v>107</v>
      </c>
      <c r="C830" s="4"/>
      <c r="D830" s="5"/>
      <c r="E830" s="5"/>
      <c r="F830" s="5"/>
      <c r="G830" s="12"/>
      <c r="H830" s="11">
        <v>32</v>
      </c>
      <c r="I830" s="56" t="s">
        <v>51</v>
      </c>
      <c r="J830" s="56" t="s">
        <v>51</v>
      </c>
      <c r="K830" s="56" t="s">
        <v>51</v>
      </c>
      <c r="L830" s="56" t="s">
        <v>51</v>
      </c>
      <c r="M830" s="11">
        <v>0</v>
      </c>
      <c r="N830" s="11">
        <v>0</v>
      </c>
      <c r="O830" s="242" t="s">
        <v>655</v>
      </c>
      <c r="P830" s="242" t="s">
        <v>656</v>
      </c>
    </row>
    <row r="831" spans="1:16" ht="26.4" x14ac:dyDescent="0.25">
      <c r="A831" s="239"/>
      <c r="B831" s="190" t="s">
        <v>86</v>
      </c>
      <c r="C831" s="4"/>
      <c r="D831" s="5"/>
      <c r="E831" s="5"/>
      <c r="F831" s="5"/>
      <c r="G831" s="12"/>
      <c r="H831" s="9">
        <f>H832/H830</f>
        <v>250</v>
      </c>
      <c r="I831" s="9" t="s">
        <v>229</v>
      </c>
      <c r="J831" s="9" t="s">
        <v>229</v>
      </c>
      <c r="K831" s="9" t="s">
        <v>229</v>
      </c>
      <c r="L831" s="9" t="s">
        <v>229</v>
      </c>
      <c r="M831" s="9">
        <v>0</v>
      </c>
      <c r="N831" s="9">
        <v>0</v>
      </c>
      <c r="O831" s="243"/>
      <c r="P831" s="243"/>
    </row>
    <row r="832" spans="1:16" x14ac:dyDescent="0.25">
      <c r="A832" s="239"/>
      <c r="B832" s="190" t="s">
        <v>74</v>
      </c>
      <c r="C832" s="4"/>
      <c r="D832" s="5"/>
      <c r="E832" s="5"/>
      <c r="F832" s="5"/>
      <c r="G832" s="12"/>
      <c r="H832" s="9">
        <f>SUM(H833:H836)</f>
        <v>8000</v>
      </c>
      <c r="I832" s="9">
        <f t="shared" ref="I832:N832" si="299">SUM(I833:I836)</f>
        <v>0</v>
      </c>
      <c r="J832" s="9">
        <f t="shared" si="299"/>
        <v>0</v>
      </c>
      <c r="K832" s="9">
        <f t="shared" si="299"/>
        <v>0</v>
      </c>
      <c r="L832" s="9">
        <f t="shared" si="299"/>
        <v>8000</v>
      </c>
      <c r="M832" s="9">
        <f t="shared" si="299"/>
        <v>0</v>
      </c>
      <c r="N832" s="9">
        <f t="shared" si="299"/>
        <v>0</v>
      </c>
      <c r="O832" s="243"/>
      <c r="P832" s="243"/>
    </row>
    <row r="833" spans="1:16" x14ac:dyDescent="0.25">
      <c r="A833" s="239"/>
      <c r="B833" s="190" t="s">
        <v>16</v>
      </c>
      <c r="C833" s="4">
        <v>136</v>
      </c>
      <c r="D833" s="5" t="s">
        <v>233</v>
      </c>
      <c r="E833" s="6" t="s">
        <v>235</v>
      </c>
      <c r="F833" s="5" t="s">
        <v>300</v>
      </c>
      <c r="G833" s="12">
        <v>244</v>
      </c>
      <c r="H833" s="9">
        <f>I833+J833+K833+L833</f>
        <v>8000</v>
      </c>
      <c r="I833" s="9">
        <v>0</v>
      </c>
      <c r="J833" s="9">
        <v>0</v>
      </c>
      <c r="K833" s="9">
        <v>0</v>
      </c>
      <c r="L833" s="9">
        <v>8000</v>
      </c>
      <c r="M833" s="9">
        <v>0</v>
      </c>
      <c r="N833" s="9">
        <v>0</v>
      </c>
      <c r="O833" s="243"/>
      <c r="P833" s="243"/>
    </row>
    <row r="834" spans="1:16" x14ac:dyDescent="0.25">
      <c r="A834" s="239"/>
      <c r="B834" s="190" t="s">
        <v>14</v>
      </c>
      <c r="C834" s="4"/>
      <c r="D834" s="5"/>
      <c r="E834" s="6"/>
      <c r="F834" s="5"/>
      <c r="G834" s="13"/>
      <c r="H834" s="9">
        <f>I834+J834+K834+L834</f>
        <v>0</v>
      </c>
      <c r="I834" s="9">
        <v>0</v>
      </c>
      <c r="J834" s="9">
        <v>0</v>
      </c>
      <c r="K834" s="9">
        <v>0</v>
      </c>
      <c r="L834" s="9">
        <v>0</v>
      </c>
      <c r="M834" s="9">
        <v>0</v>
      </c>
      <c r="N834" s="9">
        <v>0</v>
      </c>
      <c r="O834" s="243"/>
      <c r="P834" s="243"/>
    </row>
    <row r="835" spans="1:16" x14ac:dyDescent="0.25">
      <c r="A835" s="239"/>
      <c r="B835" s="190" t="s">
        <v>15</v>
      </c>
      <c r="C835" s="4"/>
      <c r="D835" s="5"/>
      <c r="E835" s="5"/>
      <c r="F835" s="5"/>
      <c r="G835" s="12"/>
      <c r="H835" s="9">
        <f>I835+J835+K835+L835</f>
        <v>0</v>
      </c>
      <c r="I835" s="9">
        <v>0</v>
      </c>
      <c r="J835" s="9">
        <v>0</v>
      </c>
      <c r="K835" s="9">
        <v>0</v>
      </c>
      <c r="L835" s="9">
        <v>0</v>
      </c>
      <c r="M835" s="9">
        <v>0</v>
      </c>
      <c r="N835" s="9">
        <v>0</v>
      </c>
      <c r="O835" s="243"/>
      <c r="P835" s="243"/>
    </row>
    <row r="836" spans="1:16" ht="126" customHeight="1" x14ac:dyDescent="0.25">
      <c r="A836" s="240"/>
      <c r="B836" s="190" t="s">
        <v>12</v>
      </c>
      <c r="C836" s="4"/>
      <c r="D836" s="5"/>
      <c r="E836" s="5"/>
      <c r="F836" s="5"/>
      <c r="G836" s="12"/>
      <c r="H836" s="9">
        <f>I836+J836+K836+L836</f>
        <v>0</v>
      </c>
      <c r="I836" s="9">
        <v>0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244"/>
      <c r="P836" s="244"/>
    </row>
    <row r="837" spans="1:16" x14ac:dyDescent="0.25">
      <c r="A837" s="265" t="s">
        <v>550</v>
      </c>
      <c r="B837" s="77" t="s">
        <v>66</v>
      </c>
      <c r="C837" s="54"/>
      <c r="D837" s="55"/>
      <c r="E837" s="55"/>
      <c r="F837" s="55"/>
      <c r="G837" s="91"/>
      <c r="H837" s="86">
        <f>H844</f>
        <v>1</v>
      </c>
      <c r="I837" s="86">
        <v>0</v>
      </c>
      <c r="J837" s="86">
        <f>J844</f>
        <v>1</v>
      </c>
      <c r="K837" s="86">
        <v>0</v>
      </c>
      <c r="L837" s="86">
        <v>0</v>
      </c>
      <c r="M837" s="86">
        <f>M844</f>
        <v>1</v>
      </c>
      <c r="N837" s="86">
        <f>N844</f>
        <v>1</v>
      </c>
      <c r="O837" s="245" t="s">
        <v>217</v>
      </c>
      <c r="P837" s="255" t="s">
        <v>450</v>
      </c>
    </row>
    <row r="838" spans="1:16" ht="26.4" x14ac:dyDescent="0.25">
      <c r="A838" s="265"/>
      <c r="B838" s="78" t="s">
        <v>86</v>
      </c>
      <c r="C838" s="54"/>
      <c r="D838" s="55"/>
      <c r="E838" s="55"/>
      <c r="F838" s="55"/>
      <c r="G838" s="91"/>
      <c r="H838" s="86">
        <f>ROUND(H839/H837,1)</f>
        <v>150</v>
      </c>
      <c r="I838" s="86" t="s">
        <v>229</v>
      </c>
      <c r="J838" s="86" t="s">
        <v>229</v>
      </c>
      <c r="K838" s="86" t="s">
        <v>229</v>
      </c>
      <c r="L838" s="86" t="s">
        <v>229</v>
      </c>
      <c r="M838" s="86">
        <f>ROUND(M839/M837,1)</f>
        <v>150</v>
      </c>
      <c r="N838" s="86">
        <f>ROUND(N839/N837,1)</f>
        <v>150</v>
      </c>
      <c r="O838" s="246"/>
      <c r="P838" s="256"/>
    </row>
    <row r="839" spans="1:16" x14ac:dyDescent="0.25">
      <c r="A839" s="265"/>
      <c r="B839" s="77" t="s">
        <v>74</v>
      </c>
      <c r="C839" s="54"/>
      <c r="D839" s="55"/>
      <c r="E839" s="55"/>
      <c r="F839" s="55"/>
      <c r="G839" s="91"/>
      <c r="H839" s="86">
        <f t="shared" ref="H839:N839" si="300">SUM(H840:H843)</f>
        <v>150</v>
      </c>
      <c r="I839" s="86">
        <f t="shared" si="300"/>
        <v>0</v>
      </c>
      <c r="J839" s="86">
        <f t="shared" si="300"/>
        <v>150</v>
      </c>
      <c r="K839" s="86">
        <f t="shared" si="300"/>
        <v>0</v>
      </c>
      <c r="L839" s="86">
        <f t="shared" si="300"/>
        <v>0</v>
      </c>
      <c r="M839" s="86">
        <f t="shared" si="300"/>
        <v>150</v>
      </c>
      <c r="N839" s="86">
        <f t="shared" si="300"/>
        <v>150</v>
      </c>
      <c r="O839" s="246"/>
      <c r="P839" s="256"/>
    </row>
    <row r="840" spans="1:16" x14ac:dyDescent="0.25">
      <c r="A840" s="265"/>
      <c r="B840" s="80" t="s">
        <v>16</v>
      </c>
      <c r="C840" s="54">
        <f t="shared" ref="C840:N840" si="301">C847</f>
        <v>136</v>
      </c>
      <c r="D840" s="54" t="str">
        <f t="shared" si="301"/>
        <v>07</v>
      </c>
      <c r="E840" s="54" t="str">
        <f t="shared" si="301"/>
        <v>09</v>
      </c>
      <c r="F840" s="54" t="str">
        <f t="shared" si="301"/>
        <v>0720303490</v>
      </c>
      <c r="G840" s="91">
        <f t="shared" si="301"/>
        <v>244</v>
      </c>
      <c r="H840" s="86">
        <f t="shared" si="301"/>
        <v>150</v>
      </c>
      <c r="I840" s="86">
        <f t="shared" si="301"/>
        <v>0</v>
      </c>
      <c r="J840" s="86">
        <f t="shared" si="301"/>
        <v>150</v>
      </c>
      <c r="K840" s="86">
        <f t="shared" si="301"/>
        <v>0</v>
      </c>
      <c r="L840" s="86">
        <f t="shared" si="301"/>
        <v>0</v>
      </c>
      <c r="M840" s="86">
        <f t="shared" si="301"/>
        <v>150</v>
      </c>
      <c r="N840" s="86">
        <f t="shared" si="301"/>
        <v>150</v>
      </c>
      <c r="O840" s="246"/>
      <c r="P840" s="256"/>
    </row>
    <row r="841" spans="1:16" x14ac:dyDescent="0.25">
      <c r="A841" s="265"/>
      <c r="B841" s="77" t="s">
        <v>14</v>
      </c>
      <c r="C841" s="54"/>
      <c r="D841" s="55"/>
      <c r="E841" s="55"/>
      <c r="F841" s="55"/>
      <c r="G841" s="91"/>
      <c r="H841" s="86">
        <f>H848</f>
        <v>0</v>
      </c>
      <c r="I841" s="86">
        <f t="shared" ref="I841:N841" si="302">I848</f>
        <v>0</v>
      </c>
      <c r="J841" s="86">
        <f t="shared" si="302"/>
        <v>0</v>
      </c>
      <c r="K841" s="86">
        <f t="shared" si="302"/>
        <v>0</v>
      </c>
      <c r="L841" s="86">
        <f t="shared" si="302"/>
        <v>0</v>
      </c>
      <c r="M841" s="86">
        <f t="shared" si="302"/>
        <v>0</v>
      </c>
      <c r="N841" s="86">
        <f t="shared" si="302"/>
        <v>0</v>
      </c>
      <c r="O841" s="246"/>
      <c r="P841" s="256"/>
    </row>
    <row r="842" spans="1:16" x14ac:dyDescent="0.25">
      <c r="A842" s="265"/>
      <c r="B842" s="77" t="s">
        <v>15</v>
      </c>
      <c r="C842" s="54"/>
      <c r="D842" s="55"/>
      <c r="E842" s="55"/>
      <c r="F842" s="55"/>
      <c r="G842" s="91"/>
      <c r="H842" s="86">
        <f>H849</f>
        <v>0</v>
      </c>
      <c r="I842" s="86">
        <f t="shared" ref="I842:N842" si="303">I849</f>
        <v>0</v>
      </c>
      <c r="J842" s="86">
        <f t="shared" si="303"/>
        <v>0</v>
      </c>
      <c r="K842" s="86">
        <f t="shared" si="303"/>
        <v>0</v>
      </c>
      <c r="L842" s="86">
        <f t="shared" si="303"/>
        <v>0</v>
      </c>
      <c r="M842" s="86">
        <f t="shared" si="303"/>
        <v>0</v>
      </c>
      <c r="N842" s="86">
        <f t="shared" si="303"/>
        <v>0</v>
      </c>
      <c r="O842" s="246"/>
      <c r="P842" s="256"/>
    </row>
    <row r="843" spans="1:16" x14ac:dyDescent="0.25">
      <c r="A843" s="265"/>
      <c r="B843" s="77" t="s">
        <v>12</v>
      </c>
      <c r="C843" s="54"/>
      <c r="D843" s="55"/>
      <c r="E843" s="55"/>
      <c r="F843" s="55"/>
      <c r="G843" s="91"/>
      <c r="H843" s="86">
        <f>H850</f>
        <v>0</v>
      </c>
      <c r="I843" s="86">
        <f t="shared" ref="I843:N843" si="304">I850</f>
        <v>0</v>
      </c>
      <c r="J843" s="86">
        <f t="shared" si="304"/>
        <v>0</v>
      </c>
      <c r="K843" s="86">
        <f t="shared" si="304"/>
        <v>0</v>
      </c>
      <c r="L843" s="86">
        <f t="shared" si="304"/>
        <v>0</v>
      </c>
      <c r="M843" s="86">
        <f t="shared" si="304"/>
        <v>0</v>
      </c>
      <c r="N843" s="86">
        <f t="shared" si="304"/>
        <v>0</v>
      </c>
      <c r="O843" s="247"/>
      <c r="P843" s="257"/>
    </row>
    <row r="844" spans="1:16" x14ac:dyDescent="0.25">
      <c r="A844" s="235" t="s">
        <v>551</v>
      </c>
      <c r="B844" s="77" t="s">
        <v>66</v>
      </c>
      <c r="C844" s="54"/>
      <c r="D844" s="55"/>
      <c r="E844" s="55"/>
      <c r="F844" s="55"/>
      <c r="G844" s="91"/>
      <c r="H844" s="86">
        <v>1</v>
      </c>
      <c r="I844" s="86">
        <v>0</v>
      </c>
      <c r="J844" s="86">
        <v>1</v>
      </c>
      <c r="K844" s="86">
        <v>0</v>
      </c>
      <c r="L844" s="86">
        <v>0</v>
      </c>
      <c r="M844" s="86">
        <v>1</v>
      </c>
      <c r="N844" s="86">
        <v>1</v>
      </c>
      <c r="O844" s="267" t="s">
        <v>217</v>
      </c>
      <c r="P844" s="312" t="s">
        <v>454</v>
      </c>
    </row>
    <row r="845" spans="1:16" ht="26.4" x14ac:dyDescent="0.25">
      <c r="A845" s="237"/>
      <c r="B845" s="77" t="s">
        <v>88</v>
      </c>
      <c r="C845" s="54"/>
      <c r="D845" s="55"/>
      <c r="E845" s="55"/>
      <c r="F845" s="55"/>
      <c r="G845" s="91"/>
      <c r="H845" s="86">
        <f t="shared" ref="H845:N845" si="305">ROUND(H846/H844,1)</f>
        <v>150</v>
      </c>
      <c r="I845" s="86" t="s">
        <v>229</v>
      </c>
      <c r="J845" s="86" t="s">
        <v>229</v>
      </c>
      <c r="K845" s="86" t="s">
        <v>229</v>
      </c>
      <c r="L845" s="86" t="s">
        <v>229</v>
      </c>
      <c r="M845" s="86">
        <f t="shared" si="305"/>
        <v>150</v>
      </c>
      <c r="N845" s="86">
        <f t="shared" si="305"/>
        <v>150</v>
      </c>
      <c r="O845" s="267"/>
      <c r="P845" s="313"/>
    </row>
    <row r="846" spans="1:16" x14ac:dyDescent="0.25">
      <c r="A846" s="237"/>
      <c r="B846" s="77" t="s">
        <v>74</v>
      </c>
      <c r="C846" s="54"/>
      <c r="D846" s="55"/>
      <c r="E846" s="55"/>
      <c r="F846" s="55"/>
      <c r="G846" s="91"/>
      <c r="H846" s="86">
        <f t="shared" ref="H846:N846" si="306">SUM(H847:H850)</f>
        <v>150</v>
      </c>
      <c r="I846" s="86">
        <f t="shared" si="306"/>
        <v>0</v>
      </c>
      <c r="J846" s="86">
        <f t="shared" si="306"/>
        <v>150</v>
      </c>
      <c r="K846" s="86">
        <f t="shared" si="306"/>
        <v>0</v>
      </c>
      <c r="L846" s="86">
        <f t="shared" si="306"/>
        <v>0</v>
      </c>
      <c r="M846" s="86">
        <f t="shared" si="306"/>
        <v>150</v>
      </c>
      <c r="N846" s="86">
        <f t="shared" si="306"/>
        <v>150</v>
      </c>
      <c r="O846" s="267"/>
      <c r="P846" s="313"/>
    </row>
    <row r="847" spans="1:16" x14ac:dyDescent="0.25">
      <c r="A847" s="237"/>
      <c r="B847" s="79" t="s">
        <v>16</v>
      </c>
      <c r="C847" s="54">
        <v>136</v>
      </c>
      <c r="D847" s="55" t="s">
        <v>233</v>
      </c>
      <c r="E847" s="59" t="s">
        <v>235</v>
      </c>
      <c r="F847" s="55" t="s">
        <v>301</v>
      </c>
      <c r="G847" s="60">
        <v>244</v>
      </c>
      <c r="H847" s="86">
        <f>I847+J847+K847+L847</f>
        <v>150</v>
      </c>
      <c r="I847" s="86">
        <v>0</v>
      </c>
      <c r="J847" s="86">
        <v>150</v>
      </c>
      <c r="K847" s="86">
        <v>0</v>
      </c>
      <c r="L847" s="86">
        <v>0</v>
      </c>
      <c r="M847" s="86">
        <v>150</v>
      </c>
      <c r="N847" s="86">
        <v>150</v>
      </c>
      <c r="O847" s="267"/>
      <c r="P847" s="313"/>
    </row>
    <row r="848" spans="1:16" x14ac:dyDescent="0.25">
      <c r="A848" s="237"/>
      <c r="B848" s="77" t="s">
        <v>14</v>
      </c>
      <c r="C848" s="54"/>
      <c r="D848" s="55"/>
      <c r="E848" s="55"/>
      <c r="F848" s="55"/>
      <c r="G848" s="91"/>
      <c r="H848" s="86">
        <f>I848+J848+K848+L848</f>
        <v>0</v>
      </c>
      <c r="I848" s="86">
        <v>0</v>
      </c>
      <c r="J848" s="86">
        <v>0</v>
      </c>
      <c r="K848" s="86">
        <v>0</v>
      </c>
      <c r="L848" s="86">
        <v>0</v>
      </c>
      <c r="M848" s="86">
        <v>0</v>
      </c>
      <c r="N848" s="86">
        <v>0</v>
      </c>
      <c r="O848" s="267"/>
      <c r="P848" s="313"/>
    </row>
    <row r="849" spans="1:18" x14ac:dyDescent="0.25">
      <c r="A849" s="237"/>
      <c r="B849" s="77" t="s">
        <v>15</v>
      </c>
      <c r="C849" s="54"/>
      <c r="D849" s="55"/>
      <c r="E849" s="55"/>
      <c r="F849" s="55"/>
      <c r="G849" s="91"/>
      <c r="H849" s="86">
        <f>I849+J849+K849+L849</f>
        <v>0</v>
      </c>
      <c r="I849" s="86">
        <v>0</v>
      </c>
      <c r="J849" s="86">
        <v>0</v>
      </c>
      <c r="K849" s="86">
        <v>0</v>
      </c>
      <c r="L849" s="86">
        <v>0</v>
      </c>
      <c r="M849" s="86">
        <v>0</v>
      </c>
      <c r="N849" s="86">
        <v>0</v>
      </c>
      <c r="O849" s="267"/>
      <c r="P849" s="313"/>
    </row>
    <row r="850" spans="1:18" x14ac:dyDescent="0.25">
      <c r="A850" s="236"/>
      <c r="B850" s="77" t="s">
        <v>12</v>
      </c>
      <c r="C850" s="54"/>
      <c r="D850" s="55"/>
      <c r="E850" s="55"/>
      <c r="F850" s="55"/>
      <c r="G850" s="91"/>
      <c r="H850" s="86">
        <f>I850+J850+K850+L850</f>
        <v>0</v>
      </c>
      <c r="I850" s="86">
        <v>0</v>
      </c>
      <c r="J850" s="86">
        <v>0</v>
      </c>
      <c r="K850" s="86">
        <v>0</v>
      </c>
      <c r="L850" s="86">
        <v>0</v>
      </c>
      <c r="M850" s="86">
        <v>0</v>
      </c>
      <c r="N850" s="86">
        <v>0</v>
      </c>
      <c r="O850" s="267"/>
      <c r="P850" s="314"/>
    </row>
    <row r="851" spans="1:18" s="53" customFormat="1" ht="26.4" x14ac:dyDescent="0.25">
      <c r="A851" s="235" t="s">
        <v>552</v>
      </c>
      <c r="B851" s="130" t="s">
        <v>413</v>
      </c>
      <c r="C851" s="54"/>
      <c r="D851" s="54"/>
      <c r="E851" s="54"/>
      <c r="F851" s="54"/>
      <c r="G851" s="91"/>
      <c r="H851" s="56" t="s">
        <v>51</v>
      </c>
      <c r="I851" s="56" t="s">
        <v>51</v>
      </c>
      <c r="J851" s="56" t="s">
        <v>51</v>
      </c>
      <c r="K851" s="56" t="s">
        <v>51</v>
      </c>
      <c r="L851" s="56" t="s">
        <v>51</v>
      </c>
      <c r="M851" s="56" t="s">
        <v>51</v>
      </c>
      <c r="N851" s="56" t="s">
        <v>51</v>
      </c>
      <c r="O851" s="245" t="s">
        <v>400</v>
      </c>
      <c r="P851" s="255" t="s">
        <v>500</v>
      </c>
    </row>
    <row r="852" spans="1:18" s="53" customFormat="1" ht="26.4" x14ac:dyDescent="0.25">
      <c r="A852" s="237"/>
      <c r="B852" s="130" t="s">
        <v>88</v>
      </c>
      <c r="C852" s="54"/>
      <c r="D852" s="54"/>
      <c r="E852" s="54"/>
      <c r="F852" s="54"/>
      <c r="G852" s="91"/>
      <c r="H852" s="56" t="s">
        <v>51</v>
      </c>
      <c r="I852" s="56" t="s">
        <v>229</v>
      </c>
      <c r="J852" s="56" t="s">
        <v>229</v>
      </c>
      <c r="K852" s="56" t="s">
        <v>229</v>
      </c>
      <c r="L852" s="56" t="s">
        <v>229</v>
      </c>
      <c r="M852" s="56" t="s">
        <v>51</v>
      </c>
      <c r="N852" s="56" t="s">
        <v>51</v>
      </c>
      <c r="O852" s="246"/>
      <c r="P852" s="256"/>
    </row>
    <row r="853" spans="1:18" s="53" customFormat="1" x14ac:dyDescent="0.25">
      <c r="A853" s="237"/>
      <c r="B853" s="130" t="s">
        <v>74</v>
      </c>
      <c r="C853" s="54"/>
      <c r="D853" s="54"/>
      <c r="E853" s="54"/>
      <c r="F853" s="54"/>
      <c r="G853" s="91"/>
      <c r="H853" s="56">
        <f>SUM(H854:H860)</f>
        <v>5870</v>
      </c>
      <c r="I853" s="56">
        <f t="shared" ref="I853:N853" si="307">SUM(I854:I860)</f>
        <v>0</v>
      </c>
      <c r="J853" s="56">
        <f t="shared" si="307"/>
        <v>300</v>
      </c>
      <c r="K853" s="56">
        <f t="shared" si="307"/>
        <v>4550</v>
      </c>
      <c r="L853" s="56">
        <f t="shared" si="307"/>
        <v>1020</v>
      </c>
      <c r="M853" s="56">
        <f t="shared" si="307"/>
        <v>5870</v>
      </c>
      <c r="N853" s="56">
        <f t="shared" si="307"/>
        <v>5870</v>
      </c>
      <c r="O853" s="246"/>
      <c r="P853" s="256"/>
    </row>
    <row r="854" spans="1:18" s="53" customFormat="1" x14ac:dyDescent="0.25">
      <c r="A854" s="237"/>
      <c r="B854" s="235" t="s">
        <v>16</v>
      </c>
      <c r="C854" s="54">
        <v>136</v>
      </c>
      <c r="D854" s="54" t="s">
        <v>233</v>
      </c>
      <c r="E854" s="54" t="s">
        <v>235</v>
      </c>
      <c r="F854" s="54" t="s">
        <v>305</v>
      </c>
      <c r="G854" s="91">
        <v>612</v>
      </c>
      <c r="H854" s="56">
        <f>H864</f>
        <v>1700</v>
      </c>
      <c r="I854" s="56">
        <f t="shared" ref="I854:N854" si="308">I864</f>
        <v>0</v>
      </c>
      <c r="J854" s="56">
        <f t="shared" si="308"/>
        <v>0</v>
      </c>
      <c r="K854" s="56">
        <f t="shared" si="308"/>
        <v>1700</v>
      </c>
      <c r="L854" s="56">
        <f t="shared" si="308"/>
        <v>0</v>
      </c>
      <c r="M854" s="56">
        <f t="shared" si="308"/>
        <v>1700</v>
      </c>
      <c r="N854" s="56">
        <f t="shared" si="308"/>
        <v>1700</v>
      </c>
      <c r="O854" s="246"/>
      <c r="P854" s="256"/>
    </row>
    <row r="855" spans="1:18" s="53" customFormat="1" x14ac:dyDescent="0.25">
      <c r="A855" s="237"/>
      <c r="B855" s="237"/>
      <c r="C855" s="54">
        <v>136</v>
      </c>
      <c r="D855" s="55" t="s">
        <v>233</v>
      </c>
      <c r="E855" s="59" t="s">
        <v>235</v>
      </c>
      <c r="F855" s="55" t="s">
        <v>305</v>
      </c>
      <c r="G855" s="60">
        <v>622</v>
      </c>
      <c r="H855" s="56">
        <f>H865</f>
        <v>630</v>
      </c>
      <c r="I855" s="56">
        <f t="shared" ref="I855:N855" si="309">I865</f>
        <v>0</v>
      </c>
      <c r="J855" s="56">
        <f t="shared" si="309"/>
        <v>0</v>
      </c>
      <c r="K855" s="56">
        <f t="shared" si="309"/>
        <v>0</v>
      </c>
      <c r="L855" s="56">
        <f t="shared" si="309"/>
        <v>630</v>
      </c>
      <c r="M855" s="56">
        <f t="shared" si="309"/>
        <v>630</v>
      </c>
      <c r="N855" s="56">
        <f t="shared" si="309"/>
        <v>630</v>
      </c>
      <c r="O855" s="246"/>
      <c r="P855" s="256"/>
    </row>
    <row r="856" spans="1:18" s="53" customFormat="1" x14ac:dyDescent="0.25">
      <c r="A856" s="237"/>
      <c r="B856" s="237"/>
      <c r="C856" s="54">
        <v>136</v>
      </c>
      <c r="D856" s="55" t="s">
        <v>233</v>
      </c>
      <c r="E856" s="59" t="s">
        <v>234</v>
      </c>
      <c r="F856" s="55" t="s">
        <v>305</v>
      </c>
      <c r="G856" s="60">
        <v>350</v>
      </c>
      <c r="H856" s="56">
        <f>H866</f>
        <v>3150</v>
      </c>
      <c r="I856" s="56">
        <f t="shared" ref="I856:N856" si="310">I866</f>
        <v>0</v>
      </c>
      <c r="J856" s="56">
        <f t="shared" si="310"/>
        <v>300</v>
      </c>
      <c r="K856" s="56">
        <f t="shared" si="310"/>
        <v>2850</v>
      </c>
      <c r="L856" s="56">
        <f t="shared" si="310"/>
        <v>0</v>
      </c>
      <c r="M856" s="56">
        <f t="shared" si="310"/>
        <v>3150</v>
      </c>
      <c r="N856" s="56">
        <f t="shared" si="310"/>
        <v>3150</v>
      </c>
      <c r="O856" s="246"/>
      <c r="P856" s="256"/>
    </row>
    <row r="857" spans="1:18" s="53" customFormat="1" x14ac:dyDescent="0.25">
      <c r="A857" s="237"/>
      <c r="B857" s="236"/>
      <c r="C857" s="54">
        <v>136</v>
      </c>
      <c r="D857" s="55" t="s">
        <v>233</v>
      </c>
      <c r="E857" s="59" t="s">
        <v>235</v>
      </c>
      <c r="F857" s="55" t="s">
        <v>431</v>
      </c>
      <c r="G857" s="91">
        <v>321</v>
      </c>
      <c r="H857" s="56">
        <f>H901</f>
        <v>390</v>
      </c>
      <c r="I857" s="56">
        <f t="shared" ref="I857:N857" si="311">I901</f>
        <v>0</v>
      </c>
      <c r="J857" s="56">
        <f t="shared" si="311"/>
        <v>0</v>
      </c>
      <c r="K857" s="56">
        <f t="shared" si="311"/>
        <v>0</v>
      </c>
      <c r="L857" s="56">
        <f t="shared" si="311"/>
        <v>390</v>
      </c>
      <c r="M857" s="56">
        <f t="shared" si="311"/>
        <v>390</v>
      </c>
      <c r="N857" s="56">
        <f t="shared" si="311"/>
        <v>390</v>
      </c>
      <c r="O857" s="246"/>
      <c r="P857" s="256"/>
    </row>
    <row r="858" spans="1:18" s="53" customFormat="1" x14ac:dyDescent="0.25">
      <c r="A858" s="237"/>
      <c r="B858" s="130" t="s">
        <v>14</v>
      </c>
      <c r="C858" s="54"/>
      <c r="D858" s="54"/>
      <c r="E858" s="54"/>
      <c r="F858" s="54"/>
      <c r="G858" s="91"/>
      <c r="H858" s="56">
        <f t="shared" ref="H858:N860" si="312">H874+H902+H916</f>
        <v>0</v>
      </c>
      <c r="I858" s="56">
        <f t="shared" si="312"/>
        <v>0</v>
      </c>
      <c r="J858" s="56">
        <f t="shared" si="312"/>
        <v>0</v>
      </c>
      <c r="K858" s="56">
        <f t="shared" si="312"/>
        <v>0</v>
      </c>
      <c r="L858" s="56">
        <f t="shared" si="312"/>
        <v>0</v>
      </c>
      <c r="M858" s="56">
        <f t="shared" si="312"/>
        <v>0</v>
      </c>
      <c r="N858" s="56">
        <f t="shared" si="312"/>
        <v>0</v>
      </c>
      <c r="O858" s="246"/>
      <c r="P858" s="256"/>
    </row>
    <row r="859" spans="1:18" s="53" customFormat="1" x14ac:dyDescent="0.25">
      <c r="A859" s="237"/>
      <c r="B859" s="130" t="s">
        <v>15</v>
      </c>
      <c r="C859" s="54"/>
      <c r="D859" s="54"/>
      <c r="E859" s="54"/>
      <c r="F859" s="54"/>
      <c r="G859" s="91"/>
      <c r="H859" s="56">
        <f t="shared" si="312"/>
        <v>0</v>
      </c>
      <c r="I859" s="56">
        <f t="shared" si="312"/>
        <v>0</v>
      </c>
      <c r="J859" s="56">
        <f t="shared" si="312"/>
        <v>0</v>
      </c>
      <c r="K859" s="56">
        <f t="shared" si="312"/>
        <v>0</v>
      </c>
      <c r="L859" s="56">
        <f t="shared" si="312"/>
        <v>0</v>
      </c>
      <c r="M859" s="56">
        <f t="shared" si="312"/>
        <v>0</v>
      </c>
      <c r="N859" s="56">
        <f t="shared" si="312"/>
        <v>0</v>
      </c>
      <c r="O859" s="246"/>
      <c r="P859" s="256"/>
    </row>
    <row r="860" spans="1:18" s="53" customFormat="1" x14ac:dyDescent="0.25">
      <c r="A860" s="237"/>
      <c r="B860" s="130" t="s">
        <v>12</v>
      </c>
      <c r="C860" s="54"/>
      <c r="D860" s="54"/>
      <c r="E860" s="54"/>
      <c r="F860" s="54"/>
      <c r="G860" s="91"/>
      <c r="H860" s="56">
        <f t="shared" si="312"/>
        <v>0</v>
      </c>
      <c r="I860" s="56">
        <f t="shared" si="312"/>
        <v>0</v>
      </c>
      <c r="J860" s="56">
        <f t="shared" si="312"/>
        <v>0</v>
      </c>
      <c r="K860" s="56">
        <f t="shared" si="312"/>
        <v>0</v>
      </c>
      <c r="L860" s="56">
        <f t="shared" si="312"/>
        <v>0</v>
      </c>
      <c r="M860" s="56">
        <f t="shared" si="312"/>
        <v>0</v>
      </c>
      <c r="N860" s="56">
        <f t="shared" si="312"/>
        <v>0</v>
      </c>
      <c r="O860" s="247"/>
      <c r="P860" s="257"/>
    </row>
    <row r="861" spans="1:18" s="53" customFormat="1" ht="26.4" x14ac:dyDescent="0.25">
      <c r="A861" s="235" t="s">
        <v>553</v>
      </c>
      <c r="B861" s="130" t="s">
        <v>413</v>
      </c>
      <c r="C861" s="54"/>
      <c r="D861" s="54"/>
      <c r="E861" s="54"/>
      <c r="F861" s="54"/>
      <c r="G861" s="91"/>
      <c r="H861" s="56" t="s">
        <v>51</v>
      </c>
      <c r="I861" s="56" t="s">
        <v>51</v>
      </c>
      <c r="J861" s="56" t="s">
        <v>51</v>
      </c>
      <c r="K861" s="56" t="s">
        <v>51</v>
      </c>
      <c r="L861" s="56" t="s">
        <v>51</v>
      </c>
      <c r="M861" s="56" t="s">
        <v>51</v>
      </c>
      <c r="N861" s="56" t="s">
        <v>51</v>
      </c>
      <c r="O861" s="245" t="s">
        <v>400</v>
      </c>
      <c r="P861" s="255" t="s">
        <v>451</v>
      </c>
      <c r="Q861" s="136"/>
      <c r="R861" s="136"/>
    </row>
    <row r="862" spans="1:18" s="53" customFormat="1" ht="26.4" x14ac:dyDescent="0.25">
      <c r="A862" s="237"/>
      <c r="B862" s="130" t="s">
        <v>88</v>
      </c>
      <c r="C862" s="54"/>
      <c r="D862" s="54"/>
      <c r="E862" s="54"/>
      <c r="F862" s="54"/>
      <c r="G862" s="91"/>
      <c r="H862" s="56" t="s">
        <v>51</v>
      </c>
      <c r="I862" s="56" t="s">
        <v>229</v>
      </c>
      <c r="J862" s="56" t="s">
        <v>229</v>
      </c>
      <c r="K862" s="56" t="s">
        <v>229</v>
      </c>
      <c r="L862" s="56" t="s">
        <v>229</v>
      </c>
      <c r="M862" s="56" t="s">
        <v>51</v>
      </c>
      <c r="N862" s="56" t="s">
        <v>51</v>
      </c>
      <c r="O862" s="246"/>
      <c r="P862" s="256"/>
      <c r="Q862" s="136"/>
      <c r="R862" s="136"/>
    </row>
    <row r="863" spans="1:18" s="53" customFormat="1" x14ac:dyDescent="0.25">
      <c r="A863" s="237"/>
      <c r="B863" s="130" t="s">
        <v>74</v>
      </c>
      <c r="C863" s="54"/>
      <c r="D863" s="54"/>
      <c r="E863" s="54"/>
      <c r="F863" s="54"/>
      <c r="G863" s="91"/>
      <c r="H863" s="56">
        <f>SUM(H864:H866)</f>
        <v>5480</v>
      </c>
      <c r="I863" s="56">
        <f t="shared" ref="I863:N863" si="313">SUM(I864:I866)</f>
        <v>0</v>
      </c>
      <c r="J863" s="56">
        <f t="shared" si="313"/>
        <v>300</v>
      </c>
      <c r="K863" s="56">
        <f t="shared" si="313"/>
        <v>4550</v>
      </c>
      <c r="L863" s="56">
        <f t="shared" si="313"/>
        <v>630</v>
      </c>
      <c r="M863" s="56">
        <f t="shared" si="313"/>
        <v>5480</v>
      </c>
      <c r="N863" s="56">
        <f t="shared" si="313"/>
        <v>5480</v>
      </c>
      <c r="O863" s="246"/>
      <c r="P863" s="256"/>
      <c r="Q863" s="136"/>
      <c r="R863" s="136"/>
    </row>
    <row r="864" spans="1:18" s="53" customFormat="1" x14ac:dyDescent="0.25">
      <c r="A864" s="237"/>
      <c r="B864" s="269" t="s">
        <v>16</v>
      </c>
      <c r="C864" s="54">
        <v>136</v>
      </c>
      <c r="D864" s="54" t="s">
        <v>233</v>
      </c>
      <c r="E864" s="54" t="s">
        <v>235</v>
      </c>
      <c r="F864" s="54" t="s">
        <v>305</v>
      </c>
      <c r="G864" s="91">
        <v>612</v>
      </c>
      <c r="H864" s="56">
        <f t="shared" ref="H864:N864" si="314">H873</f>
        <v>1700</v>
      </c>
      <c r="I864" s="56">
        <f t="shared" si="314"/>
        <v>0</v>
      </c>
      <c r="J864" s="56">
        <f t="shared" si="314"/>
        <v>0</v>
      </c>
      <c r="K864" s="56">
        <f t="shared" si="314"/>
        <v>1700</v>
      </c>
      <c r="L864" s="56">
        <f t="shared" si="314"/>
        <v>0</v>
      </c>
      <c r="M864" s="56">
        <f t="shared" si="314"/>
        <v>1700</v>
      </c>
      <c r="N864" s="56">
        <f t="shared" si="314"/>
        <v>1700</v>
      </c>
      <c r="O864" s="246"/>
      <c r="P864" s="256"/>
      <c r="Q864" s="136"/>
      <c r="R864" s="136"/>
    </row>
    <row r="865" spans="1:18" s="53" customFormat="1" x14ac:dyDescent="0.25">
      <c r="A865" s="237"/>
      <c r="B865" s="269"/>
      <c r="C865" s="54">
        <v>136</v>
      </c>
      <c r="D865" s="55" t="s">
        <v>233</v>
      </c>
      <c r="E865" s="59" t="s">
        <v>235</v>
      </c>
      <c r="F865" s="55" t="s">
        <v>305</v>
      </c>
      <c r="G865" s="60">
        <v>622</v>
      </c>
      <c r="H865" s="56">
        <f>H880+H894</f>
        <v>630</v>
      </c>
      <c r="I865" s="56">
        <f t="shared" ref="I865:N865" si="315">I880+I894</f>
        <v>0</v>
      </c>
      <c r="J865" s="56">
        <f t="shared" si="315"/>
        <v>0</v>
      </c>
      <c r="K865" s="56">
        <f t="shared" si="315"/>
        <v>0</v>
      </c>
      <c r="L865" s="56">
        <f t="shared" si="315"/>
        <v>630</v>
      </c>
      <c r="M865" s="56">
        <f>M880+M894</f>
        <v>630</v>
      </c>
      <c r="N865" s="56">
        <f t="shared" si="315"/>
        <v>630</v>
      </c>
      <c r="O865" s="246"/>
      <c r="P865" s="256"/>
      <c r="Q865" s="136"/>
      <c r="R865" s="136"/>
    </row>
    <row r="866" spans="1:18" s="53" customFormat="1" x14ac:dyDescent="0.25">
      <c r="A866" s="237"/>
      <c r="B866" s="269"/>
      <c r="C866" s="54">
        <v>136</v>
      </c>
      <c r="D866" s="55" t="s">
        <v>233</v>
      </c>
      <c r="E866" s="59" t="s">
        <v>234</v>
      </c>
      <c r="F866" s="55" t="s">
        <v>305</v>
      </c>
      <c r="G866" s="60">
        <v>350</v>
      </c>
      <c r="H866" s="56">
        <f>H887</f>
        <v>3150</v>
      </c>
      <c r="I866" s="56">
        <f t="shared" ref="I866:N866" si="316">I887</f>
        <v>0</v>
      </c>
      <c r="J866" s="56">
        <f t="shared" si="316"/>
        <v>300</v>
      </c>
      <c r="K866" s="56">
        <f t="shared" si="316"/>
        <v>2850</v>
      </c>
      <c r="L866" s="56">
        <f t="shared" si="316"/>
        <v>0</v>
      </c>
      <c r="M866" s="56">
        <f t="shared" si="316"/>
        <v>3150</v>
      </c>
      <c r="N866" s="56">
        <f t="shared" si="316"/>
        <v>3150</v>
      </c>
      <c r="O866" s="246"/>
      <c r="P866" s="256"/>
      <c r="Q866" s="136"/>
      <c r="R866" s="136"/>
    </row>
    <row r="867" spans="1:18" s="53" customFormat="1" x14ac:dyDescent="0.25">
      <c r="A867" s="237"/>
      <c r="B867" s="130" t="s">
        <v>14</v>
      </c>
      <c r="C867" s="54"/>
      <c r="D867" s="54"/>
      <c r="E867" s="54"/>
      <c r="F867" s="54"/>
      <c r="G867" s="91"/>
      <c r="H867" s="56">
        <f>H874+H881+H888</f>
        <v>0</v>
      </c>
      <c r="I867" s="56">
        <f t="shared" ref="I867:N867" si="317">I874+I881+I888</f>
        <v>0</v>
      </c>
      <c r="J867" s="56">
        <f t="shared" si="317"/>
        <v>0</v>
      </c>
      <c r="K867" s="56">
        <f t="shared" si="317"/>
        <v>0</v>
      </c>
      <c r="L867" s="56">
        <f t="shared" si="317"/>
        <v>0</v>
      </c>
      <c r="M867" s="56">
        <f t="shared" si="317"/>
        <v>0</v>
      </c>
      <c r="N867" s="56">
        <f t="shared" si="317"/>
        <v>0</v>
      </c>
      <c r="O867" s="246"/>
      <c r="P867" s="256"/>
      <c r="Q867" s="136"/>
      <c r="R867" s="136"/>
    </row>
    <row r="868" spans="1:18" s="53" customFormat="1" x14ac:dyDescent="0.25">
      <c r="A868" s="237"/>
      <c r="B868" s="130" t="s">
        <v>15</v>
      </c>
      <c r="C868" s="54"/>
      <c r="D868" s="54"/>
      <c r="E868" s="54"/>
      <c r="F868" s="54"/>
      <c r="G868" s="91"/>
      <c r="H868" s="56">
        <f t="shared" ref="H868:N869" si="318">H875+H882+H889</f>
        <v>0</v>
      </c>
      <c r="I868" s="56">
        <f t="shared" si="318"/>
        <v>0</v>
      </c>
      <c r="J868" s="56">
        <f t="shared" si="318"/>
        <v>0</v>
      </c>
      <c r="K868" s="56">
        <f t="shared" si="318"/>
        <v>0</v>
      </c>
      <c r="L868" s="56">
        <f t="shared" si="318"/>
        <v>0</v>
      </c>
      <c r="M868" s="56">
        <f t="shared" si="318"/>
        <v>0</v>
      </c>
      <c r="N868" s="56">
        <f t="shared" si="318"/>
        <v>0</v>
      </c>
      <c r="O868" s="246"/>
      <c r="P868" s="256"/>
      <c r="Q868" s="136"/>
      <c r="R868" s="136"/>
    </row>
    <row r="869" spans="1:18" s="53" customFormat="1" x14ac:dyDescent="0.25">
      <c r="A869" s="237"/>
      <c r="B869" s="130" t="s">
        <v>12</v>
      </c>
      <c r="C869" s="54"/>
      <c r="D869" s="54"/>
      <c r="E869" s="54"/>
      <c r="F869" s="54"/>
      <c r="G869" s="91"/>
      <c r="H869" s="56">
        <f t="shared" si="318"/>
        <v>0</v>
      </c>
      <c r="I869" s="56">
        <f t="shared" si="318"/>
        <v>0</v>
      </c>
      <c r="J869" s="56">
        <f t="shared" si="318"/>
        <v>0</v>
      </c>
      <c r="K869" s="56">
        <f t="shared" si="318"/>
        <v>0</v>
      </c>
      <c r="L869" s="56">
        <f t="shared" si="318"/>
        <v>0</v>
      </c>
      <c r="M869" s="56">
        <f t="shared" si="318"/>
        <v>0</v>
      </c>
      <c r="N869" s="56">
        <f t="shared" si="318"/>
        <v>0</v>
      </c>
      <c r="O869" s="247"/>
      <c r="P869" s="257"/>
      <c r="Q869" s="136"/>
      <c r="R869" s="136"/>
    </row>
    <row r="870" spans="1:18" s="53" customFormat="1" x14ac:dyDescent="0.25">
      <c r="A870" s="235" t="s">
        <v>554</v>
      </c>
      <c r="B870" s="130" t="s">
        <v>368</v>
      </c>
      <c r="C870" s="54"/>
      <c r="D870" s="54"/>
      <c r="E870" s="54"/>
      <c r="F870" s="54"/>
      <c r="G870" s="91"/>
      <c r="H870" s="87">
        <v>1</v>
      </c>
      <c r="I870" s="87">
        <v>1</v>
      </c>
      <c r="J870" s="87">
        <v>0</v>
      </c>
      <c r="K870" s="87">
        <v>0</v>
      </c>
      <c r="L870" s="87">
        <v>0</v>
      </c>
      <c r="M870" s="87">
        <v>1</v>
      </c>
      <c r="N870" s="87">
        <v>1</v>
      </c>
      <c r="O870" s="245" t="s">
        <v>400</v>
      </c>
      <c r="P870" s="255" t="s">
        <v>401</v>
      </c>
      <c r="Q870" s="136"/>
      <c r="R870" s="136"/>
    </row>
    <row r="871" spans="1:18" s="53" customFormat="1" ht="26.4" x14ac:dyDescent="0.25">
      <c r="A871" s="237"/>
      <c r="B871" s="130" t="s">
        <v>88</v>
      </c>
      <c r="C871" s="54"/>
      <c r="D871" s="54"/>
      <c r="E871" s="54"/>
      <c r="F871" s="54"/>
      <c r="G871" s="91"/>
      <c r="H871" s="56">
        <f>H872/H870</f>
        <v>1700</v>
      </c>
      <c r="I871" s="56" t="s">
        <v>229</v>
      </c>
      <c r="J871" s="56" t="s">
        <v>229</v>
      </c>
      <c r="K871" s="56" t="s">
        <v>229</v>
      </c>
      <c r="L871" s="56" t="s">
        <v>229</v>
      </c>
      <c r="M871" s="56">
        <v>1700</v>
      </c>
      <c r="N871" s="56">
        <v>1700</v>
      </c>
      <c r="O871" s="246"/>
      <c r="P871" s="256"/>
      <c r="Q871" s="136"/>
      <c r="R871" s="136"/>
    </row>
    <row r="872" spans="1:18" s="53" customFormat="1" x14ac:dyDescent="0.25">
      <c r="A872" s="237"/>
      <c r="B872" s="130" t="s">
        <v>74</v>
      </c>
      <c r="C872" s="54"/>
      <c r="D872" s="54"/>
      <c r="E872" s="54"/>
      <c r="F872" s="54"/>
      <c r="G872" s="91"/>
      <c r="H872" s="56">
        <f t="shared" ref="H872:N872" si="319">SUM(H873:H876)</f>
        <v>1700</v>
      </c>
      <c r="I872" s="56">
        <f t="shared" si="319"/>
        <v>0</v>
      </c>
      <c r="J872" s="56">
        <f t="shared" si="319"/>
        <v>0</v>
      </c>
      <c r="K872" s="56">
        <f t="shared" si="319"/>
        <v>1700</v>
      </c>
      <c r="L872" s="56">
        <f t="shared" si="319"/>
        <v>0</v>
      </c>
      <c r="M872" s="56">
        <f t="shared" si="319"/>
        <v>1700</v>
      </c>
      <c r="N872" s="56">
        <f t="shared" si="319"/>
        <v>1700</v>
      </c>
      <c r="O872" s="246"/>
      <c r="P872" s="256"/>
      <c r="Q872" s="136"/>
      <c r="R872" s="136"/>
    </row>
    <row r="873" spans="1:18" s="53" customFormat="1" x14ac:dyDescent="0.25">
      <c r="A873" s="237"/>
      <c r="B873" s="132" t="s">
        <v>16</v>
      </c>
      <c r="C873" s="54">
        <v>136</v>
      </c>
      <c r="D873" s="54" t="s">
        <v>233</v>
      </c>
      <c r="E873" s="54" t="s">
        <v>235</v>
      </c>
      <c r="F873" s="54" t="s">
        <v>305</v>
      </c>
      <c r="G873" s="91">
        <v>612</v>
      </c>
      <c r="H873" s="56">
        <f>I873+J873+K873+L873</f>
        <v>1700</v>
      </c>
      <c r="I873" s="56">
        <v>0</v>
      </c>
      <c r="J873" s="56">
        <v>0</v>
      </c>
      <c r="K873" s="56">
        <v>1700</v>
      </c>
      <c r="L873" s="56">
        <v>0</v>
      </c>
      <c r="M873" s="56">
        <v>1700</v>
      </c>
      <c r="N873" s="56">
        <v>1700</v>
      </c>
      <c r="O873" s="246"/>
      <c r="P873" s="256"/>
      <c r="Q873" s="136"/>
      <c r="R873" s="136"/>
    </row>
    <row r="874" spans="1:18" s="53" customFormat="1" x14ac:dyDescent="0.25">
      <c r="A874" s="237"/>
      <c r="B874" s="130" t="s">
        <v>14</v>
      </c>
      <c r="C874" s="54"/>
      <c r="D874" s="54"/>
      <c r="E874" s="54"/>
      <c r="F874" s="54"/>
      <c r="G874" s="91"/>
      <c r="H874" s="56">
        <f>I874+J874+K874+L874</f>
        <v>0</v>
      </c>
      <c r="I874" s="56">
        <v>0</v>
      </c>
      <c r="J874" s="56">
        <v>0</v>
      </c>
      <c r="K874" s="56">
        <v>0</v>
      </c>
      <c r="L874" s="56">
        <v>0</v>
      </c>
      <c r="M874" s="56">
        <v>0</v>
      </c>
      <c r="N874" s="56">
        <v>0</v>
      </c>
      <c r="O874" s="246"/>
      <c r="P874" s="256"/>
      <c r="Q874" s="136"/>
      <c r="R874" s="136"/>
    </row>
    <row r="875" spans="1:18" s="53" customFormat="1" x14ac:dyDescent="0.25">
      <c r="A875" s="237"/>
      <c r="B875" s="130" t="s">
        <v>15</v>
      </c>
      <c r="C875" s="54"/>
      <c r="D875" s="54"/>
      <c r="E875" s="54"/>
      <c r="F875" s="54"/>
      <c r="G875" s="91"/>
      <c r="H875" s="56">
        <f>I875+J875+K875+L875</f>
        <v>0</v>
      </c>
      <c r="I875" s="56">
        <v>0</v>
      </c>
      <c r="J875" s="56">
        <v>0</v>
      </c>
      <c r="K875" s="56">
        <v>0</v>
      </c>
      <c r="L875" s="56">
        <v>0</v>
      </c>
      <c r="M875" s="56">
        <v>0</v>
      </c>
      <c r="N875" s="56">
        <v>0</v>
      </c>
      <c r="O875" s="246"/>
      <c r="P875" s="256"/>
      <c r="Q875" s="136"/>
      <c r="R875" s="136"/>
    </row>
    <row r="876" spans="1:18" s="53" customFormat="1" ht="39.75" customHeight="1" x14ac:dyDescent="0.25">
      <c r="A876" s="236"/>
      <c r="B876" s="130" t="s">
        <v>12</v>
      </c>
      <c r="C876" s="54"/>
      <c r="D876" s="54"/>
      <c r="E876" s="54"/>
      <c r="F876" s="54"/>
      <c r="G876" s="91"/>
      <c r="H876" s="56">
        <f>I876+J876+K876+L876</f>
        <v>0</v>
      </c>
      <c r="I876" s="56">
        <v>0</v>
      </c>
      <c r="J876" s="56">
        <v>0</v>
      </c>
      <c r="K876" s="56">
        <v>0</v>
      </c>
      <c r="L876" s="56">
        <v>0</v>
      </c>
      <c r="M876" s="56">
        <v>0</v>
      </c>
      <c r="N876" s="56">
        <v>0</v>
      </c>
      <c r="O876" s="247"/>
      <c r="P876" s="257"/>
      <c r="Q876" s="136"/>
      <c r="R876" s="136"/>
    </row>
    <row r="877" spans="1:18" s="53" customFormat="1" ht="22.5" customHeight="1" x14ac:dyDescent="0.25">
      <c r="A877" s="235" t="s">
        <v>555</v>
      </c>
      <c r="B877" s="130" t="s">
        <v>66</v>
      </c>
      <c r="C877" s="54"/>
      <c r="D877" s="55"/>
      <c r="E877" s="55"/>
      <c r="F877" s="55"/>
      <c r="G877" s="91"/>
      <c r="H877" s="87">
        <v>1</v>
      </c>
      <c r="I877" s="87">
        <v>0</v>
      </c>
      <c r="J877" s="87">
        <v>0</v>
      </c>
      <c r="K877" s="87">
        <v>0</v>
      </c>
      <c r="L877" s="87">
        <v>1</v>
      </c>
      <c r="M877" s="87">
        <v>1</v>
      </c>
      <c r="N877" s="87">
        <v>1</v>
      </c>
      <c r="O877" s="267" t="s">
        <v>161</v>
      </c>
      <c r="P877" s="255" t="s">
        <v>175</v>
      </c>
      <c r="Q877" s="136"/>
      <c r="R877" s="136"/>
    </row>
    <row r="878" spans="1:18" s="53" customFormat="1" ht="26.4" x14ac:dyDescent="0.25">
      <c r="A878" s="237"/>
      <c r="B878" s="130" t="s">
        <v>88</v>
      </c>
      <c r="C878" s="54"/>
      <c r="D878" s="55"/>
      <c r="E878" s="55"/>
      <c r="F878" s="55"/>
      <c r="G878" s="91"/>
      <c r="H878" s="56">
        <f>ROUND(H879/H877,1)</f>
        <v>210</v>
      </c>
      <c r="I878" s="56" t="s">
        <v>229</v>
      </c>
      <c r="J878" s="56" t="s">
        <v>229</v>
      </c>
      <c r="K878" s="56" t="s">
        <v>229</v>
      </c>
      <c r="L878" s="56" t="s">
        <v>229</v>
      </c>
      <c r="M878" s="56">
        <f>ROUND(M879/M877,1)</f>
        <v>630</v>
      </c>
      <c r="N878" s="56">
        <f>ROUND(N879/N877,1)</f>
        <v>630</v>
      </c>
      <c r="O878" s="267"/>
      <c r="P878" s="256"/>
      <c r="Q878" s="136"/>
      <c r="R878" s="136"/>
    </row>
    <row r="879" spans="1:18" s="53" customFormat="1" x14ac:dyDescent="0.25">
      <c r="A879" s="237"/>
      <c r="B879" s="130" t="s">
        <v>74</v>
      </c>
      <c r="C879" s="54"/>
      <c r="D879" s="55"/>
      <c r="E879" s="55"/>
      <c r="F879" s="55"/>
      <c r="G879" s="91"/>
      <c r="H879" s="56">
        <f t="shared" ref="H879:N879" si="320">SUM(H880:H883)</f>
        <v>210</v>
      </c>
      <c r="I879" s="56">
        <f t="shared" si="320"/>
        <v>0</v>
      </c>
      <c r="J879" s="56">
        <f t="shared" si="320"/>
        <v>0</v>
      </c>
      <c r="K879" s="56">
        <f t="shared" si="320"/>
        <v>0</v>
      </c>
      <c r="L879" s="56">
        <f t="shared" si="320"/>
        <v>210</v>
      </c>
      <c r="M879" s="56">
        <f t="shared" si="320"/>
        <v>630</v>
      </c>
      <c r="N879" s="56">
        <f t="shared" si="320"/>
        <v>630</v>
      </c>
      <c r="O879" s="267"/>
      <c r="P879" s="256"/>
      <c r="Q879" s="136"/>
      <c r="R879" s="136"/>
    </row>
    <row r="880" spans="1:18" s="53" customFormat="1" x14ac:dyDescent="0.25">
      <c r="A880" s="237"/>
      <c r="B880" s="132" t="s">
        <v>16</v>
      </c>
      <c r="C880" s="54">
        <v>136</v>
      </c>
      <c r="D880" s="55" t="s">
        <v>233</v>
      </c>
      <c r="E880" s="59" t="s">
        <v>235</v>
      </c>
      <c r="F880" s="55" t="s">
        <v>305</v>
      </c>
      <c r="G880" s="60">
        <v>622</v>
      </c>
      <c r="H880" s="56">
        <f>I880+J880+K880+L880</f>
        <v>210</v>
      </c>
      <c r="I880" s="56">
        <v>0</v>
      </c>
      <c r="J880" s="56">
        <v>0</v>
      </c>
      <c r="K880" s="56">
        <v>0</v>
      </c>
      <c r="L880" s="56">
        <f>630-420</f>
        <v>210</v>
      </c>
      <c r="M880" s="56">
        <v>630</v>
      </c>
      <c r="N880" s="56">
        <v>630</v>
      </c>
      <c r="O880" s="267"/>
      <c r="P880" s="256"/>
      <c r="Q880" s="136"/>
      <c r="R880" s="136"/>
    </row>
    <row r="881" spans="1:18" s="53" customFormat="1" x14ac:dyDescent="0.25">
      <c r="A881" s="237"/>
      <c r="B881" s="130" t="s">
        <v>14</v>
      </c>
      <c r="C881" s="54"/>
      <c r="D881" s="55"/>
      <c r="E881" s="55"/>
      <c r="F881" s="55"/>
      <c r="G881" s="91"/>
      <c r="H881" s="56">
        <f>I881+J881+K881+L881</f>
        <v>0</v>
      </c>
      <c r="I881" s="56">
        <v>0</v>
      </c>
      <c r="J881" s="56">
        <v>0</v>
      </c>
      <c r="K881" s="56">
        <v>0</v>
      </c>
      <c r="L881" s="56">
        <v>0</v>
      </c>
      <c r="M881" s="56">
        <v>0</v>
      </c>
      <c r="N881" s="56">
        <v>0</v>
      </c>
      <c r="O881" s="267"/>
      <c r="P881" s="256"/>
      <c r="Q881" s="136"/>
      <c r="R881" s="136"/>
    </row>
    <row r="882" spans="1:18" s="53" customFormat="1" x14ac:dyDescent="0.25">
      <c r="A882" s="237"/>
      <c r="B882" s="130" t="s">
        <v>15</v>
      </c>
      <c r="C882" s="54"/>
      <c r="D882" s="55"/>
      <c r="E882" s="55"/>
      <c r="F882" s="55"/>
      <c r="G882" s="91"/>
      <c r="H882" s="56">
        <f>I882+J882+K882+L882</f>
        <v>0</v>
      </c>
      <c r="I882" s="56">
        <v>0</v>
      </c>
      <c r="J882" s="56">
        <v>0</v>
      </c>
      <c r="K882" s="56">
        <v>0</v>
      </c>
      <c r="L882" s="56">
        <v>0</v>
      </c>
      <c r="M882" s="56">
        <v>0</v>
      </c>
      <c r="N882" s="56">
        <v>0</v>
      </c>
      <c r="O882" s="267"/>
      <c r="P882" s="256"/>
      <c r="Q882" s="136"/>
      <c r="R882" s="136"/>
    </row>
    <row r="883" spans="1:18" s="53" customFormat="1" x14ac:dyDescent="0.25">
      <c r="A883" s="236"/>
      <c r="B883" s="130" t="s">
        <v>12</v>
      </c>
      <c r="C883" s="54"/>
      <c r="D883" s="55"/>
      <c r="E883" s="55"/>
      <c r="F883" s="55"/>
      <c r="G883" s="91"/>
      <c r="H883" s="56">
        <f>I883+J883+K883+L883</f>
        <v>0</v>
      </c>
      <c r="I883" s="56">
        <v>0</v>
      </c>
      <c r="J883" s="56">
        <v>0</v>
      </c>
      <c r="K883" s="56">
        <v>0</v>
      </c>
      <c r="L883" s="56">
        <v>0</v>
      </c>
      <c r="M883" s="56">
        <v>0</v>
      </c>
      <c r="N883" s="56">
        <v>0</v>
      </c>
      <c r="O883" s="267"/>
      <c r="P883" s="257"/>
      <c r="Q883" s="136"/>
      <c r="R883" s="136"/>
    </row>
    <row r="884" spans="1:18" s="53" customFormat="1" x14ac:dyDescent="0.25">
      <c r="A884" s="235" t="s">
        <v>556</v>
      </c>
      <c r="B884" s="130" t="s">
        <v>109</v>
      </c>
      <c r="C884" s="54"/>
      <c r="D884" s="55"/>
      <c r="E884" s="55"/>
      <c r="F884" s="55"/>
      <c r="G884" s="91"/>
      <c r="H884" s="87">
        <v>60</v>
      </c>
      <c r="I884" s="87">
        <v>0</v>
      </c>
      <c r="J884" s="87">
        <v>5</v>
      </c>
      <c r="K884" s="87">
        <v>55</v>
      </c>
      <c r="L884" s="87">
        <v>0</v>
      </c>
      <c r="M884" s="87">
        <v>60</v>
      </c>
      <c r="N884" s="87">
        <v>60</v>
      </c>
      <c r="O884" s="267" t="s">
        <v>217</v>
      </c>
      <c r="P884" s="255" t="s">
        <v>434</v>
      </c>
      <c r="Q884" s="136"/>
      <c r="R884" s="136"/>
    </row>
    <row r="885" spans="1:18" s="53" customFormat="1" ht="26.4" x14ac:dyDescent="0.25">
      <c r="A885" s="237"/>
      <c r="B885" s="130" t="s">
        <v>88</v>
      </c>
      <c r="C885" s="54"/>
      <c r="D885" s="55"/>
      <c r="E885" s="55"/>
      <c r="F885" s="55"/>
      <c r="G885" s="91"/>
      <c r="H885" s="56">
        <f>ROUND(H886/H884,1)</f>
        <v>52.5</v>
      </c>
      <c r="I885" s="56" t="s">
        <v>229</v>
      </c>
      <c r="J885" s="56" t="s">
        <v>229</v>
      </c>
      <c r="K885" s="56" t="s">
        <v>229</v>
      </c>
      <c r="L885" s="56" t="s">
        <v>229</v>
      </c>
      <c r="M885" s="56">
        <f>ROUND(M886/M884,1)</f>
        <v>52.5</v>
      </c>
      <c r="N885" s="56">
        <f>ROUND(N886/N884,1)</f>
        <v>52.5</v>
      </c>
      <c r="O885" s="267"/>
      <c r="P885" s="256"/>
      <c r="Q885" s="136"/>
      <c r="R885" s="136"/>
    </row>
    <row r="886" spans="1:18" s="53" customFormat="1" x14ac:dyDescent="0.25">
      <c r="A886" s="237"/>
      <c r="B886" s="130" t="s">
        <v>74</v>
      </c>
      <c r="C886" s="54"/>
      <c r="D886" s="55"/>
      <c r="E886" s="55"/>
      <c r="F886" s="55"/>
      <c r="G886" s="91"/>
      <c r="H886" s="56">
        <f t="shared" ref="H886:N886" si="321">SUM(H887:H890)</f>
        <v>3150</v>
      </c>
      <c r="I886" s="56">
        <f t="shared" si="321"/>
        <v>0</v>
      </c>
      <c r="J886" s="56">
        <f t="shared" si="321"/>
        <v>300</v>
      </c>
      <c r="K886" s="56">
        <f t="shared" si="321"/>
        <v>2850</v>
      </c>
      <c r="L886" s="56">
        <f t="shared" si="321"/>
        <v>0</v>
      </c>
      <c r="M886" s="56">
        <f t="shared" si="321"/>
        <v>3150</v>
      </c>
      <c r="N886" s="56">
        <f t="shared" si="321"/>
        <v>3150</v>
      </c>
      <c r="O886" s="267"/>
      <c r="P886" s="256"/>
      <c r="Q886" s="136"/>
      <c r="R886" s="136"/>
    </row>
    <row r="887" spans="1:18" s="53" customFormat="1" x14ac:dyDescent="0.25">
      <c r="A887" s="237"/>
      <c r="B887" s="132" t="s">
        <v>16</v>
      </c>
      <c r="C887" s="54">
        <v>136</v>
      </c>
      <c r="D887" s="55" t="s">
        <v>233</v>
      </c>
      <c r="E887" s="59" t="s">
        <v>234</v>
      </c>
      <c r="F887" s="55" t="s">
        <v>305</v>
      </c>
      <c r="G887" s="60">
        <v>350</v>
      </c>
      <c r="H887" s="56">
        <f>I887+J887+K887+L887</f>
        <v>3150</v>
      </c>
      <c r="I887" s="56">
        <v>0</v>
      </c>
      <c r="J887" s="56">
        <v>300</v>
      </c>
      <c r="K887" s="56">
        <v>2850</v>
      </c>
      <c r="L887" s="56">
        <v>0</v>
      </c>
      <c r="M887" s="56">
        <f>2850+300</f>
        <v>3150</v>
      </c>
      <c r="N887" s="56">
        <f>2850+300</f>
        <v>3150</v>
      </c>
      <c r="O887" s="267"/>
      <c r="P887" s="256"/>
      <c r="Q887" s="136"/>
      <c r="R887" s="136"/>
    </row>
    <row r="888" spans="1:18" s="53" customFormat="1" x14ac:dyDescent="0.25">
      <c r="A888" s="237"/>
      <c r="B888" s="130" t="s">
        <v>14</v>
      </c>
      <c r="C888" s="54"/>
      <c r="D888" s="55"/>
      <c r="E888" s="55"/>
      <c r="F888" s="55"/>
      <c r="G888" s="91"/>
      <c r="H888" s="56">
        <f>I888+J888+K888+L888</f>
        <v>0</v>
      </c>
      <c r="I888" s="56">
        <v>0</v>
      </c>
      <c r="J888" s="56">
        <v>0</v>
      </c>
      <c r="K888" s="56">
        <v>0</v>
      </c>
      <c r="L888" s="56">
        <v>0</v>
      </c>
      <c r="M888" s="56">
        <v>0</v>
      </c>
      <c r="N888" s="56">
        <v>0</v>
      </c>
      <c r="O888" s="267"/>
      <c r="P888" s="256"/>
      <c r="Q888" s="136"/>
      <c r="R888" s="136"/>
    </row>
    <row r="889" spans="1:18" s="53" customFormat="1" x14ac:dyDescent="0.25">
      <c r="A889" s="237"/>
      <c r="B889" s="130" t="s">
        <v>15</v>
      </c>
      <c r="C889" s="54"/>
      <c r="D889" s="55"/>
      <c r="E889" s="55"/>
      <c r="F889" s="55"/>
      <c r="G889" s="91"/>
      <c r="H889" s="56">
        <f>I889+J889+K889+L889</f>
        <v>0</v>
      </c>
      <c r="I889" s="56">
        <v>0</v>
      </c>
      <c r="J889" s="56">
        <v>0</v>
      </c>
      <c r="K889" s="56">
        <v>0</v>
      </c>
      <c r="L889" s="56">
        <v>0</v>
      </c>
      <c r="M889" s="56">
        <v>0</v>
      </c>
      <c r="N889" s="56">
        <v>0</v>
      </c>
      <c r="O889" s="267"/>
      <c r="P889" s="256"/>
      <c r="Q889" s="136"/>
      <c r="R889" s="136"/>
    </row>
    <row r="890" spans="1:18" s="53" customFormat="1" ht="196.5" customHeight="1" x14ac:dyDescent="0.25">
      <c r="A890" s="236"/>
      <c r="B890" s="130" t="s">
        <v>12</v>
      </c>
      <c r="C890" s="54"/>
      <c r="D890" s="55"/>
      <c r="E890" s="55"/>
      <c r="F890" s="55"/>
      <c r="G890" s="91"/>
      <c r="H890" s="56">
        <f>I890+J890+K890+L890</f>
        <v>0</v>
      </c>
      <c r="I890" s="56">
        <v>0</v>
      </c>
      <c r="J890" s="56">
        <v>0</v>
      </c>
      <c r="K890" s="56">
        <v>0</v>
      </c>
      <c r="L890" s="56">
        <v>0</v>
      </c>
      <c r="M890" s="56">
        <v>0</v>
      </c>
      <c r="N890" s="56">
        <v>0</v>
      </c>
      <c r="O890" s="267"/>
      <c r="P890" s="257"/>
      <c r="Q890" s="136"/>
      <c r="R890" s="136"/>
    </row>
    <row r="891" spans="1:18" s="53" customFormat="1" x14ac:dyDescent="0.25">
      <c r="A891" s="238" t="s">
        <v>661</v>
      </c>
      <c r="B891" s="233" t="s">
        <v>109</v>
      </c>
      <c r="C891" s="54"/>
      <c r="D891" s="55"/>
      <c r="E891" s="55"/>
      <c r="F891" s="55"/>
      <c r="G891" s="91"/>
      <c r="H891" s="9">
        <f>L891</f>
        <v>80</v>
      </c>
      <c r="I891" s="9">
        <v>0</v>
      </c>
      <c r="J891" s="9">
        <v>0</v>
      </c>
      <c r="K891" s="9">
        <v>0</v>
      </c>
      <c r="L891" s="9">
        <v>80</v>
      </c>
      <c r="M891" s="56">
        <v>0</v>
      </c>
      <c r="N891" s="56">
        <v>0</v>
      </c>
      <c r="O891" s="267" t="s">
        <v>161</v>
      </c>
      <c r="P891" s="312" t="s">
        <v>662</v>
      </c>
      <c r="Q891" s="136"/>
      <c r="R891" s="136"/>
    </row>
    <row r="892" spans="1:18" s="53" customFormat="1" ht="26.4" x14ac:dyDescent="0.25">
      <c r="A892" s="239"/>
      <c r="B892" s="233" t="s">
        <v>88</v>
      </c>
      <c r="C892" s="54"/>
      <c r="D892" s="55"/>
      <c r="E892" s="55"/>
      <c r="F892" s="55"/>
      <c r="G892" s="91"/>
      <c r="H892" s="56">
        <f>H893/H891</f>
        <v>5.25</v>
      </c>
      <c r="I892" s="56" t="s">
        <v>229</v>
      </c>
      <c r="J892" s="56" t="s">
        <v>229</v>
      </c>
      <c r="K892" s="56" t="s">
        <v>229</v>
      </c>
      <c r="L892" s="56" t="s">
        <v>229</v>
      </c>
      <c r="M892" s="56">
        <v>0</v>
      </c>
      <c r="N892" s="56">
        <v>0</v>
      </c>
      <c r="O892" s="267"/>
      <c r="P892" s="315"/>
      <c r="Q892" s="136"/>
      <c r="R892" s="136"/>
    </row>
    <row r="893" spans="1:18" s="53" customFormat="1" x14ac:dyDescent="0.25">
      <c r="A893" s="239"/>
      <c r="B893" s="233" t="s">
        <v>74</v>
      </c>
      <c r="C893" s="54"/>
      <c r="D893" s="55"/>
      <c r="E893" s="55"/>
      <c r="F893" s="55"/>
      <c r="G893" s="91"/>
      <c r="H893" s="56">
        <f>H894+H895+H896+H897</f>
        <v>420</v>
      </c>
      <c r="I893" s="56">
        <f t="shared" ref="I893:N893" si="322">I894+I895+I896+I897</f>
        <v>0</v>
      </c>
      <c r="J893" s="56">
        <f t="shared" si="322"/>
        <v>0</v>
      </c>
      <c r="K893" s="56">
        <f t="shared" si="322"/>
        <v>0</v>
      </c>
      <c r="L893" s="56">
        <f t="shared" si="322"/>
        <v>420</v>
      </c>
      <c r="M893" s="56">
        <f t="shared" si="322"/>
        <v>0</v>
      </c>
      <c r="N893" s="56">
        <f t="shared" si="322"/>
        <v>0</v>
      </c>
      <c r="O893" s="267"/>
      <c r="P893" s="315"/>
      <c r="Q893" s="136"/>
      <c r="R893" s="136"/>
    </row>
    <row r="894" spans="1:18" s="53" customFormat="1" x14ac:dyDescent="0.25">
      <c r="A894" s="239"/>
      <c r="B894" s="234" t="s">
        <v>16</v>
      </c>
      <c r="C894" s="54">
        <v>136</v>
      </c>
      <c r="D894" s="55" t="s">
        <v>233</v>
      </c>
      <c r="E894" s="59" t="s">
        <v>235</v>
      </c>
      <c r="F894" s="55" t="s">
        <v>305</v>
      </c>
      <c r="G894" s="60">
        <v>622</v>
      </c>
      <c r="H894" s="56">
        <f>I894+J894+K894+L894</f>
        <v>420</v>
      </c>
      <c r="I894" s="56">
        <v>0</v>
      </c>
      <c r="J894" s="56">
        <v>0</v>
      </c>
      <c r="K894" s="56">
        <v>0</v>
      </c>
      <c r="L894" s="56">
        <v>420</v>
      </c>
      <c r="M894" s="56">
        <v>0</v>
      </c>
      <c r="N894" s="56">
        <v>0</v>
      </c>
      <c r="O894" s="267"/>
      <c r="P894" s="315"/>
      <c r="Q894" s="136"/>
      <c r="R894" s="136"/>
    </row>
    <row r="895" spans="1:18" s="53" customFormat="1" x14ac:dyDescent="0.25">
      <c r="A895" s="239"/>
      <c r="B895" s="233" t="s">
        <v>14</v>
      </c>
      <c r="C895" s="54"/>
      <c r="D895" s="55"/>
      <c r="E895" s="55"/>
      <c r="F895" s="55"/>
      <c r="G895" s="91"/>
      <c r="H895" s="56">
        <v>0</v>
      </c>
      <c r="I895" s="56">
        <v>0</v>
      </c>
      <c r="J895" s="56">
        <v>0</v>
      </c>
      <c r="K895" s="56">
        <v>0</v>
      </c>
      <c r="L895" s="56">
        <v>0</v>
      </c>
      <c r="M895" s="56">
        <v>0</v>
      </c>
      <c r="N895" s="56">
        <v>0</v>
      </c>
      <c r="O895" s="267"/>
      <c r="P895" s="315"/>
      <c r="Q895" s="136"/>
      <c r="R895" s="136"/>
    </row>
    <row r="896" spans="1:18" s="53" customFormat="1" x14ac:dyDescent="0.25">
      <c r="A896" s="239"/>
      <c r="B896" s="233" t="s">
        <v>15</v>
      </c>
      <c r="C896" s="54"/>
      <c r="D896" s="55"/>
      <c r="E896" s="55"/>
      <c r="F896" s="55"/>
      <c r="G896" s="91"/>
      <c r="H896" s="56">
        <v>0</v>
      </c>
      <c r="I896" s="56">
        <v>0</v>
      </c>
      <c r="J896" s="56">
        <v>0</v>
      </c>
      <c r="K896" s="56">
        <v>0</v>
      </c>
      <c r="L896" s="56">
        <v>0</v>
      </c>
      <c r="M896" s="56">
        <v>0</v>
      </c>
      <c r="N896" s="56">
        <v>0</v>
      </c>
      <c r="O896" s="267"/>
      <c r="P896" s="315"/>
      <c r="Q896" s="136"/>
      <c r="R896" s="136"/>
    </row>
    <row r="897" spans="1:18" s="53" customFormat="1" x14ac:dyDescent="0.25">
      <c r="A897" s="240"/>
      <c r="B897" s="233" t="s">
        <v>12</v>
      </c>
      <c r="C897" s="54"/>
      <c r="D897" s="55"/>
      <c r="E897" s="55"/>
      <c r="F897" s="55"/>
      <c r="G897" s="91"/>
      <c r="H897" s="56">
        <v>0</v>
      </c>
      <c r="I897" s="56">
        <v>0</v>
      </c>
      <c r="J897" s="56">
        <v>0</v>
      </c>
      <c r="K897" s="56">
        <v>0</v>
      </c>
      <c r="L897" s="56">
        <v>0</v>
      </c>
      <c r="M897" s="56">
        <v>0</v>
      </c>
      <c r="N897" s="56">
        <v>0</v>
      </c>
      <c r="O897" s="267"/>
      <c r="P897" s="315"/>
      <c r="Q897" s="136"/>
      <c r="R897" s="136"/>
    </row>
    <row r="898" spans="1:18" s="53" customFormat="1" x14ac:dyDescent="0.25">
      <c r="A898" s="269" t="s">
        <v>557</v>
      </c>
      <c r="B898" s="130" t="s">
        <v>108</v>
      </c>
      <c r="C898" s="54"/>
      <c r="D898" s="54"/>
      <c r="E898" s="54"/>
      <c r="F898" s="54"/>
      <c r="G898" s="91"/>
      <c r="H898" s="56">
        <f>H905</f>
        <v>26</v>
      </c>
      <c r="I898" s="56">
        <v>0</v>
      </c>
      <c r="J898" s="56">
        <v>0</v>
      </c>
      <c r="K898" s="56">
        <v>0</v>
      </c>
      <c r="L898" s="56">
        <f>L905</f>
        <v>26</v>
      </c>
      <c r="M898" s="56">
        <f>M905</f>
        <v>26</v>
      </c>
      <c r="N898" s="56">
        <f>N905</f>
        <v>26</v>
      </c>
      <c r="O898" s="245" t="s">
        <v>436</v>
      </c>
      <c r="P898" s="255" t="s">
        <v>597</v>
      </c>
      <c r="Q898" s="136"/>
      <c r="R898" s="136"/>
    </row>
    <row r="899" spans="1:18" s="53" customFormat="1" ht="26.4" x14ac:dyDescent="0.25">
      <c r="A899" s="269"/>
      <c r="B899" s="130" t="s">
        <v>87</v>
      </c>
      <c r="C899" s="54"/>
      <c r="D899" s="54"/>
      <c r="E899" s="54"/>
      <c r="F899" s="54"/>
      <c r="G899" s="91"/>
      <c r="H899" s="56">
        <f>H900/H898</f>
        <v>15</v>
      </c>
      <c r="I899" s="87" t="s">
        <v>229</v>
      </c>
      <c r="J899" s="87" t="s">
        <v>229</v>
      </c>
      <c r="K899" s="87" t="s">
        <v>229</v>
      </c>
      <c r="L899" s="87" t="s">
        <v>229</v>
      </c>
      <c r="M899" s="56">
        <f>M900/M898</f>
        <v>15</v>
      </c>
      <c r="N899" s="56">
        <f>N900/N898</f>
        <v>15</v>
      </c>
      <c r="O899" s="246"/>
      <c r="P899" s="256"/>
      <c r="Q899" s="136"/>
      <c r="R899" s="136"/>
    </row>
    <row r="900" spans="1:18" s="53" customFormat="1" x14ac:dyDescent="0.25">
      <c r="A900" s="269"/>
      <c r="B900" s="130" t="s">
        <v>74</v>
      </c>
      <c r="C900" s="54"/>
      <c r="D900" s="54"/>
      <c r="E900" s="54"/>
      <c r="F900" s="54"/>
      <c r="G900" s="91"/>
      <c r="H900" s="56">
        <f t="shared" ref="H900:N900" si="323">SUM(H901:H904)</f>
        <v>390</v>
      </c>
      <c r="I900" s="56">
        <f t="shared" si="323"/>
        <v>0</v>
      </c>
      <c r="J900" s="56">
        <f t="shared" si="323"/>
        <v>0</v>
      </c>
      <c r="K900" s="56">
        <f t="shared" si="323"/>
        <v>0</v>
      </c>
      <c r="L900" s="56">
        <f t="shared" si="323"/>
        <v>390</v>
      </c>
      <c r="M900" s="56">
        <f t="shared" si="323"/>
        <v>390</v>
      </c>
      <c r="N900" s="56">
        <f t="shared" si="323"/>
        <v>390</v>
      </c>
      <c r="O900" s="246"/>
      <c r="P900" s="256"/>
      <c r="Q900" s="136"/>
      <c r="R900" s="136"/>
    </row>
    <row r="901" spans="1:18" s="53" customFormat="1" x14ac:dyDescent="0.25">
      <c r="A901" s="269"/>
      <c r="B901" s="134" t="s">
        <v>16</v>
      </c>
      <c r="C901" s="54">
        <v>136</v>
      </c>
      <c r="D901" s="55" t="s">
        <v>233</v>
      </c>
      <c r="E901" s="59" t="s">
        <v>235</v>
      </c>
      <c r="F901" s="55" t="s">
        <v>431</v>
      </c>
      <c r="G901" s="91">
        <v>321</v>
      </c>
      <c r="H901" s="56">
        <f>H908</f>
        <v>390</v>
      </c>
      <c r="I901" s="56">
        <f t="shared" ref="I901:N901" si="324">I908</f>
        <v>0</v>
      </c>
      <c r="J901" s="56">
        <f t="shared" si="324"/>
        <v>0</v>
      </c>
      <c r="K901" s="56">
        <f t="shared" si="324"/>
        <v>0</v>
      </c>
      <c r="L901" s="56">
        <f t="shared" si="324"/>
        <v>390</v>
      </c>
      <c r="M901" s="56">
        <f t="shared" si="324"/>
        <v>390</v>
      </c>
      <c r="N901" s="56">
        <f t="shared" si="324"/>
        <v>390</v>
      </c>
      <c r="O901" s="246"/>
      <c r="P901" s="256"/>
      <c r="Q901" s="136"/>
      <c r="R901" s="136"/>
    </row>
    <row r="902" spans="1:18" s="53" customFormat="1" x14ac:dyDescent="0.25">
      <c r="A902" s="269"/>
      <c r="B902" s="130" t="s">
        <v>14</v>
      </c>
      <c r="C902" s="54"/>
      <c r="D902" s="54"/>
      <c r="E902" s="54"/>
      <c r="F902" s="54"/>
      <c r="G902" s="91"/>
      <c r="H902" s="56">
        <f>H909</f>
        <v>0</v>
      </c>
      <c r="I902" s="56">
        <v>0</v>
      </c>
      <c r="J902" s="56">
        <v>0</v>
      </c>
      <c r="K902" s="56">
        <v>0</v>
      </c>
      <c r="L902" s="56">
        <v>0</v>
      </c>
      <c r="M902" s="56">
        <v>0</v>
      </c>
      <c r="N902" s="56">
        <v>0</v>
      </c>
      <c r="O902" s="246"/>
      <c r="P902" s="256"/>
      <c r="Q902" s="136"/>
      <c r="R902" s="136"/>
    </row>
    <row r="903" spans="1:18" s="53" customFormat="1" x14ac:dyDescent="0.25">
      <c r="A903" s="269"/>
      <c r="B903" s="130" t="s">
        <v>15</v>
      </c>
      <c r="C903" s="54"/>
      <c r="D903" s="54"/>
      <c r="E903" s="54"/>
      <c r="F903" s="54"/>
      <c r="G903" s="91"/>
      <c r="H903" s="56">
        <f>H910</f>
        <v>0</v>
      </c>
      <c r="I903" s="56">
        <v>0</v>
      </c>
      <c r="J903" s="56">
        <v>0</v>
      </c>
      <c r="K903" s="56">
        <v>0</v>
      </c>
      <c r="L903" s="56">
        <v>0</v>
      </c>
      <c r="M903" s="56">
        <v>0</v>
      </c>
      <c r="N903" s="56">
        <v>0</v>
      </c>
      <c r="O903" s="246"/>
      <c r="P903" s="256"/>
      <c r="Q903" s="136"/>
      <c r="R903" s="136"/>
    </row>
    <row r="904" spans="1:18" s="53" customFormat="1" x14ac:dyDescent="0.25">
      <c r="A904" s="269"/>
      <c r="B904" s="130" t="s">
        <v>12</v>
      </c>
      <c r="C904" s="54"/>
      <c r="D904" s="54"/>
      <c r="E904" s="54"/>
      <c r="F904" s="54"/>
      <c r="G904" s="91"/>
      <c r="H904" s="56">
        <f>H911</f>
        <v>0</v>
      </c>
      <c r="I904" s="56">
        <v>0</v>
      </c>
      <c r="J904" s="56">
        <v>0</v>
      </c>
      <c r="K904" s="56">
        <v>0</v>
      </c>
      <c r="L904" s="56">
        <v>0</v>
      </c>
      <c r="M904" s="56">
        <v>0</v>
      </c>
      <c r="N904" s="56">
        <v>0</v>
      </c>
      <c r="O904" s="247"/>
      <c r="P904" s="257"/>
      <c r="Q904" s="136"/>
      <c r="R904" s="136"/>
    </row>
    <row r="905" spans="1:18" s="53" customFormat="1" x14ac:dyDescent="0.25">
      <c r="A905" s="235" t="s">
        <v>558</v>
      </c>
      <c r="B905" s="130" t="s">
        <v>108</v>
      </c>
      <c r="C905" s="54"/>
      <c r="D905" s="55"/>
      <c r="E905" s="55"/>
      <c r="F905" s="55"/>
      <c r="G905" s="91"/>
      <c r="H905" s="86">
        <v>26</v>
      </c>
      <c r="I905" s="86">
        <v>0</v>
      </c>
      <c r="J905" s="86">
        <v>0</v>
      </c>
      <c r="K905" s="86">
        <v>0</v>
      </c>
      <c r="L905" s="86">
        <v>26</v>
      </c>
      <c r="M905" s="86">
        <v>26</v>
      </c>
      <c r="N905" s="86">
        <v>26</v>
      </c>
      <c r="O905" s="245" t="s">
        <v>217</v>
      </c>
      <c r="P905" s="245" t="s">
        <v>605</v>
      </c>
      <c r="Q905" s="136"/>
      <c r="R905" s="136"/>
    </row>
    <row r="906" spans="1:18" s="53" customFormat="1" ht="26.4" x14ac:dyDescent="0.25">
      <c r="A906" s="237"/>
      <c r="B906" s="130" t="s">
        <v>87</v>
      </c>
      <c r="C906" s="54"/>
      <c r="D906" s="55"/>
      <c r="E906" s="55"/>
      <c r="F906" s="55"/>
      <c r="G906" s="91"/>
      <c r="H906" s="86">
        <v>15</v>
      </c>
      <c r="I906" s="86" t="s">
        <v>229</v>
      </c>
      <c r="J906" s="86" t="s">
        <v>229</v>
      </c>
      <c r="K906" s="86" t="s">
        <v>229</v>
      </c>
      <c r="L906" s="86" t="s">
        <v>229</v>
      </c>
      <c r="M906" s="86">
        <v>15</v>
      </c>
      <c r="N906" s="86">
        <v>15</v>
      </c>
      <c r="O906" s="246"/>
      <c r="P906" s="246"/>
      <c r="Q906" s="136"/>
      <c r="R906" s="136"/>
    </row>
    <row r="907" spans="1:18" s="53" customFormat="1" ht="28.5" customHeight="1" x14ac:dyDescent="0.25">
      <c r="A907" s="237"/>
      <c r="B907" s="130" t="s">
        <v>74</v>
      </c>
      <c r="C907" s="54"/>
      <c r="D907" s="55"/>
      <c r="E907" s="55"/>
      <c r="F907" s="55"/>
      <c r="G907" s="91"/>
      <c r="H907" s="56">
        <f t="shared" ref="H907:N907" si="325">SUM(H908:H911)</f>
        <v>390</v>
      </c>
      <c r="I907" s="56">
        <f t="shared" si="325"/>
        <v>0</v>
      </c>
      <c r="J907" s="56">
        <f t="shared" si="325"/>
        <v>0</v>
      </c>
      <c r="K907" s="56">
        <f t="shared" si="325"/>
        <v>0</v>
      </c>
      <c r="L907" s="56">
        <f t="shared" si="325"/>
        <v>390</v>
      </c>
      <c r="M907" s="56">
        <f t="shared" si="325"/>
        <v>390</v>
      </c>
      <c r="N907" s="56">
        <f t="shared" si="325"/>
        <v>390</v>
      </c>
      <c r="O907" s="246"/>
      <c r="P907" s="246"/>
      <c r="Q907" s="136"/>
      <c r="R907" s="136"/>
    </row>
    <row r="908" spans="1:18" s="53" customFormat="1" ht="21" customHeight="1" x14ac:dyDescent="0.25">
      <c r="A908" s="237"/>
      <c r="B908" s="130" t="s">
        <v>16</v>
      </c>
      <c r="C908" s="54">
        <v>136</v>
      </c>
      <c r="D908" s="55" t="s">
        <v>233</v>
      </c>
      <c r="E908" s="59" t="s">
        <v>235</v>
      </c>
      <c r="F908" s="55" t="s">
        <v>431</v>
      </c>
      <c r="G908" s="91">
        <v>321</v>
      </c>
      <c r="H908" s="56">
        <f>I908+J908+K908+L908</f>
        <v>390</v>
      </c>
      <c r="I908" s="56">
        <v>0</v>
      </c>
      <c r="J908" s="56">
        <v>0</v>
      </c>
      <c r="K908" s="56">
        <v>0</v>
      </c>
      <c r="L908" s="56">
        <v>390</v>
      </c>
      <c r="M908" s="56">
        <v>390</v>
      </c>
      <c r="N908" s="56">
        <v>390</v>
      </c>
      <c r="O908" s="246"/>
      <c r="P908" s="246"/>
      <c r="Q908" s="136"/>
      <c r="R908" s="136"/>
    </row>
    <row r="909" spans="1:18" s="53" customFormat="1" ht="17.25" customHeight="1" x14ac:dyDescent="0.25">
      <c r="A909" s="237"/>
      <c r="B909" s="130" t="s">
        <v>14</v>
      </c>
      <c r="C909" s="54"/>
      <c r="D909" s="55"/>
      <c r="E909" s="55"/>
      <c r="F909" s="55"/>
      <c r="G909" s="91"/>
      <c r="H909" s="56">
        <f>I909+J909+K909+L909</f>
        <v>0</v>
      </c>
      <c r="I909" s="56">
        <v>0</v>
      </c>
      <c r="J909" s="56">
        <v>0</v>
      </c>
      <c r="K909" s="56">
        <v>0</v>
      </c>
      <c r="L909" s="56">
        <v>0</v>
      </c>
      <c r="M909" s="56">
        <v>0</v>
      </c>
      <c r="N909" s="56">
        <v>0</v>
      </c>
      <c r="O909" s="246"/>
      <c r="P909" s="246"/>
      <c r="Q909" s="136"/>
      <c r="R909" s="136"/>
    </row>
    <row r="910" spans="1:18" s="53" customFormat="1" ht="21" customHeight="1" x14ac:dyDescent="0.25">
      <c r="A910" s="237"/>
      <c r="B910" s="130" t="s">
        <v>15</v>
      </c>
      <c r="C910" s="54"/>
      <c r="D910" s="55"/>
      <c r="E910" s="55"/>
      <c r="F910" s="55"/>
      <c r="G910" s="91"/>
      <c r="H910" s="56">
        <f>I910+J910+K910+L910</f>
        <v>0</v>
      </c>
      <c r="I910" s="56">
        <v>0</v>
      </c>
      <c r="J910" s="56">
        <v>0</v>
      </c>
      <c r="K910" s="56">
        <v>0</v>
      </c>
      <c r="L910" s="56">
        <v>0</v>
      </c>
      <c r="M910" s="56">
        <v>0</v>
      </c>
      <c r="N910" s="56">
        <v>0</v>
      </c>
      <c r="O910" s="246"/>
      <c r="P910" s="246"/>
      <c r="Q910" s="136"/>
      <c r="R910" s="136"/>
    </row>
    <row r="911" spans="1:18" s="53" customFormat="1" ht="86.25" customHeight="1" x14ac:dyDescent="0.25">
      <c r="A911" s="236"/>
      <c r="B911" s="130" t="s">
        <v>12</v>
      </c>
      <c r="C911" s="54"/>
      <c r="D911" s="55"/>
      <c r="E911" s="55"/>
      <c r="F911" s="55"/>
      <c r="G911" s="91"/>
      <c r="H911" s="56">
        <f>I911+J911+K911+L911</f>
        <v>0</v>
      </c>
      <c r="I911" s="56">
        <v>0</v>
      </c>
      <c r="J911" s="56">
        <v>0</v>
      </c>
      <c r="K911" s="56">
        <v>0</v>
      </c>
      <c r="L911" s="56">
        <v>0</v>
      </c>
      <c r="M911" s="56">
        <v>0</v>
      </c>
      <c r="N911" s="56">
        <v>0</v>
      </c>
      <c r="O911" s="247"/>
      <c r="P911" s="247"/>
    </row>
    <row r="912" spans="1:18" ht="21" customHeight="1" x14ac:dyDescent="0.25">
      <c r="A912" s="235" t="s">
        <v>559</v>
      </c>
      <c r="B912" s="145" t="s">
        <v>446</v>
      </c>
      <c r="C912" s="54"/>
      <c r="D912" s="54"/>
      <c r="E912" s="54"/>
      <c r="F912" s="54"/>
      <c r="G912" s="91"/>
      <c r="H912" s="56" t="s">
        <v>51</v>
      </c>
      <c r="I912" s="56" t="s">
        <v>51</v>
      </c>
      <c r="J912" s="56" t="s">
        <v>51</v>
      </c>
      <c r="K912" s="56" t="s">
        <v>51</v>
      </c>
      <c r="L912" s="56" t="s">
        <v>51</v>
      </c>
      <c r="M912" s="56">
        <v>2</v>
      </c>
      <c r="N912" s="56">
        <v>1</v>
      </c>
      <c r="O912" s="245" t="s">
        <v>398</v>
      </c>
      <c r="P912" s="255" t="s">
        <v>601</v>
      </c>
      <c r="Q912" s="36"/>
      <c r="R912" s="36"/>
    </row>
    <row r="913" spans="1:18" ht="26.4" x14ac:dyDescent="0.25">
      <c r="A913" s="237"/>
      <c r="B913" s="145" t="s">
        <v>88</v>
      </c>
      <c r="C913" s="54"/>
      <c r="D913" s="54"/>
      <c r="E913" s="54"/>
      <c r="F913" s="54"/>
      <c r="G913" s="91"/>
      <c r="H913" s="56" t="s">
        <v>51</v>
      </c>
      <c r="I913" s="56" t="s">
        <v>229</v>
      </c>
      <c r="J913" s="56" t="s">
        <v>229</v>
      </c>
      <c r="K913" s="56" t="s">
        <v>229</v>
      </c>
      <c r="L913" s="56" t="s">
        <v>229</v>
      </c>
      <c r="M913" s="56" t="s">
        <v>51</v>
      </c>
      <c r="N913" s="56" t="s">
        <v>51</v>
      </c>
      <c r="O913" s="246"/>
      <c r="P913" s="256"/>
      <c r="Q913" s="36"/>
      <c r="R913" s="36"/>
    </row>
    <row r="914" spans="1:18" x14ac:dyDescent="0.25">
      <c r="A914" s="237"/>
      <c r="B914" s="145" t="s">
        <v>74</v>
      </c>
      <c r="C914" s="54"/>
      <c r="D914" s="54"/>
      <c r="E914" s="54"/>
      <c r="F914" s="54"/>
      <c r="G914" s="91"/>
      <c r="H914" s="56">
        <v>0</v>
      </c>
      <c r="I914" s="56">
        <v>0</v>
      </c>
      <c r="J914" s="56">
        <v>0</v>
      </c>
      <c r="K914" s="56">
        <v>0</v>
      </c>
      <c r="L914" s="56">
        <v>0</v>
      </c>
      <c r="M914" s="56">
        <v>0</v>
      </c>
      <c r="N914" s="56">
        <v>0</v>
      </c>
      <c r="O914" s="246"/>
      <c r="P914" s="256"/>
      <c r="Q914" s="36"/>
      <c r="R914" s="36"/>
    </row>
    <row r="915" spans="1:18" x14ac:dyDescent="0.25">
      <c r="A915" s="237"/>
      <c r="B915" s="144" t="s">
        <v>16</v>
      </c>
      <c r="C915" s="7" t="s">
        <v>229</v>
      </c>
      <c r="D915" s="28" t="s">
        <v>229</v>
      </c>
      <c r="E915" s="28" t="s">
        <v>229</v>
      </c>
      <c r="F915" s="28" t="s">
        <v>229</v>
      </c>
      <c r="G915" s="205" t="s">
        <v>229</v>
      </c>
      <c r="H915" s="56">
        <f>I915+J915+K915+L915</f>
        <v>0</v>
      </c>
      <c r="I915" s="56">
        <v>0</v>
      </c>
      <c r="J915" s="56">
        <v>0</v>
      </c>
      <c r="K915" s="56">
        <v>0</v>
      </c>
      <c r="L915" s="56">
        <v>0</v>
      </c>
      <c r="M915" s="56">
        <v>0</v>
      </c>
      <c r="N915" s="56">
        <v>0</v>
      </c>
      <c r="O915" s="246"/>
      <c r="P915" s="256"/>
      <c r="Q915" s="36"/>
      <c r="R915" s="36"/>
    </row>
    <row r="916" spans="1:18" x14ac:dyDescent="0.25">
      <c r="A916" s="237"/>
      <c r="B916" s="145" t="s">
        <v>14</v>
      </c>
      <c r="C916" s="7" t="s">
        <v>229</v>
      </c>
      <c r="D916" s="28" t="s">
        <v>229</v>
      </c>
      <c r="E916" s="28" t="s">
        <v>229</v>
      </c>
      <c r="F916" s="28" t="s">
        <v>229</v>
      </c>
      <c r="G916" s="205" t="s">
        <v>229</v>
      </c>
      <c r="H916" s="56">
        <v>0</v>
      </c>
      <c r="I916" s="56">
        <v>0</v>
      </c>
      <c r="J916" s="56">
        <v>0</v>
      </c>
      <c r="K916" s="56">
        <v>0</v>
      </c>
      <c r="L916" s="56">
        <v>0</v>
      </c>
      <c r="M916" s="56">
        <v>0</v>
      </c>
      <c r="N916" s="56">
        <v>0</v>
      </c>
      <c r="O916" s="246"/>
      <c r="P916" s="256"/>
      <c r="Q916" s="36"/>
      <c r="R916" s="36"/>
    </row>
    <row r="917" spans="1:18" x14ac:dyDescent="0.25">
      <c r="A917" s="237"/>
      <c r="B917" s="145" t="s">
        <v>15</v>
      </c>
      <c r="C917" s="7" t="s">
        <v>229</v>
      </c>
      <c r="D917" s="28" t="s">
        <v>229</v>
      </c>
      <c r="E917" s="28" t="s">
        <v>229</v>
      </c>
      <c r="F917" s="28" t="s">
        <v>229</v>
      </c>
      <c r="G917" s="205" t="s">
        <v>229</v>
      </c>
      <c r="H917" s="56">
        <v>0</v>
      </c>
      <c r="I917" s="56">
        <v>0</v>
      </c>
      <c r="J917" s="56">
        <v>0</v>
      </c>
      <c r="K917" s="56">
        <v>0</v>
      </c>
      <c r="L917" s="56">
        <v>0</v>
      </c>
      <c r="M917" s="56">
        <v>0</v>
      </c>
      <c r="N917" s="56">
        <v>0</v>
      </c>
      <c r="O917" s="246"/>
      <c r="P917" s="256"/>
      <c r="Q917" s="36"/>
      <c r="R917" s="36"/>
    </row>
    <row r="918" spans="1:18" ht="110.25" customHeight="1" x14ac:dyDescent="0.25">
      <c r="A918" s="236"/>
      <c r="B918" s="145" t="s">
        <v>12</v>
      </c>
      <c r="C918" s="7" t="s">
        <v>229</v>
      </c>
      <c r="D918" s="28" t="s">
        <v>229</v>
      </c>
      <c r="E918" s="28" t="s">
        <v>229</v>
      </c>
      <c r="F918" s="28" t="s">
        <v>229</v>
      </c>
      <c r="G918" s="205" t="s">
        <v>229</v>
      </c>
      <c r="H918" s="56">
        <v>0</v>
      </c>
      <c r="I918" s="56">
        <v>0</v>
      </c>
      <c r="J918" s="56">
        <v>0</v>
      </c>
      <c r="K918" s="56">
        <v>0</v>
      </c>
      <c r="L918" s="56">
        <v>0</v>
      </c>
      <c r="M918" s="56">
        <v>0</v>
      </c>
      <c r="N918" s="56">
        <v>0</v>
      </c>
      <c r="O918" s="247"/>
      <c r="P918" s="257"/>
      <c r="Q918" s="36"/>
      <c r="R918" s="36"/>
    </row>
    <row r="919" spans="1:18" x14ac:dyDescent="0.25">
      <c r="A919" s="286" t="s">
        <v>23</v>
      </c>
      <c r="B919" s="93" t="s">
        <v>242</v>
      </c>
      <c r="C919" s="94"/>
      <c r="D919" s="95"/>
      <c r="E919" s="95"/>
      <c r="F919" s="95"/>
      <c r="G919" s="212"/>
      <c r="H919" s="96">
        <f>H920+H921+H922+H923</f>
        <v>76020</v>
      </c>
      <c r="I919" s="96">
        <f t="shared" ref="I919:N919" si="326">I920+I921+I922+I923</f>
        <v>12580.516229999999</v>
      </c>
      <c r="J919" s="96">
        <f t="shared" si="326"/>
        <v>4645.6534199999996</v>
      </c>
      <c r="K919" s="96">
        <f t="shared" si="326"/>
        <v>49773.830349999997</v>
      </c>
      <c r="L919" s="96">
        <f t="shared" si="326"/>
        <v>9020</v>
      </c>
      <c r="M919" s="96">
        <f t="shared" si="326"/>
        <v>68020</v>
      </c>
      <c r="N919" s="96">
        <f t="shared" si="326"/>
        <v>68020</v>
      </c>
      <c r="O919" s="242"/>
      <c r="P919" s="312"/>
    </row>
    <row r="920" spans="1:18" x14ac:dyDescent="0.25">
      <c r="A920" s="287"/>
      <c r="B920" s="93" t="s">
        <v>7</v>
      </c>
      <c r="C920" s="94"/>
      <c r="D920" s="95"/>
      <c r="E920" s="95"/>
      <c r="F920" s="95"/>
      <c r="G920" s="212"/>
      <c r="H920" s="96">
        <f>H826+H847+H873+H880+H887+H908+H833+H894</f>
        <v>76020</v>
      </c>
      <c r="I920" s="96">
        <f t="shared" ref="I920:N920" si="327">I826+I847+I873+I880+I887+I908+I833+I894</f>
        <v>12580.516229999999</v>
      </c>
      <c r="J920" s="96">
        <f t="shared" si="327"/>
        <v>4645.6534199999996</v>
      </c>
      <c r="K920" s="96">
        <f t="shared" si="327"/>
        <v>49773.830349999997</v>
      </c>
      <c r="L920" s="96">
        <f t="shared" si="327"/>
        <v>9020</v>
      </c>
      <c r="M920" s="96">
        <f t="shared" si="327"/>
        <v>68020</v>
      </c>
      <c r="N920" s="96">
        <f t="shared" si="327"/>
        <v>68020</v>
      </c>
      <c r="O920" s="243"/>
      <c r="P920" s="315"/>
    </row>
    <row r="921" spans="1:18" x14ac:dyDescent="0.25">
      <c r="A921" s="287"/>
      <c r="B921" s="93" t="s">
        <v>14</v>
      </c>
      <c r="C921" s="94"/>
      <c r="D921" s="95"/>
      <c r="E921" s="95"/>
      <c r="F921" s="95"/>
      <c r="G921" s="212"/>
      <c r="H921" s="96">
        <f t="shared" ref="H921:N921" si="328">H827+H841+H874+H881+H888+H909</f>
        <v>0</v>
      </c>
      <c r="I921" s="96">
        <f t="shared" si="328"/>
        <v>0</v>
      </c>
      <c r="J921" s="96">
        <f t="shared" si="328"/>
        <v>0</v>
      </c>
      <c r="K921" s="96">
        <f t="shared" si="328"/>
        <v>0</v>
      </c>
      <c r="L921" s="96">
        <f t="shared" si="328"/>
        <v>0</v>
      </c>
      <c r="M921" s="96">
        <f t="shared" si="328"/>
        <v>0</v>
      </c>
      <c r="N921" s="96">
        <f t="shared" si="328"/>
        <v>0</v>
      </c>
      <c r="O921" s="243"/>
      <c r="P921" s="315"/>
    </row>
    <row r="922" spans="1:18" x14ac:dyDescent="0.25">
      <c r="A922" s="287"/>
      <c r="B922" s="93" t="s">
        <v>15</v>
      </c>
      <c r="C922" s="94"/>
      <c r="D922" s="95"/>
      <c r="E922" s="95"/>
      <c r="F922" s="95"/>
      <c r="G922" s="212"/>
      <c r="H922" s="96">
        <f t="shared" ref="H922:N923" si="329">H828+H849+H875+H882+H889+H910</f>
        <v>0</v>
      </c>
      <c r="I922" s="96">
        <f t="shared" si="329"/>
        <v>0</v>
      </c>
      <c r="J922" s="96">
        <f t="shared" si="329"/>
        <v>0</v>
      </c>
      <c r="K922" s="96">
        <f t="shared" si="329"/>
        <v>0</v>
      </c>
      <c r="L922" s="96">
        <f t="shared" si="329"/>
        <v>0</v>
      </c>
      <c r="M922" s="96">
        <f t="shared" si="329"/>
        <v>0</v>
      </c>
      <c r="N922" s="96">
        <f t="shared" si="329"/>
        <v>0</v>
      </c>
      <c r="O922" s="243"/>
      <c r="P922" s="315"/>
    </row>
    <row r="923" spans="1:18" x14ac:dyDescent="0.25">
      <c r="A923" s="288"/>
      <c r="B923" s="93" t="s">
        <v>10</v>
      </c>
      <c r="C923" s="94"/>
      <c r="D923" s="95"/>
      <c r="E923" s="95"/>
      <c r="F923" s="95"/>
      <c r="G923" s="212"/>
      <c r="H923" s="96">
        <f t="shared" si="329"/>
        <v>0</v>
      </c>
      <c r="I923" s="96">
        <f t="shared" si="329"/>
        <v>0</v>
      </c>
      <c r="J923" s="96">
        <f t="shared" si="329"/>
        <v>0</v>
      </c>
      <c r="K923" s="96">
        <f t="shared" si="329"/>
        <v>0</v>
      </c>
      <c r="L923" s="96">
        <f t="shared" si="329"/>
        <v>0</v>
      </c>
      <c r="M923" s="96">
        <f t="shared" si="329"/>
        <v>0</v>
      </c>
      <c r="N923" s="96">
        <f t="shared" si="329"/>
        <v>0</v>
      </c>
      <c r="O923" s="243"/>
      <c r="P923" s="315"/>
    </row>
    <row r="924" spans="1:18" x14ac:dyDescent="0.25">
      <c r="A924" s="286" t="s">
        <v>24</v>
      </c>
      <c r="B924" s="93" t="s">
        <v>242</v>
      </c>
      <c r="C924" s="94"/>
      <c r="D924" s="95"/>
      <c r="E924" s="95"/>
      <c r="F924" s="95"/>
      <c r="G924" s="212"/>
      <c r="H924" s="96">
        <f>SUM(H925:H928)</f>
        <v>146044.6</v>
      </c>
      <c r="I924" s="96">
        <f t="shared" ref="I924:N924" si="330">SUM(I925:I928)</f>
        <v>27980.516230000001</v>
      </c>
      <c r="J924" s="96">
        <f t="shared" si="330"/>
        <v>29959.653419999999</v>
      </c>
      <c r="K924" s="96">
        <f t="shared" si="330"/>
        <v>62483.830349999997</v>
      </c>
      <c r="L924" s="96">
        <f t="shared" si="330"/>
        <v>25620.600000000002</v>
      </c>
      <c r="M924" s="96">
        <f t="shared" si="330"/>
        <v>134873.60000000001</v>
      </c>
      <c r="N924" s="96">
        <f t="shared" si="330"/>
        <v>136463.9</v>
      </c>
      <c r="O924" s="243"/>
      <c r="P924" s="315"/>
    </row>
    <row r="925" spans="1:18" x14ac:dyDescent="0.25">
      <c r="A925" s="287"/>
      <c r="B925" s="93" t="s">
        <v>13</v>
      </c>
      <c r="C925" s="94"/>
      <c r="D925" s="95"/>
      <c r="E925" s="95"/>
      <c r="F925" s="95"/>
      <c r="G925" s="212"/>
      <c r="H925" s="96">
        <f t="shared" ref="H925:N928" si="331">H810+H920</f>
        <v>146044.6</v>
      </c>
      <c r="I925" s="96">
        <f t="shared" si="331"/>
        <v>27980.516230000001</v>
      </c>
      <c r="J925" s="96">
        <f t="shared" si="331"/>
        <v>29959.653419999999</v>
      </c>
      <c r="K925" s="96">
        <f t="shared" si="331"/>
        <v>62483.830349999997</v>
      </c>
      <c r="L925" s="96">
        <f t="shared" si="331"/>
        <v>25620.600000000002</v>
      </c>
      <c r="M925" s="96">
        <f t="shared" si="331"/>
        <v>134873.60000000001</v>
      </c>
      <c r="N925" s="96">
        <f t="shared" si="331"/>
        <v>136463.9</v>
      </c>
      <c r="O925" s="243"/>
      <c r="P925" s="315"/>
    </row>
    <row r="926" spans="1:18" x14ac:dyDescent="0.25">
      <c r="A926" s="287"/>
      <c r="B926" s="93" t="s">
        <v>14</v>
      </c>
      <c r="C926" s="94"/>
      <c r="D926" s="95"/>
      <c r="E926" s="95"/>
      <c r="F926" s="95"/>
      <c r="G926" s="212"/>
      <c r="H926" s="96">
        <f t="shared" si="331"/>
        <v>0</v>
      </c>
      <c r="I926" s="96">
        <f t="shared" si="331"/>
        <v>0</v>
      </c>
      <c r="J926" s="96">
        <f t="shared" si="331"/>
        <v>0</v>
      </c>
      <c r="K926" s="96">
        <f t="shared" si="331"/>
        <v>0</v>
      </c>
      <c r="L926" s="96">
        <f t="shared" si="331"/>
        <v>0</v>
      </c>
      <c r="M926" s="96">
        <f t="shared" si="331"/>
        <v>0</v>
      </c>
      <c r="N926" s="96">
        <f t="shared" si="331"/>
        <v>0</v>
      </c>
      <c r="O926" s="243"/>
      <c r="P926" s="315"/>
    </row>
    <row r="927" spans="1:18" ht="13.35" customHeight="1" x14ac:dyDescent="0.25">
      <c r="A927" s="287"/>
      <c r="B927" s="93" t="s">
        <v>15</v>
      </c>
      <c r="C927" s="94"/>
      <c r="D927" s="95"/>
      <c r="E927" s="95"/>
      <c r="F927" s="95"/>
      <c r="G927" s="212"/>
      <c r="H927" s="96">
        <f t="shared" si="331"/>
        <v>0</v>
      </c>
      <c r="I927" s="96">
        <f t="shared" si="331"/>
        <v>0</v>
      </c>
      <c r="J927" s="96">
        <f t="shared" si="331"/>
        <v>0</v>
      </c>
      <c r="K927" s="96">
        <f t="shared" si="331"/>
        <v>0</v>
      </c>
      <c r="L927" s="96">
        <f t="shared" si="331"/>
        <v>0</v>
      </c>
      <c r="M927" s="96">
        <f t="shared" si="331"/>
        <v>0</v>
      </c>
      <c r="N927" s="96">
        <f t="shared" si="331"/>
        <v>0</v>
      </c>
      <c r="O927" s="243"/>
      <c r="P927" s="315"/>
    </row>
    <row r="928" spans="1:18" x14ac:dyDescent="0.25">
      <c r="A928" s="288"/>
      <c r="B928" s="93" t="s">
        <v>12</v>
      </c>
      <c r="C928" s="94"/>
      <c r="D928" s="95"/>
      <c r="E928" s="95"/>
      <c r="F928" s="95"/>
      <c r="G928" s="212"/>
      <c r="H928" s="96">
        <f t="shared" si="331"/>
        <v>0</v>
      </c>
      <c r="I928" s="96">
        <f t="shared" si="331"/>
        <v>0</v>
      </c>
      <c r="J928" s="96">
        <f t="shared" si="331"/>
        <v>0</v>
      </c>
      <c r="K928" s="96">
        <f t="shared" si="331"/>
        <v>0</v>
      </c>
      <c r="L928" s="96">
        <f t="shared" si="331"/>
        <v>0</v>
      </c>
      <c r="M928" s="96">
        <f t="shared" si="331"/>
        <v>0</v>
      </c>
      <c r="N928" s="96">
        <f t="shared" si="331"/>
        <v>0</v>
      </c>
      <c r="O928" s="244"/>
      <c r="P928" s="316"/>
    </row>
    <row r="929" spans="1:16" s="53" customFormat="1" x14ac:dyDescent="0.25">
      <c r="A929" s="275" t="s">
        <v>134</v>
      </c>
      <c r="B929" s="276"/>
      <c r="C929" s="276"/>
      <c r="D929" s="276"/>
      <c r="E929" s="276"/>
      <c r="F929" s="276"/>
      <c r="G929" s="276"/>
      <c r="H929" s="276"/>
      <c r="I929" s="276"/>
      <c r="J929" s="276"/>
      <c r="K929" s="276"/>
      <c r="L929" s="276"/>
      <c r="M929" s="276"/>
      <c r="N929" s="276"/>
      <c r="O929" s="276"/>
      <c r="P929" s="277"/>
    </row>
    <row r="930" spans="1:16" s="53" customFormat="1" x14ac:dyDescent="0.25">
      <c r="A930" s="275" t="s">
        <v>180</v>
      </c>
      <c r="B930" s="276"/>
      <c r="C930" s="276"/>
      <c r="D930" s="276"/>
      <c r="E930" s="276"/>
      <c r="F930" s="276"/>
      <c r="G930" s="276"/>
      <c r="H930" s="276"/>
      <c r="I930" s="276"/>
      <c r="J930" s="276"/>
      <c r="K930" s="276"/>
      <c r="L930" s="276"/>
      <c r="M930" s="276"/>
      <c r="N930" s="276"/>
      <c r="O930" s="276"/>
      <c r="P930" s="277"/>
    </row>
    <row r="931" spans="1:16" s="53" customFormat="1" x14ac:dyDescent="0.25">
      <c r="A931" s="275" t="s">
        <v>135</v>
      </c>
      <c r="B931" s="276"/>
      <c r="C931" s="276"/>
      <c r="D931" s="276"/>
      <c r="E931" s="276"/>
      <c r="F931" s="276"/>
      <c r="G931" s="276"/>
      <c r="H931" s="276"/>
      <c r="I931" s="276"/>
      <c r="J931" s="276"/>
      <c r="K931" s="276"/>
      <c r="L931" s="276"/>
      <c r="M931" s="276"/>
      <c r="N931" s="276"/>
      <c r="O931" s="276"/>
      <c r="P931" s="277"/>
    </row>
    <row r="932" spans="1:16" s="53" customFormat="1" ht="13.35" customHeight="1" x14ac:dyDescent="0.25">
      <c r="A932" s="275" t="s">
        <v>136</v>
      </c>
      <c r="B932" s="276"/>
      <c r="C932" s="276"/>
      <c r="D932" s="276"/>
      <c r="E932" s="276"/>
      <c r="F932" s="276"/>
      <c r="G932" s="276"/>
      <c r="H932" s="276"/>
      <c r="I932" s="276"/>
      <c r="J932" s="276"/>
      <c r="K932" s="276"/>
      <c r="L932" s="276"/>
      <c r="M932" s="276"/>
      <c r="N932" s="276"/>
      <c r="O932" s="276"/>
      <c r="P932" s="277"/>
    </row>
    <row r="933" spans="1:16" ht="13.35" customHeight="1" x14ac:dyDescent="0.25">
      <c r="A933" s="265" t="s">
        <v>137</v>
      </c>
      <c r="B933" s="115" t="s">
        <v>106</v>
      </c>
      <c r="C933" s="54"/>
      <c r="D933" s="55"/>
      <c r="E933" s="55"/>
      <c r="F933" s="55"/>
      <c r="G933" s="91"/>
      <c r="H933" s="56" t="s">
        <v>51</v>
      </c>
      <c r="I933" s="56" t="s">
        <v>51</v>
      </c>
      <c r="J933" s="56" t="s">
        <v>51</v>
      </c>
      <c r="K933" s="56" t="s">
        <v>51</v>
      </c>
      <c r="L933" s="56" t="s">
        <v>51</v>
      </c>
      <c r="M933" s="56" t="s">
        <v>51</v>
      </c>
      <c r="N933" s="56" t="s">
        <v>51</v>
      </c>
      <c r="O933" s="267" t="s">
        <v>402</v>
      </c>
      <c r="P933" s="267" t="s">
        <v>322</v>
      </c>
    </row>
    <row r="934" spans="1:16" ht="26.4" x14ac:dyDescent="0.25">
      <c r="A934" s="265"/>
      <c r="B934" s="115" t="s">
        <v>86</v>
      </c>
      <c r="C934" s="54"/>
      <c r="D934" s="55"/>
      <c r="E934" s="55"/>
      <c r="F934" s="55"/>
      <c r="G934" s="91"/>
      <c r="H934" s="56" t="s">
        <v>51</v>
      </c>
      <c r="I934" s="56" t="s">
        <v>229</v>
      </c>
      <c r="J934" s="56" t="s">
        <v>229</v>
      </c>
      <c r="K934" s="56" t="s">
        <v>229</v>
      </c>
      <c r="L934" s="56" t="s">
        <v>229</v>
      </c>
      <c r="M934" s="56" t="s">
        <v>51</v>
      </c>
      <c r="N934" s="56" t="s">
        <v>51</v>
      </c>
      <c r="O934" s="267"/>
      <c r="P934" s="267"/>
    </row>
    <row r="935" spans="1:16" ht="13.35" customHeight="1" x14ac:dyDescent="0.25">
      <c r="A935" s="265"/>
      <c r="B935" s="115" t="s">
        <v>74</v>
      </c>
      <c r="C935" s="54"/>
      <c r="D935" s="55"/>
      <c r="E935" s="55"/>
      <c r="F935" s="55"/>
      <c r="G935" s="91"/>
      <c r="H935" s="56">
        <f>SUM(H936:H943)</f>
        <v>2500</v>
      </c>
      <c r="I935" s="56">
        <f t="shared" ref="I935:N935" si="332">SUM(I936:I943)</f>
        <v>100</v>
      </c>
      <c r="J935" s="56">
        <f t="shared" si="332"/>
        <v>2200</v>
      </c>
      <c r="K935" s="56">
        <f t="shared" si="332"/>
        <v>0</v>
      </c>
      <c r="L935" s="56">
        <f t="shared" si="332"/>
        <v>200</v>
      </c>
      <c r="M935" s="56">
        <f t="shared" si="332"/>
        <v>33860.6</v>
      </c>
      <c r="N935" s="56">
        <f t="shared" si="332"/>
        <v>33860.6</v>
      </c>
      <c r="O935" s="267"/>
      <c r="P935" s="267"/>
    </row>
    <row r="936" spans="1:16" x14ac:dyDescent="0.25">
      <c r="A936" s="265"/>
      <c r="B936" s="235" t="s">
        <v>16</v>
      </c>
      <c r="C936" s="60" t="str">
        <f>C947</f>
        <v>136</v>
      </c>
      <c r="D936" s="60" t="str">
        <f t="shared" ref="C936:G938" si="333">D947</f>
        <v>07</v>
      </c>
      <c r="E936" s="60" t="str">
        <f t="shared" si="333"/>
        <v>09</v>
      </c>
      <c r="F936" s="60" t="str">
        <f t="shared" si="333"/>
        <v>0730103550</v>
      </c>
      <c r="G936" s="60" t="str">
        <f t="shared" si="333"/>
        <v>242</v>
      </c>
      <c r="H936" s="56">
        <f>H947</f>
        <v>0</v>
      </c>
      <c r="I936" s="56">
        <f t="shared" ref="I936:N938" si="334">I947</f>
        <v>0</v>
      </c>
      <c r="J936" s="56">
        <f t="shared" si="334"/>
        <v>0</v>
      </c>
      <c r="K936" s="56">
        <f t="shared" si="334"/>
        <v>0</v>
      </c>
      <c r="L936" s="56">
        <f t="shared" si="334"/>
        <v>0</v>
      </c>
      <c r="M936" s="56">
        <f t="shared" si="334"/>
        <v>2000</v>
      </c>
      <c r="N936" s="56">
        <f t="shared" si="334"/>
        <v>2000</v>
      </c>
      <c r="O936" s="267"/>
      <c r="P936" s="267"/>
    </row>
    <row r="937" spans="1:16" ht="13.35" customHeight="1" x14ac:dyDescent="0.25">
      <c r="A937" s="265"/>
      <c r="B937" s="237"/>
      <c r="C937" s="60" t="str">
        <f t="shared" si="333"/>
        <v>136</v>
      </c>
      <c r="D937" s="60" t="str">
        <f t="shared" si="333"/>
        <v>07</v>
      </c>
      <c r="E937" s="60" t="str">
        <f t="shared" si="333"/>
        <v>09</v>
      </c>
      <c r="F937" s="60" t="str">
        <f t="shared" si="333"/>
        <v>0730103550</v>
      </c>
      <c r="G937" s="60" t="str">
        <f t="shared" si="333"/>
        <v>244</v>
      </c>
      <c r="H937" s="56">
        <f>H948</f>
        <v>0</v>
      </c>
      <c r="I937" s="56">
        <f t="shared" si="334"/>
        <v>0</v>
      </c>
      <c r="J937" s="56">
        <f t="shared" si="334"/>
        <v>0</v>
      </c>
      <c r="K937" s="56">
        <f t="shared" si="334"/>
        <v>0</v>
      </c>
      <c r="L937" s="56">
        <f t="shared" si="334"/>
        <v>0</v>
      </c>
      <c r="M937" s="56">
        <f t="shared" si="334"/>
        <v>9360.6</v>
      </c>
      <c r="N937" s="56">
        <f t="shared" si="334"/>
        <v>9360.6</v>
      </c>
      <c r="O937" s="267"/>
      <c r="P937" s="267"/>
    </row>
    <row r="938" spans="1:16" x14ac:dyDescent="0.25">
      <c r="A938" s="265"/>
      <c r="B938" s="237"/>
      <c r="C938" s="60" t="str">
        <f t="shared" si="333"/>
        <v>136</v>
      </c>
      <c r="D938" s="60" t="str">
        <f t="shared" si="333"/>
        <v>07</v>
      </c>
      <c r="E938" s="60" t="str">
        <f t="shared" si="333"/>
        <v>09</v>
      </c>
      <c r="F938" s="60" t="str">
        <f t="shared" si="333"/>
        <v>0730103550</v>
      </c>
      <c r="G938" s="60" t="str">
        <f t="shared" si="333"/>
        <v>622</v>
      </c>
      <c r="H938" s="56">
        <f>H949</f>
        <v>2000</v>
      </c>
      <c r="I938" s="56">
        <f t="shared" si="334"/>
        <v>0</v>
      </c>
      <c r="J938" s="56">
        <f t="shared" si="334"/>
        <v>2000</v>
      </c>
      <c r="K938" s="56">
        <f t="shared" si="334"/>
        <v>0</v>
      </c>
      <c r="L938" s="56">
        <f t="shared" si="334"/>
        <v>0</v>
      </c>
      <c r="M938" s="56">
        <f t="shared" si="334"/>
        <v>2000</v>
      </c>
      <c r="N938" s="56">
        <f t="shared" si="334"/>
        <v>2000</v>
      </c>
      <c r="O938" s="267"/>
      <c r="P938" s="267"/>
    </row>
    <row r="939" spans="1:16" x14ac:dyDescent="0.25">
      <c r="A939" s="265"/>
      <c r="B939" s="237"/>
      <c r="C939" s="60" t="str">
        <f>C963</f>
        <v>136</v>
      </c>
      <c r="D939" s="60" t="str">
        <f t="shared" ref="D939:N939" si="335">D963</f>
        <v>07</v>
      </c>
      <c r="E939" s="60" t="str">
        <f t="shared" si="335"/>
        <v>09</v>
      </c>
      <c r="F939" s="60" t="str">
        <f t="shared" si="335"/>
        <v>0730103550</v>
      </c>
      <c r="G939" s="60" t="str">
        <f t="shared" si="335"/>
        <v>812</v>
      </c>
      <c r="H939" s="56">
        <f t="shared" si="335"/>
        <v>0</v>
      </c>
      <c r="I939" s="56">
        <f t="shared" si="335"/>
        <v>0</v>
      </c>
      <c r="J939" s="56">
        <f t="shared" si="335"/>
        <v>0</v>
      </c>
      <c r="K939" s="56">
        <f t="shared" si="335"/>
        <v>0</v>
      </c>
      <c r="L939" s="56">
        <f t="shared" si="335"/>
        <v>0</v>
      </c>
      <c r="M939" s="56">
        <f t="shared" si="335"/>
        <v>20000</v>
      </c>
      <c r="N939" s="56">
        <f t="shared" si="335"/>
        <v>20000</v>
      </c>
      <c r="O939" s="267"/>
      <c r="P939" s="267"/>
    </row>
    <row r="940" spans="1:16" x14ac:dyDescent="0.25">
      <c r="A940" s="265"/>
      <c r="B940" s="237"/>
      <c r="C940" s="60" t="str">
        <f>C956</f>
        <v>131</v>
      </c>
      <c r="D940" s="60" t="str">
        <f>D956</f>
        <v>08</v>
      </c>
      <c r="E940" s="60" t="str">
        <f>E956</f>
        <v>01</v>
      </c>
      <c r="F940" s="60" t="str">
        <f>F956</f>
        <v>0730103679</v>
      </c>
      <c r="G940" s="60">
        <v>622</v>
      </c>
      <c r="H940" s="56">
        <f t="shared" ref="H940:N940" si="336">H956</f>
        <v>500</v>
      </c>
      <c r="I940" s="56">
        <f t="shared" si="336"/>
        <v>100</v>
      </c>
      <c r="J940" s="56">
        <f t="shared" si="336"/>
        <v>200</v>
      </c>
      <c r="K940" s="56">
        <f t="shared" si="336"/>
        <v>0</v>
      </c>
      <c r="L940" s="56">
        <f t="shared" si="336"/>
        <v>200</v>
      </c>
      <c r="M940" s="56">
        <f t="shared" si="336"/>
        <v>500</v>
      </c>
      <c r="N940" s="56">
        <f t="shared" si="336"/>
        <v>500</v>
      </c>
      <c r="O940" s="267"/>
      <c r="P940" s="267"/>
    </row>
    <row r="941" spans="1:16" x14ac:dyDescent="0.25">
      <c r="A941" s="265"/>
      <c r="B941" s="115" t="s">
        <v>14</v>
      </c>
      <c r="C941" s="91"/>
      <c r="D941" s="91"/>
      <c r="E941" s="91"/>
      <c r="F941" s="91"/>
      <c r="G941" s="91"/>
      <c r="H941" s="56">
        <f>H950+H957</f>
        <v>0</v>
      </c>
      <c r="I941" s="56">
        <f t="shared" ref="I941:N943" si="337">I950+I957</f>
        <v>0</v>
      </c>
      <c r="J941" s="56">
        <f t="shared" si="337"/>
        <v>0</v>
      </c>
      <c r="K941" s="56">
        <f t="shared" si="337"/>
        <v>0</v>
      </c>
      <c r="L941" s="56">
        <f t="shared" si="337"/>
        <v>0</v>
      </c>
      <c r="M941" s="56">
        <f t="shared" si="337"/>
        <v>0</v>
      </c>
      <c r="N941" s="56">
        <f t="shared" si="337"/>
        <v>0</v>
      </c>
      <c r="O941" s="267"/>
      <c r="P941" s="267"/>
    </row>
    <row r="942" spans="1:16" x14ac:dyDescent="0.25">
      <c r="A942" s="265"/>
      <c r="B942" s="115" t="s">
        <v>15</v>
      </c>
      <c r="C942" s="91">
        <v>136</v>
      </c>
      <c r="D942" s="91"/>
      <c r="E942" s="91"/>
      <c r="F942" s="91"/>
      <c r="G942" s="91"/>
      <c r="H942" s="56">
        <f>H951+H958</f>
        <v>0</v>
      </c>
      <c r="I942" s="56">
        <f t="shared" si="337"/>
        <v>0</v>
      </c>
      <c r="J942" s="56">
        <f t="shared" si="337"/>
        <v>0</v>
      </c>
      <c r="K942" s="56">
        <f t="shared" si="337"/>
        <v>0</v>
      </c>
      <c r="L942" s="56">
        <f t="shared" si="337"/>
        <v>0</v>
      </c>
      <c r="M942" s="56">
        <f t="shared" si="337"/>
        <v>0</v>
      </c>
      <c r="N942" s="56">
        <f t="shared" si="337"/>
        <v>0</v>
      </c>
      <c r="O942" s="267"/>
      <c r="P942" s="267"/>
    </row>
    <row r="943" spans="1:16" ht="57.75" customHeight="1" x14ac:dyDescent="0.25">
      <c r="A943" s="265"/>
      <c r="B943" s="115" t="s">
        <v>12</v>
      </c>
      <c r="C943" s="91"/>
      <c r="D943" s="91"/>
      <c r="E943" s="91"/>
      <c r="F943" s="91"/>
      <c r="G943" s="91"/>
      <c r="H943" s="56">
        <f>H952+H959</f>
        <v>0</v>
      </c>
      <c r="I943" s="56">
        <f t="shared" si="337"/>
        <v>0</v>
      </c>
      <c r="J943" s="56">
        <f t="shared" si="337"/>
        <v>0</v>
      </c>
      <c r="K943" s="56">
        <f t="shared" si="337"/>
        <v>0</v>
      </c>
      <c r="L943" s="56">
        <f t="shared" si="337"/>
        <v>0</v>
      </c>
      <c r="M943" s="56">
        <f t="shared" si="337"/>
        <v>0</v>
      </c>
      <c r="N943" s="56">
        <f t="shared" si="337"/>
        <v>0</v>
      </c>
      <c r="O943" s="267"/>
      <c r="P943" s="267"/>
    </row>
    <row r="944" spans="1:16" x14ac:dyDescent="0.25">
      <c r="A944" s="264" t="s">
        <v>153</v>
      </c>
      <c r="B944" s="190" t="s">
        <v>195</v>
      </c>
      <c r="C944" s="4"/>
      <c r="D944" s="5"/>
      <c r="E944" s="5"/>
      <c r="F944" s="5"/>
      <c r="G944" s="12"/>
      <c r="H944" s="11">
        <v>2</v>
      </c>
      <c r="I944" s="11">
        <v>0</v>
      </c>
      <c r="J944" s="11">
        <v>1</v>
      </c>
      <c r="K944" s="11">
        <v>1</v>
      </c>
      <c r="L944" s="11">
        <v>0</v>
      </c>
      <c r="M944" s="11">
        <v>2</v>
      </c>
      <c r="N944" s="9">
        <v>2</v>
      </c>
      <c r="O944" s="268" t="s">
        <v>220</v>
      </c>
      <c r="P944" s="242" t="s">
        <v>323</v>
      </c>
    </row>
    <row r="945" spans="1:16" ht="26.4" x14ac:dyDescent="0.25">
      <c r="A945" s="264"/>
      <c r="B945" s="190" t="s">
        <v>87</v>
      </c>
      <c r="C945" s="4"/>
      <c r="D945" s="5"/>
      <c r="E945" s="5"/>
      <c r="F945" s="5"/>
      <c r="G945" s="12"/>
      <c r="H945" s="9">
        <f t="shared" ref="H945:N945" si="338">ROUND(H946/H944,1)</f>
        <v>1000</v>
      </c>
      <c r="I945" s="9" t="s">
        <v>229</v>
      </c>
      <c r="J945" s="9" t="s">
        <v>229</v>
      </c>
      <c r="K945" s="9" t="s">
        <v>229</v>
      </c>
      <c r="L945" s="9" t="s">
        <v>229</v>
      </c>
      <c r="M945" s="9">
        <f t="shared" si="338"/>
        <v>6680.3</v>
      </c>
      <c r="N945" s="9">
        <f t="shared" si="338"/>
        <v>6680.3</v>
      </c>
      <c r="O945" s="268"/>
      <c r="P945" s="243"/>
    </row>
    <row r="946" spans="1:16" x14ac:dyDescent="0.25">
      <c r="A946" s="264"/>
      <c r="B946" s="190" t="s">
        <v>74</v>
      </c>
      <c r="C946" s="4"/>
      <c r="D946" s="5"/>
      <c r="E946" s="5"/>
      <c r="F946" s="5"/>
      <c r="G946" s="12"/>
      <c r="H946" s="9">
        <f t="shared" ref="H946:N946" si="339">SUM(H947:H952)</f>
        <v>2000</v>
      </c>
      <c r="I946" s="9">
        <f t="shared" si="339"/>
        <v>0</v>
      </c>
      <c r="J946" s="9">
        <f t="shared" si="339"/>
        <v>2000</v>
      </c>
      <c r="K946" s="9">
        <f t="shared" si="339"/>
        <v>0</v>
      </c>
      <c r="L946" s="9">
        <f t="shared" si="339"/>
        <v>0</v>
      </c>
      <c r="M946" s="9">
        <f t="shared" si="339"/>
        <v>13360.6</v>
      </c>
      <c r="N946" s="9">
        <f t="shared" si="339"/>
        <v>13360.6</v>
      </c>
      <c r="O946" s="268"/>
      <c r="P946" s="243"/>
    </row>
    <row r="947" spans="1:16" x14ac:dyDescent="0.25">
      <c r="A947" s="264"/>
      <c r="B947" s="241" t="s">
        <v>16</v>
      </c>
      <c r="C947" s="6" t="s">
        <v>41</v>
      </c>
      <c r="D947" s="5" t="s">
        <v>233</v>
      </c>
      <c r="E947" s="6" t="s">
        <v>235</v>
      </c>
      <c r="F947" s="6" t="s">
        <v>266</v>
      </c>
      <c r="G947" s="13" t="s">
        <v>64</v>
      </c>
      <c r="H947" s="9">
        <f t="shared" ref="H947:H952" si="340">I947+J947+K947+L947</f>
        <v>0</v>
      </c>
      <c r="I947" s="9">
        <v>0</v>
      </c>
      <c r="J947" s="9">
        <v>0</v>
      </c>
      <c r="K947" s="9">
        <f>2000-2000</f>
        <v>0</v>
      </c>
      <c r="L947" s="9">
        <v>0</v>
      </c>
      <c r="M947" s="9">
        <v>2000</v>
      </c>
      <c r="N947" s="9">
        <v>2000</v>
      </c>
      <c r="O947" s="268"/>
      <c r="P947" s="243"/>
    </row>
    <row r="948" spans="1:16" x14ac:dyDescent="0.25">
      <c r="A948" s="264"/>
      <c r="B948" s="241"/>
      <c r="C948" s="6" t="s">
        <v>41</v>
      </c>
      <c r="D948" s="5" t="s">
        <v>233</v>
      </c>
      <c r="E948" s="6" t="s">
        <v>235</v>
      </c>
      <c r="F948" s="6" t="s">
        <v>266</v>
      </c>
      <c r="G948" s="13" t="s">
        <v>47</v>
      </c>
      <c r="H948" s="9">
        <f t="shared" si="340"/>
        <v>0</v>
      </c>
      <c r="I948" s="9">
        <v>0</v>
      </c>
      <c r="J948" s="9">
        <f>4462.6-602+500-4360.6</f>
        <v>0</v>
      </c>
      <c r="K948" s="9">
        <f>5000-5000</f>
        <v>0</v>
      </c>
      <c r="L948" s="9">
        <v>0</v>
      </c>
      <c r="M948" s="9">
        <v>9360.6</v>
      </c>
      <c r="N948" s="9">
        <v>9360.6</v>
      </c>
      <c r="O948" s="268"/>
      <c r="P948" s="243"/>
    </row>
    <row r="949" spans="1:16" x14ac:dyDescent="0.25">
      <c r="A949" s="264"/>
      <c r="B949" s="241"/>
      <c r="C949" s="6" t="s">
        <v>41</v>
      </c>
      <c r="D949" s="5" t="s">
        <v>233</v>
      </c>
      <c r="E949" s="6" t="s">
        <v>235</v>
      </c>
      <c r="F949" s="6" t="s">
        <v>266</v>
      </c>
      <c r="G949" s="13" t="s">
        <v>45</v>
      </c>
      <c r="H949" s="9">
        <f t="shared" si="340"/>
        <v>2000</v>
      </c>
      <c r="I949" s="9">
        <v>0</v>
      </c>
      <c r="J949" s="9">
        <v>2000</v>
      </c>
      <c r="K949" s="9">
        <v>0</v>
      </c>
      <c r="L949" s="9">
        <v>0</v>
      </c>
      <c r="M949" s="9">
        <v>2000</v>
      </c>
      <c r="N949" s="9">
        <v>2000</v>
      </c>
      <c r="O949" s="268"/>
      <c r="P949" s="243"/>
    </row>
    <row r="950" spans="1:16" x14ac:dyDescent="0.25">
      <c r="A950" s="264"/>
      <c r="B950" s="190" t="s">
        <v>14</v>
      </c>
      <c r="C950" s="4"/>
      <c r="D950" s="5"/>
      <c r="E950" s="5"/>
      <c r="F950" s="5"/>
      <c r="G950" s="12"/>
      <c r="H950" s="9">
        <f t="shared" si="340"/>
        <v>0</v>
      </c>
      <c r="I950" s="9">
        <v>0</v>
      </c>
      <c r="J950" s="9">
        <v>0</v>
      </c>
      <c r="K950" s="9">
        <v>0</v>
      </c>
      <c r="L950" s="9">
        <v>0</v>
      </c>
      <c r="M950" s="9">
        <v>0</v>
      </c>
      <c r="N950" s="9">
        <v>0</v>
      </c>
      <c r="O950" s="268"/>
      <c r="P950" s="243"/>
    </row>
    <row r="951" spans="1:16" x14ac:dyDescent="0.25">
      <c r="A951" s="264"/>
      <c r="B951" s="190" t="s">
        <v>15</v>
      </c>
      <c r="C951" s="4"/>
      <c r="D951" s="5"/>
      <c r="E951" s="5"/>
      <c r="F951" s="5"/>
      <c r="G951" s="12"/>
      <c r="H951" s="9">
        <f t="shared" si="340"/>
        <v>0</v>
      </c>
      <c r="I951" s="9">
        <v>0</v>
      </c>
      <c r="J951" s="9">
        <v>0</v>
      </c>
      <c r="K951" s="9">
        <v>0</v>
      </c>
      <c r="L951" s="9">
        <v>0</v>
      </c>
      <c r="M951" s="9">
        <v>0</v>
      </c>
      <c r="N951" s="9">
        <v>0</v>
      </c>
      <c r="O951" s="268"/>
      <c r="P951" s="243"/>
    </row>
    <row r="952" spans="1:16" x14ac:dyDescent="0.25">
      <c r="A952" s="264"/>
      <c r="B952" s="190" t="s">
        <v>12</v>
      </c>
      <c r="C952" s="4"/>
      <c r="D952" s="5"/>
      <c r="E952" s="5"/>
      <c r="F952" s="5"/>
      <c r="G952" s="12"/>
      <c r="H952" s="9">
        <f t="shared" si="340"/>
        <v>0</v>
      </c>
      <c r="I952" s="9">
        <v>0</v>
      </c>
      <c r="J952" s="9">
        <v>0</v>
      </c>
      <c r="K952" s="9">
        <v>0</v>
      </c>
      <c r="L952" s="9">
        <v>0</v>
      </c>
      <c r="M952" s="9">
        <v>0</v>
      </c>
      <c r="N952" s="9">
        <v>0</v>
      </c>
      <c r="O952" s="268"/>
      <c r="P952" s="244"/>
    </row>
    <row r="953" spans="1:16" x14ac:dyDescent="0.25">
      <c r="A953" s="241" t="s">
        <v>216</v>
      </c>
      <c r="B953" s="71" t="s">
        <v>195</v>
      </c>
      <c r="C953" s="4"/>
      <c r="D953" s="5"/>
      <c r="E953" s="5"/>
      <c r="F953" s="5"/>
      <c r="G953" s="12"/>
      <c r="H953" s="9">
        <v>1</v>
      </c>
      <c r="I953" s="9">
        <v>0</v>
      </c>
      <c r="J953" s="9">
        <v>0</v>
      </c>
      <c r="K953" s="9">
        <v>0</v>
      </c>
      <c r="L953" s="9">
        <v>1</v>
      </c>
      <c r="M953" s="9">
        <v>1</v>
      </c>
      <c r="N953" s="9">
        <v>1</v>
      </c>
      <c r="O953" s="242" t="s">
        <v>351</v>
      </c>
      <c r="P953" s="242" t="s">
        <v>324</v>
      </c>
    </row>
    <row r="954" spans="1:16" ht="26.4" x14ac:dyDescent="0.25">
      <c r="A954" s="241"/>
      <c r="B954" s="71" t="s">
        <v>84</v>
      </c>
      <c r="C954" s="4"/>
      <c r="D954" s="5"/>
      <c r="E954" s="5"/>
      <c r="F954" s="5"/>
      <c r="G954" s="12"/>
      <c r="H954" s="9">
        <f t="shared" ref="H954:N954" si="341">ROUND(H955/H953,1)</f>
        <v>500</v>
      </c>
      <c r="I954" s="9" t="s">
        <v>229</v>
      </c>
      <c r="J954" s="9" t="s">
        <v>229</v>
      </c>
      <c r="K954" s="9" t="s">
        <v>229</v>
      </c>
      <c r="L954" s="9" t="s">
        <v>229</v>
      </c>
      <c r="M954" s="9">
        <f t="shared" si="341"/>
        <v>500</v>
      </c>
      <c r="N954" s="9">
        <f t="shared" si="341"/>
        <v>500</v>
      </c>
      <c r="O954" s="243"/>
      <c r="P954" s="243"/>
    </row>
    <row r="955" spans="1:16" x14ac:dyDescent="0.25">
      <c r="A955" s="241"/>
      <c r="B955" s="71" t="s">
        <v>74</v>
      </c>
      <c r="C955" s="4"/>
      <c r="D955" s="5"/>
      <c r="E955" s="5"/>
      <c r="F955" s="5"/>
      <c r="G955" s="12"/>
      <c r="H955" s="9">
        <f t="shared" ref="H955:N955" si="342">SUM(H956:H959)</f>
        <v>500</v>
      </c>
      <c r="I955" s="9">
        <f t="shared" si="342"/>
        <v>100</v>
      </c>
      <c r="J955" s="9">
        <f t="shared" si="342"/>
        <v>200</v>
      </c>
      <c r="K955" s="9">
        <f t="shared" si="342"/>
        <v>0</v>
      </c>
      <c r="L955" s="9">
        <f t="shared" si="342"/>
        <v>200</v>
      </c>
      <c r="M955" s="9">
        <f t="shared" si="342"/>
        <v>500</v>
      </c>
      <c r="N955" s="9">
        <f t="shared" si="342"/>
        <v>500</v>
      </c>
      <c r="O955" s="243"/>
      <c r="P955" s="243"/>
    </row>
    <row r="956" spans="1:16" x14ac:dyDescent="0.25">
      <c r="A956" s="241"/>
      <c r="B956" s="71" t="s">
        <v>16</v>
      </c>
      <c r="C956" s="13" t="s">
        <v>43</v>
      </c>
      <c r="D956" s="5" t="s">
        <v>241</v>
      </c>
      <c r="E956" s="6" t="s">
        <v>232</v>
      </c>
      <c r="F956" s="6" t="s">
        <v>273</v>
      </c>
      <c r="G956" s="13" t="s">
        <v>45</v>
      </c>
      <c r="H956" s="9">
        <f>I956+J956+K956+L956</f>
        <v>500</v>
      </c>
      <c r="I956" s="9">
        <v>100</v>
      </c>
      <c r="J956" s="9">
        <v>200</v>
      </c>
      <c r="K956" s="9">
        <v>0</v>
      </c>
      <c r="L956" s="9">
        <v>200</v>
      </c>
      <c r="M956" s="9">
        <v>500</v>
      </c>
      <c r="N956" s="9">
        <v>500</v>
      </c>
      <c r="O956" s="243"/>
      <c r="P956" s="243"/>
    </row>
    <row r="957" spans="1:16" x14ac:dyDescent="0.25">
      <c r="A957" s="241"/>
      <c r="B957" s="71" t="s">
        <v>14</v>
      </c>
      <c r="C957" s="4"/>
      <c r="D957" s="5"/>
      <c r="E957" s="5"/>
      <c r="F957" s="5"/>
      <c r="G957" s="12"/>
      <c r="H957" s="9">
        <f>I957+J957+K957+L957</f>
        <v>0</v>
      </c>
      <c r="I957" s="9">
        <v>0</v>
      </c>
      <c r="J957" s="9">
        <v>0</v>
      </c>
      <c r="K957" s="9">
        <v>0</v>
      </c>
      <c r="L957" s="9">
        <v>0</v>
      </c>
      <c r="M957" s="9">
        <v>0</v>
      </c>
      <c r="N957" s="9">
        <v>0</v>
      </c>
      <c r="O957" s="243"/>
      <c r="P957" s="243"/>
    </row>
    <row r="958" spans="1:16" x14ac:dyDescent="0.25">
      <c r="A958" s="241"/>
      <c r="B958" s="71" t="s">
        <v>15</v>
      </c>
      <c r="C958" s="4"/>
      <c r="D958" s="5"/>
      <c r="E958" s="5"/>
      <c r="F958" s="5"/>
      <c r="G958" s="12"/>
      <c r="H958" s="9">
        <f>I958+J958+K958+L958</f>
        <v>0</v>
      </c>
      <c r="I958" s="9">
        <v>0</v>
      </c>
      <c r="J958" s="9">
        <v>0</v>
      </c>
      <c r="K958" s="9">
        <v>0</v>
      </c>
      <c r="L958" s="9">
        <v>0</v>
      </c>
      <c r="M958" s="9">
        <v>0</v>
      </c>
      <c r="N958" s="9">
        <v>0</v>
      </c>
      <c r="O958" s="243"/>
      <c r="P958" s="243"/>
    </row>
    <row r="959" spans="1:16" ht="46.5" customHeight="1" x14ac:dyDescent="0.25">
      <c r="A959" s="241"/>
      <c r="B959" s="71" t="s">
        <v>12</v>
      </c>
      <c r="C959" s="4"/>
      <c r="D959" s="5"/>
      <c r="E959" s="5"/>
      <c r="F959" s="5"/>
      <c r="G959" s="12"/>
      <c r="H959" s="9">
        <f>I959+J959+K959+L959</f>
        <v>0</v>
      </c>
      <c r="I959" s="9">
        <v>0</v>
      </c>
      <c r="J959" s="9">
        <v>0</v>
      </c>
      <c r="K959" s="9">
        <v>0</v>
      </c>
      <c r="L959" s="9">
        <v>0</v>
      </c>
      <c r="M959" s="9">
        <v>0</v>
      </c>
      <c r="N959" s="9">
        <v>0</v>
      </c>
      <c r="O959" s="244"/>
      <c r="P959" s="244"/>
    </row>
    <row r="960" spans="1:16" ht="43.5" customHeight="1" x14ac:dyDescent="0.25">
      <c r="A960" s="241" t="s">
        <v>227</v>
      </c>
      <c r="B960" s="71" t="s">
        <v>224</v>
      </c>
      <c r="C960" s="4"/>
      <c r="D960" s="5"/>
      <c r="E960" s="5"/>
      <c r="F960" s="5"/>
      <c r="G960" s="12"/>
      <c r="H960" s="11">
        <v>2</v>
      </c>
      <c r="I960" s="11">
        <v>0</v>
      </c>
      <c r="J960" s="11">
        <v>0</v>
      </c>
      <c r="K960" s="11">
        <v>2</v>
      </c>
      <c r="L960" s="11">
        <v>0</v>
      </c>
      <c r="M960" s="11">
        <v>2</v>
      </c>
      <c r="N960" s="11">
        <v>2</v>
      </c>
      <c r="O960" s="242" t="s">
        <v>369</v>
      </c>
      <c r="P960" s="242" t="s">
        <v>325</v>
      </c>
    </row>
    <row r="961" spans="1:16" ht="36" customHeight="1" x14ac:dyDescent="0.25">
      <c r="A961" s="241"/>
      <c r="B961" s="71" t="s">
        <v>84</v>
      </c>
      <c r="C961" s="4"/>
      <c r="D961" s="5"/>
      <c r="E961" s="5"/>
      <c r="F961" s="5"/>
      <c r="G961" s="12"/>
      <c r="H961" s="9">
        <f t="shared" ref="H961:N961" si="343">ROUND(H962/H960,1)</f>
        <v>0</v>
      </c>
      <c r="I961" s="9" t="s">
        <v>229</v>
      </c>
      <c r="J961" s="9" t="s">
        <v>229</v>
      </c>
      <c r="K961" s="9" t="s">
        <v>229</v>
      </c>
      <c r="L961" s="9" t="s">
        <v>229</v>
      </c>
      <c r="M961" s="9">
        <f t="shared" si="343"/>
        <v>10000</v>
      </c>
      <c r="N961" s="9">
        <f t="shared" si="343"/>
        <v>10000</v>
      </c>
      <c r="O961" s="243"/>
      <c r="P961" s="243"/>
    </row>
    <row r="962" spans="1:16" x14ac:dyDescent="0.25">
      <c r="A962" s="241"/>
      <c r="B962" s="71" t="s">
        <v>74</v>
      </c>
      <c r="C962" s="4"/>
      <c r="D962" s="5"/>
      <c r="E962" s="5"/>
      <c r="F962" s="5"/>
      <c r="G962" s="12"/>
      <c r="H962" s="9">
        <f t="shared" ref="H962:N962" si="344">SUM(H963:H966)</f>
        <v>0</v>
      </c>
      <c r="I962" s="9">
        <f t="shared" si="344"/>
        <v>0</v>
      </c>
      <c r="J962" s="9">
        <f t="shared" si="344"/>
        <v>0</v>
      </c>
      <c r="K962" s="9">
        <f t="shared" si="344"/>
        <v>0</v>
      </c>
      <c r="L962" s="9">
        <f t="shared" si="344"/>
        <v>0</v>
      </c>
      <c r="M962" s="9">
        <f t="shared" si="344"/>
        <v>20000</v>
      </c>
      <c r="N962" s="9">
        <f t="shared" si="344"/>
        <v>20000</v>
      </c>
      <c r="O962" s="243"/>
      <c r="P962" s="243"/>
    </row>
    <row r="963" spans="1:16" x14ac:dyDescent="0.25">
      <c r="A963" s="241"/>
      <c r="B963" s="71" t="s">
        <v>16</v>
      </c>
      <c r="C963" s="6" t="s">
        <v>41</v>
      </c>
      <c r="D963" s="5" t="s">
        <v>233</v>
      </c>
      <c r="E963" s="6" t="s">
        <v>235</v>
      </c>
      <c r="F963" s="6" t="s">
        <v>266</v>
      </c>
      <c r="G963" s="13" t="s">
        <v>202</v>
      </c>
      <c r="H963" s="9">
        <f>I963+J963+K963+L963</f>
        <v>0</v>
      </c>
      <c r="I963" s="9">
        <v>0</v>
      </c>
      <c r="J963" s="9">
        <v>0</v>
      </c>
      <c r="K963" s="9">
        <f>20000-20000</f>
        <v>0</v>
      </c>
      <c r="L963" s="9">
        <v>0</v>
      </c>
      <c r="M963" s="9">
        <v>20000</v>
      </c>
      <c r="N963" s="9">
        <v>20000</v>
      </c>
      <c r="O963" s="243"/>
      <c r="P963" s="243"/>
    </row>
    <row r="964" spans="1:16" x14ac:dyDescent="0.25">
      <c r="A964" s="241"/>
      <c r="B964" s="71" t="s">
        <v>14</v>
      </c>
      <c r="C964" s="4"/>
      <c r="D964" s="5"/>
      <c r="E964" s="5"/>
      <c r="F964" s="5"/>
      <c r="G964" s="12"/>
      <c r="H964" s="9">
        <f>I964+J964+K964+L964</f>
        <v>0</v>
      </c>
      <c r="I964" s="9">
        <v>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243"/>
      <c r="P964" s="243"/>
    </row>
    <row r="965" spans="1:16" ht="22.5" customHeight="1" x14ac:dyDescent="0.25">
      <c r="A965" s="241"/>
      <c r="B965" s="71" t="s">
        <v>15</v>
      </c>
      <c r="C965" s="4"/>
      <c r="D965" s="5"/>
      <c r="E965" s="5"/>
      <c r="F965" s="5"/>
      <c r="G965" s="12"/>
      <c r="H965" s="9">
        <f>I965+J965+K965+L965</f>
        <v>0</v>
      </c>
      <c r="I965" s="9">
        <v>0</v>
      </c>
      <c r="J965" s="9">
        <v>0</v>
      </c>
      <c r="K965" s="9">
        <v>0</v>
      </c>
      <c r="L965" s="9">
        <v>0</v>
      </c>
      <c r="M965" s="9">
        <v>0</v>
      </c>
      <c r="N965" s="9">
        <v>0</v>
      </c>
      <c r="O965" s="243"/>
      <c r="P965" s="243"/>
    </row>
    <row r="966" spans="1:16" ht="82.5" customHeight="1" x14ac:dyDescent="0.25">
      <c r="A966" s="241"/>
      <c r="B966" s="71" t="s">
        <v>12</v>
      </c>
      <c r="C966" s="4"/>
      <c r="D966" s="5"/>
      <c r="E966" s="5"/>
      <c r="F966" s="5"/>
      <c r="G966" s="12"/>
      <c r="H966" s="9">
        <f>I966+J966+K966+L966</f>
        <v>0</v>
      </c>
      <c r="I966" s="9">
        <v>0</v>
      </c>
      <c r="J966" s="9">
        <v>0</v>
      </c>
      <c r="K966" s="9">
        <v>0</v>
      </c>
      <c r="L966" s="9">
        <v>0</v>
      </c>
      <c r="M966" s="9">
        <v>0</v>
      </c>
      <c r="N966" s="9">
        <v>0</v>
      </c>
      <c r="O966" s="244"/>
      <c r="P966" s="244"/>
    </row>
    <row r="967" spans="1:16" ht="26.4" x14ac:dyDescent="0.25">
      <c r="A967" s="241" t="s">
        <v>138</v>
      </c>
      <c r="B967" s="190" t="s">
        <v>106</v>
      </c>
      <c r="C967" s="4"/>
      <c r="D967" s="5"/>
      <c r="E967" s="5"/>
      <c r="F967" s="5"/>
      <c r="G967" s="12"/>
      <c r="H967" s="9" t="s">
        <v>51</v>
      </c>
      <c r="I967" s="9" t="s">
        <v>51</v>
      </c>
      <c r="J967" s="9" t="s">
        <v>51</v>
      </c>
      <c r="K967" s="9" t="s">
        <v>51</v>
      </c>
      <c r="L967" s="9" t="s">
        <v>51</v>
      </c>
      <c r="M967" s="9" t="s">
        <v>51</v>
      </c>
      <c r="N967" s="9" t="s">
        <v>51</v>
      </c>
      <c r="O967" s="268" t="s">
        <v>633</v>
      </c>
      <c r="P967" s="268" t="s">
        <v>326</v>
      </c>
    </row>
    <row r="968" spans="1:16" ht="26.4" x14ac:dyDescent="0.25">
      <c r="A968" s="241"/>
      <c r="B968" s="190" t="s">
        <v>86</v>
      </c>
      <c r="C968" s="4"/>
      <c r="D968" s="5"/>
      <c r="E968" s="5"/>
      <c r="F968" s="5"/>
      <c r="G968" s="12"/>
      <c r="H968" s="9" t="s">
        <v>51</v>
      </c>
      <c r="I968" s="9" t="s">
        <v>229</v>
      </c>
      <c r="J968" s="9" t="s">
        <v>229</v>
      </c>
      <c r="K968" s="9" t="s">
        <v>229</v>
      </c>
      <c r="L968" s="9" t="s">
        <v>229</v>
      </c>
      <c r="M968" s="9" t="s">
        <v>51</v>
      </c>
      <c r="N968" s="9" t="s">
        <v>51</v>
      </c>
      <c r="O968" s="268"/>
      <c r="P968" s="268"/>
    </row>
    <row r="969" spans="1:16" x14ac:dyDescent="0.25">
      <c r="A969" s="241"/>
      <c r="B969" s="190" t="s">
        <v>74</v>
      </c>
      <c r="C969" s="4"/>
      <c r="D969" s="5"/>
      <c r="E969" s="5"/>
      <c r="F969" s="5"/>
      <c r="G969" s="12"/>
      <c r="H969" s="9">
        <f t="shared" ref="H969:N969" si="345">SUM(H970:H974)</f>
        <v>5550</v>
      </c>
      <c r="I969" s="9">
        <f t="shared" si="345"/>
        <v>0</v>
      </c>
      <c r="J969" s="9">
        <f t="shared" si="345"/>
        <v>1100</v>
      </c>
      <c r="K969" s="9">
        <f t="shared" si="345"/>
        <v>3350</v>
      </c>
      <c r="L969" s="9">
        <f t="shared" si="345"/>
        <v>1100</v>
      </c>
      <c r="M969" s="9">
        <f t="shared" si="345"/>
        <v>2400</v>
      </c>
      <c r="N969" s="9">
        <f t="shared" si="345"/>
        <v>300</v>
      </c>
      <c r="O969" s="268"/>
      <c r="P969" s="268"/>
    </row>
    <row r="970" spans="1:16" x14ac:dyDescent="0.25">
      <c r="A970" s="241"/>
      <c r="B970" s="238" t="s">
        <v>16</v>
      </c>
      <c r="C970" s="13" t="str">
        <f>C978</f>
        <v>136</v>
      </c>
      <c r="D970" s="13" t="str">
        <f t="shared" ref="D970:N970" si="346">D978</f>
        <v>07</v>
      </c>
      <c r="E970" s="13" t="str">
        <f t="shared" si="346"/>
        <v>09</v>
      </c>
      <c r="F970" s="13" t="str">
        <f t="shared" si="346"/>
        <v>0730270550</v>
      </c>
      <c r="G970" s="13" t="str">
        <f t="shared" si="346"/>
        <v>521</v>
      </c>
      <c r="H970" s="9">
        <f t="shared" si="346"/>
        <v>5000</v>
      </c>
      <c r="I970" s="9">
        <f t="shared" si="346"/>
        <v>0</v>
      </c>
      <c r="J970" s="9">
        <f t="shared" si="346"/>
        <v>1000</v>
      </c>
      <c r="K970" s="9">
        <f t="shared" si="346"/>
        <v>3000</v>
      </c>
      <c r="L970" s="9">
        <f t="shared" si="346"/>
        <v>1000</v>
      </c>
      <c r="M970" s="9">
        <f t="shared" si="346"/>
        <v>2000</v>
      </c>
      <c r="N970" s="9">
        <f t="shared" si="346"/>
        <v>0</v>
      </c>
      <c r="O970" s="268"/>
      <c r="P970" s="268"/>
    </row>
    <row r="971" spans="1:16" x14ac:dyDescent="0.25">
      <c r="A971" s="241"/>
      <c r="B971" s="239"/>
      <c r="C971" s="13" t="str">
        <f>C985</f>
        <v>136</v>
      </c>
      <c r="D971" s="5" t="s">
        <v>233</v>
      </c>
      <c r="E971" s="6" t="s">
        <v>235</v>
      </c>
      <c r="F971" s="13" t="str">
        <f>F985</f>
        <v>0730203550</v>
      </c>
      <c r="G971" s="13" t="str">
        <f>G985</f>
        <v>612</v>
      </c>
      <c r="H971" s="9">
        <f>SUM(I971:L971)</f>
        <v>300</v>
      </c>
      <c r="I971" s="9">
        <f t="shared" ref="I971:N971" si="347">I985</f>
        <v>0</v>
      </c>
      <c r="J971" s="9">
        <f t="shared" si="347"/>
        <v>100</v>
      </c>
      <c r="K971" s="9">
        <f t="shared" si="347"/>
        <v>100</v>
      </c>
      <c r="L971" s="9">
        <f t="shared" si="347"/>
        <v>100</v>
      </c>
      <c r="M971" s="9">
        <f t="shared" si="347"/>
        <v>300</v>
      </c>
      <c r="N971" s="9">
        <f t="shared" si="347"/>
        <v>300</v>
      </c>
      <c r="O971" s="268"/>
      <c r="P971" s="268"/>
    </row>
    <row r="972" spans="1:16" x14ac:dyDescent="0.25">
      <c r="A972" s="241"/>
      <c r="B972" s="190" t="s">
        <v>14</v>
      </c>
      <c r="C972" s="12"/>
      <c r="D972" s="12"/>
      <c r="E972" s="12"/>
      <c r="F972" s="12"/>
      <c r="G972" s="12"/>
      <c r="H972" s="9">
        <f>SUM(I972:L972)</f>
        <v>0</v>
      </c>
      <c r="I972" s="9">
        <f t="shared" ref="I972:N974" si="348">I979+I986</f>
        <v>0</v>
      </c>
      <c r="J972" s="9">
        <f t="shared" si="348"/>
        <v>0</v>
      </c>
      <c r="K972" s="9">
        <f t="shared" si="348"/>
        <v>0</v>
      </c>
      <c r="L972" s="9">
        <f t="shared" si="348"/>
        <v>0</v>
      </c>
      <c r="M972" s="9">
        <f t="shared" si="348"/>
        <v>0</v>
      </c>
      <c r="N972" s="9">
        <f t="shared" si="348"/>
        <v>0</v>
      </c>
      <c r="O972" s="268"/>
      <c r="P972" s="268"/>
    </row>
    <row r="973" spans="1:16" x14ac:dyDescent="0.25">
      <c r="A973" s="241"/>
      <c r="B973" s="190" t="s">
        <v>15</v>
      </c>
      <c r="C973" s="12">
        <v>136</v>
      </c>
      <c r="D973" s="12"/>
      <c r="E973" s="12"/>
      <c r="F973" s="12"/>
      <c r="G973" s="12"/>
      <c r="H973" s="9">
        <f>SUM(I973:L973)</f>
        <v>250</v>
      </c>
      <c r="I973" s="9">
        <f t="shared" si="348"/>
        <v>0</v>
      </c>
      <c r="J973" s="9">
        <f t="shared" si="348"/>
        <v>0</v>
      </c>
      <c r="K973" s="9">
        <f t="shared" si="348"/>
        <v>250</v>
      </c>
      <c r="L973" s="9">
        <f t="shared" si="348"/>
        <v>0</v>
      </c>
      <c r="M973" s="9">
        <f t="shared" si="348"/>
        <v>100</v>
      </c>
      <c r="N973" s="9">
        <f t="shared" si="348"/>
        <v>0</v>
      </c>
      <c r="O973" s="268"/>
      <c r="P973" s="268"/>
    </row>
    <row r="974" spans="1:16" ht="43.5" customHeight="1" x14ac:dyDescent="0.25">
      <c r="A974" s="241"/>
      <c r="B974" s="190" t="s">
        <v>12</v>
      </c>
      <c r="C974" s="12"/>
      <c r="D974" s="12"/>
      <c r="E974" s="12"/>
      <c r="F974" s="12"/>
      <c r="G974" s="12"/>
      <c r="H974" s="9">
        <f>SUM(I974:L974)</f>
        <v>0</v>
      </c>
      <c r="I974" s="9">
        <f t="shared" si="348"/>
        <v>0</v>
      </c>
      <c r="J974" s="9">
        <f t="shared" si="348"/>
        <v>0</v>
      </c>
      <c r="K974" s="9">
        <f t="shared" si="348"/>
        <v>0</v>
      </c>
      <c r="L974" s="9">
        <f t="shared" si="348"/>
        <v>0</v>
      </c>
      <c r="M974" s="9">
        <f t="shared" si="348"/>
        <v>0</v>
      </c>
      <c r="N974" s="9">
        <f t="shared" si="348"/>
        <v>0</v>
      </c>
      <c r="O974" s="268"/>
      <c r="P974" s="268"/>
    </row>
    <row r="975" spans="1:16" ht="26.4" x14ac:dyDescent="0.25">
      <c r="A975" s="241" t="s">
        <v>155</v>
      </c>
      <c r="B975" s="71" t="s">
        <v>110</v>
      </c>
      <c r="C975" s="4"/>
      <c r="D975" s="5"/>
      <c r="E975" s="5"/>
      <c r="F975" s="5"/>
      <c r="G975" s="12"/>
      <c r="H975" s="11">
        <v>5</v>
      </c>
      <c r="I975" s="11">
        <v>5</v>
      </c>
      <c r="J975" s="11">
        <v>0</v>
      </c>
      <c r="K975" s="11">
        <v>0</v>
      </c>
      <c r="L975" s="11">
        <v>0</v>
      </c>
      <c r="M975" s="11">
        <v>2</v>
      </c>
      <c r="N975" s="9">
        <v>0</v>
      </c>
      <c r="O975" s="242" t="s">
        <v>349</v>
      </c>
      <c r="P975" s="242" t="s">
        <v>408</v>
      </c>
    </row>
    <row r="976" spans="1:16" ht="26.4" x14ac:dyDescent="0.25">
      <c r="A976" s="241"/>
      <c r="B976" s="71" t="s">
        <v>99</v>
      </c>
      <c r="C976" s="4"/>
      <c r="D976" s="5"/>
      <c r="E976" s="5"/>
      <c r="F976" s="5"/>
      <c r="G976" s="12"/>
      <c r="H976" s="9">
        <f>ROUND(H977/H975,1)</f>
        <v>1050</v>
      </c>
      <c r="I976" s="9" t="s">
        <v>229</v>
      </c>
      <c r="J976" s="9" t="s">
        <v>229</v>
      </c>
      <c r="K976" s="9" t="s">
        <v>229</v>
      </c>
      <c r="L976" s="9" t="s">
        <v>229</v>
      </c>
      <c r="M976" s="9">
        <f>ROUND(M977/M975,1)</f>
        <v>1050</v>
      </c>
      <c r="N976" s="9">
        <v>0</v>
      </c>
      <c r="O976" s="243"/>
      <c r="P976" s="243"/>
    </row>
    <row r="977" spans="1:16" x14ac:dyDescent="0.25">
      <c r="A977" s="241"/>
      <c r="B977" s="71" t="s">
        <v>74</v>
      </c>
      <c r="C977" s="4"/>
      <c r="D977" s="5"/>
      <c r="E977" s="5"/>
      <c r="F977" s="5"/>
      <c r="G977" s="12"/>
      <c r="H977" s="9">
        <f t="shared" ref="H977:N977" si="349">SUM(H978:H981)</f>
        <v>5250</v>
      </c>
      <c r="I977" s="9">
        <f t="shared" si="349"/>
        <v>0</v>
      </c>
      <c r="J977" s="9">
        <f t="shared" si="349"/>
        <v>1000</v>
      </c>
      <c r="K977" s="9">
        <f t="shared" si="349"/>
        <v>3250</v>
      </c>
      <c r="L977" s="9">
        <f t="shared" si="349"/>
        <v>1000</v>
      </c>
      <c r="M977" s="9">
        <f t="shared" si="349"/>
        <v>2100</v>
      </c>
      <c r="N977" s="9">
        <f t="shared" si="349"/>
        <v>0</v>
      </c>
      <c r="O977" s="243"/>
      <c r="P977" s="243"/>
    </row>
    <row r="978" spans="1:16" x14ac:dyDescent="0.25">
      <c r="A978" s="241"/>
      <c r="B978" s="71" t="s">
        <v>16</v>
      </c>
      <c r="C978" s="6" t="s">
        <v>41</v>
      </c>
      <c r="D978" s="5" t="s">
        <v>233</v>
      </c>
      <c r="E978" s="6" t="s">
        <v>235</v>
      </c>
      <c r="F978" s="6" t="s">
        <v>267</v>
      </c>
      <c r="G978" s="13" t="s">
        <v>48</v>
      </c>
      <c r="H978" s="9">
        <f>I978+J978+K978+L978</f>
        <v>5000</v>
      </c>
      <c r="I978" s="9">
        <v>0</v>
      </c>
      <c r="J978" s="9">
        <v>1000</v>
      </c>
      <c r="K978" s="9">
        <v>3000</v>
      </c>
      <c r="L978" s="97">
        <v>1000</v>
      </c>
      <c r="M978" s="97">
        <v>2000</v>
      </c>
      <c r="N978" s="97">
        <v>0</v>
      </c>
      <c r="O978" s="243"/>
      <c r="P978" s="243"/>
    </row>
    <row r="979" spans="1:16" x14ac:dyDescent="0.25">
      <c r="A979" s="241"/>
      <c r="B979" s="71" t="s">
        <v>14</v>
      </c>
      <c r="C979" s="4"/>
      <c r="D979" s="5"/>
      <c r="E979" s="5"/>
      <c r="F979" s="5"/>
      <c r="G979" s="12"/>
      <c r="H979" s="9">
        <f>I979+J979+K979+L979</f>
        <v>0</v>
      </c>
      <c r="I979" s="9">
        <v>0</v>
      </c>
      <c r="J979" s="9">
        <v>0</v>
      </c>
      <c r="K979" s="9">
        <v>0</v>
      </c>
      <c r="L979" s="97">
        <v>0</v>
      </c>
      <c r="M979" s="97">
        <v>0</v>
      </c>
      <c r="N979" s="97">
        <v>0</v>
      </c>
      <c r="O979" s="243"/>
      <c r="P979" s="243"/>
    </row>
    <row r="980" spans="1:16" x14ac:dyDescent="0.25">
      <c r="A980" s="241"/>
      <c r="B980" s="71" t="s">
        <v>15</v>
      </c>
      <c r="C980" s="4"/>
      <c r="D980" s="5"/>
      <c r="E980" s="5"/>
      <c r="F980" s="5"/>
      <c r="G980" s="12"/>
      <c r="H980" s="9">
        <f>I980+J980+K980+L980</f>
        <v>250</v>
      </c>
      <c r="I980" s="9">
        <v>0</v>
      </c>
      <c r="J980" s="9">
        <v>0</v>
      </c>
      <c r="K980" s="9">
        <v>250</v>
      </c>
      <c r="L980" s="97">
        <v>0</v>
      </c>
      <c r="M980" s="97">
        <v>100</v>
      </c>
      <c r="N980" s="97">
        <v>0</v>
      </c>
      <c r="O980" s="243"/>
      <c r="P980" s="243"/>
    </row>
    <row r="981" spans="1:16" ht="124.5" customHeight="1" x14ac:dyDescent="0.25">
      <c r="A981" s="241"/>
      <c r="B981" s="71" t="s">
        <v>12</v>
      </c>
      <c r="C981" s="4"/>
      <c r="D981" s="5"/>
      <c r="E981" s="5"/>
      <c r="F981" s="5"/>
      <c r="G981" s="12"/>
      <c r="H981" s="9">
        <f>I981+J981+K981+L981</f>
        <v>0</v>
      </c>
      <c r="I981" s="9">
        <v>0</v>
      </c>
      <c r="J981" s="9">
        <v>0</v>
      </c>
      <c r="K981" s="9">
        <v>0</v>
      </c>
      <c r="L981" s="9">
        <v>0</v>
      </c>
      <c r="M981" s="9">
        <v>0</v>
      </c>
      <c r="N981" s="9">
        <v>0</v>
      </c>
      <c r="O981" s="244"/>
      <c r="P981" s="244"/>
    </row>
    <row r="982" spans="1:16" x14ac:dyDescent="0.25">
      <c r="A982" s="241" t="s">
        <v>370</v>
      </c>
      <c r="B982" s="71" t="s">
        <v>104</v>
      </c>
      <c r="C982" s="4"/>
      <c r="D982" s="5"/>
      <c r="E982" s="5"/>
      <c r="F982" s="5"/>
      <c r="G982" s="12"/>
      <c r="H982" s="173">
        <f>I982+J982+K982+L982</f>
        <v>3</v>
      </c>
      <c r="I982" s="11">
        <v>0</v>
      </c>
      <c r="J982" s="11">
        <v>1</v>
      </c>
      <c r="K982" s="11">
        <v>1</v>
      </c>
      <c r="L982" s="11">
        <v>1</v>
      </c>
      <c r="M982" s="11">
        <v>3</v>
      </c>
      <c r="N982" s="174">
        <v>3</v>
      </c>
      <c r="O982" s="268" t="s">
        <v>159</v>
      </c>
      <c r="P982" s="268" t="s">
        <v>211</v>
      </c>
    </row>
    <row r="983" spans="1:16" ht="26.4" x14ac:dyDescent="0.25">
      <c r="A983" s="241"/>
      <c r="B983" s="71" t="s">
        <v>86</v>
      </c>
      <c r="C983" s="4"/>
      <c r="D983" s="5"/>
      <c r="E983" s="5"/>
      <c r="F983" s="5"/>
      <c r="G983" s="12"/>
      <c r="H983" s="9">
        <f t="shared" ref="H983:N983" si="350">ROUND(H984/H982,1)</f>
        <v>100</v>
      </c>
      <c r="I983" s="9" t="s">
        <v>229</v>
      </c>
      <c r="J983" s="9" t="s">
        <v>229</v>
      </c>
      <c r="K983" s="9" t="s">
        <v>229</v>
      </c>
      <c r="L983" s="9" t="s">
        <v>229</v>
      </c>
      <c r="M983" s="9">
        <f t="shared" si="350"/>
        <v>100</v>
      </c>
      <c r="N983" s="9">
        <f t="shared" si="350"/>
        <v>100</v>
      </c>
      <c r="O983" s="268"/>
      <c r="P983" s="268"/>
    </row>
    <row r="984" spans="1:16" x14ac:dyDescent="0.25">
      <c r="A984" s="241"/>
      <c r="B984" s="71" t="s">
        <v>100</v>
      </c>
      <c r="C984" s="4"/>
      <c r="D984" s="5"/>
      <c r="E984" s="5"/>
      <c r="F984" s="5"/>
      <c r="G984" s="12"/>
      <c r="H984" s="9">
        <f t="shared" ref="H984:N984" si="351">H985+H986+H987+H988</f>
        <v>300</v>
      </c>
      <c r="I984" s="9">
        <f t="shared" si="351"/>
        <v>0</v>
      </c>
      <c r="J984" s="9">
        <f t="shared" si="351"/>
        <v>100</v>
      </c>
      <c r="K984" s="9">
        <f t="shared" si="351"/>
        <v>100</v>
      </c>
      <c r="L984" s="9">
        <f t="shared" si="351"/>
        <v>100</v>
      </c>
      <c r="M984" s="9">
        <f t="shared" si="351"/>
        <v>300</v>
      </c>
      <c r="N984" s="9">
        <f t="shared" si="351"/>
        <v>300</v>
      </c>
      <c r="O984" s="268"/>
      <c r="P984" s="268"/>
    </row>
    <row r="985" spans="1:16" x14ac:dyDescent="0.25">
      <c r="A985" s="241"/>
      <c r="B985" s="71" t="s">
        <v>16</v>
      </c>
      <c r="C985" s="6" t="s">
        <v>41</v>
      </c>
      <c r="D985" s="6" t="s">
        <v>233</v>
      </c>
      <c r="E985" s="6" t="s">
        <v>235</v>
      </c>
      <c r="F985" s="6" t="s">
        <v>268</v>
      </c>
      <c r="G985" s="13" t="s">
        <v>46</v>
      </c>
      <c r="H985" s="9">
        <f>I985+J985+K985+L985</f>
        <v>300</v>
      </c>
      <c r="I985" s="9">
        <v>0</v>
      </c>
      <c r="J985" s="9">
        <v>100</v>
      </c>
      <c r="K985" s="9">
        <v>100</v>
      </c>
      <c r="L985" s="9">
        <v>100</v>
      </c>
      <c r="M985" s="9">
        <v>300</v>
      </c>
      <c r="N985" s="175">
        <v>300</v>
      </c>
      <c r="O985" s="268"/>
      <c r="P985" s="268"/>
    </row>
    <row r="986" spans="1:16" x14ac:dyDescent="0.25">
      <c r="A986" s="241"/>
      <c r="B986" s="71" t="s">
        <v>14</v>
      </c>
      <c r="C986" s="4"/>
      <c r="D986" s="5"/>
      <c r="E986" s="5"/>
      <c r="F986" s="5"/>
      <c r="G986" s="12"/>
      <c r="H986" s="9">
        <f>I986+J986+K986+L986</f>
        <v>0</v>
      </c>
      <c r="I986" s="9">
        <v>0</v>
      </c>
      <c r="J986" s="9">
        <v>0</v>
      </c>
      <c r="K986" s="9">
        <v>0</v>
      </c>
      <c r="L986" s="9">
        <v>0</v>
      </c>
      <c r="M986" s="9">
        <v>0</v>
      </c>
      <c r="N986" s="175">
        <v>0</v>
      </c>
      <c r="O986" s="268"/>
      <c r="P986" s="268"/>
    </row>
    <row r="987" spans="1:16" ht="13.35" customHeight="1" x14ac:dyDescent="0.25">
      <c r="A987" s="241"/>
      <c r="B987" s="71" t="s">
        <v>15</v>
      </c>
      <c r="C987" s="4"/>
      <c r="D987" s="5"/>
      <c r="E987" s="5"/>
      <c r="F987" s="5"/>
      <c r="G987" s="12"/>
      <c r="H987" s="9">
        <f>I987+J987+K987+L987</f>
        <v>0</v>
      </c>
      <c r="I987" s="9">
        <v>0</v>
      </c>
      <c r="J987" s="9">
        <v>0</v>
      </c>
      <c r="K987" s="9">
        <v>0</v>
      </c>
      <c r="L987" s="9">
        <v>0</v>
      </c>
      <c r="M987" s="9">
        <v>0</v>
      </c>
      <c r="N987" s="175">
        <v>0</v>
      </c>
      <c r="O987" s="268"/>
      <c r="P987" s="268"/>
    </row>
    <row r="988" spans="1:16" ht="15.75" customHeight="1" x14ac:dyDescent="0.25">
      <c r="A988" s="241"/>
      <c r="B988" s="71" t="s">
        <v>12</v>
      </c>
      <c r="C988" s="4"/>
      <c r="D988" s="5"/>
      <c r="E988" s="5"/>
      <c r="F988" s="5"/>
      <c r="G988" s="12"/>
      <c r="H988" s="9">
        <f>I988+J988+K988+L988</f>
        <v>0</v>
      </c>
      <c r="I988" s="9">
        <v>0</v>
      </c>
      <c r="J988" s="9">
        <v>0</v>
      </c>
      <c r="K988" s="9">
        <v>0</v>
      </c>
      <c r="L988" s="9">
        <v>0</v>
      </c>
      <c r="M988" s="9">
        <v>0</v>
      </c>
      <c r="N988" s="175">
        <v>0</v>
      </c>
      <c r="O988" s="268"/>
      <c r="P988" s="268"/>
    </row>
    <row r="989" spans="1:16" s="53" customFormat="1" ht="13.35" customHeight="1" x14ac:dyDescent="0.25">
      <c r="A989" s="303" t="s">
        <v>25</v>
      </c>
      <c r="B989" s="120" t="s">
        <v>242</v>
      </c>
      <c r="C989" s="98"/>
      <c r="D989" s="99"/>
      <c r="E989" s="99"/>
      <c r="F989" s="99"/>
      <c r="G989" s="211"/>
      <c r="H989" s="121">
        <f>H990+H991+H992+H993</f>
        <v>8050</v>
      </c>
      <c r="I989" s="121">
        <f t="shared" ref="I989:N989" si="352">I990+I991+I992+I993</f>
        <v>100</v>
      </c>
      <c r="J989" s="121">
        <f t="shared" si="352"/>
        <v>3300</v>
      </c>
      <c r="K989" s="121">
        <f t="shared" si="352"/>
        <v>3350</v>
      </c>
      <c r="L989" s="121">
        <f t="shared" si="352"/>
        <v>1300</v>
      </c>
      <c r="M989" s="121">
        <f t="shared" si="352"/>
        <v>36260.6</v>
      </c>
      <c r="N989" s="121">
        <f t="shared" si="352"/>
        <v>34160.6</v>
      </c>
      <c r="O989" s="303"/>
      <c r="P989" s="303"/>
    </row>
    <row r="990" spans="1:16" s="53" customFormat="1" ht="13.35" customHeight="1" x14ac:dyDescent="0.25">
      <c r="A990" s="304"/>
      <c r="B990" s="120" t="s">
        <v>7</v>
      </c>
      <c r="C990" s="98"/>
      <c r="D990" s="99"/>
      <c r="E990" s="99"/>
      <c r="F990" s="99"/>
      <c r="G990" s="211"/>
      <c r="H990" s="121">
        <f>SUM(I990:L990)</f>
        <v>7800</v>
      </c>
      <c r="I990" s="121">
        <f t="shared" ref="I990:N990" si="353">I936+I937+I938+I939+I940+I970+I971</f>
        <v>100</v>
      </c>
      <c r="J990" s="121">
        <f t="shared" si="353"/>
        <v>3300</v>
      </c>
      <c r="K990" s="121">
        <f t="shared" si="353"/>
        <v>3100</v>
      </c>
      <c r="L990" s="121">
        <f t="shared" si="353"/>
        <v>1300</v>
      </c>
      <c r="M990" s="121">
        <f t="shared" si="353"/>
        <v>36160.6</v>
      </c>
      <c r="N990" s="121">
        <f t="shared" si="353"/>
        <v>34160.6</v>
      </c>
      <c r="O990" s="304"/>
      <c r="P990" s="304"/>
    </row>
    <row r="991" spans="1:16" s="53" customFormat="1" ht="13.35" customHeight="1" x14ac:dyDescent="0.25">
      <c r="A991" s="304"/>
      <c r="B991" s="120" t="s">
        <v>14</v>
      </c>
      <c r="C991" s="98"/>
      <c r="D991" s="99"/>
      <c r="E991" s="99"/>
      <c r="F991" s="99"/>
      <c r="G991" s="211"/>
      <c r="H991" s="121">
        <f t="shared" ref="H991:N991" si="354">H941+H972</f>
        <v>0</v>
      </c>
      <c r="I991" s="121">
        <f t="shared" si="354"/>
        <v>0</v>
      </c>
      <c r="J991" s="121">
        <f t="shared" si="354"/>
        <v>0</v>
      </c>
      <c r="K991" s="121">
        <f t="shared" si="354"/>
        <v>0</v>
      </c>
      <c r="L991" s="121">
        <f t="shared" si="354"/>
        <v>0</v>
      </c>
      <c r="M991" s="121">
        <f t="shared" si="354"/>
        <v>0</v>
      </c>
      <c r="N991" s="121">
        <f t="shared" si="354"/>
        <v>0</v>
      </c>
      <c r="O991" s="304"/>
      <c r="P991" s="304"/>
    </row>
    <row r="992" spans="1:16" s="53" customFormat="1" ht="13.35" customHeight="1" x14ac:dyDescent="0.25">
      <c r="A992" s="304"/>
      <c r="B992" s="120" t="s">
        <v>15</v>
      </c>
      <c r="C992" s="98"/>
      <c r="D992" s="99"/>
      <c r="E992" s="99"/>
      <c r="F992" s="99"/>
      <c r="G992" s="211"/>
      <c r="H992" s="121">
        <f t="shared" ref="H992:N992" si="355">H942+H973</f>
        <v>250</v>
      </c>
      <c r="I992" s="121">
        <f t="shared" si="355"/>
        <v>0</v>
      </c>
      <c r="J992" s="121">
        <f t="shared" si="355"/>
        <v>0</v>
      </c>
      <c r="K992" s="121">
        <f t="shared" si="355"/>
        <v>250</v>
      </c>
      <c r="L992" s="121">
        <f t="shared" si="355"/>
        <v>0</v>
      </c>
      <c r="M992" s="121">
        <f t="shared" si="355"/>
        <v>100</v>
      </c>
      <c r="N992" s="121">
        <f t="shared" si="355"/>
        <v>0</v>
      </c>
      <c r="O992" s="304"/>
      <c r="P992" s="304"/>
    </row>
    <row r="993" spans="1:16" s="53" customFormat="1" x14ac:dyDescent="0.25">
      <c r="A993" s="305"/>
      <c r="B993" s="120" t="s">
        <v>10</v>
      </c>
      <c r="C993" s="98"/>
      <c r="D993" s="99"/>
      <c r="E993" s="99"/>
      <c r="F993" s="99"/>
      <c r="G993" s="211"/>
      <c r="H993" s="121">
        <f t="shared" ref="H993:N993" si="356">H943+H974</f>
        <v>0</v>
      </c>
      <c r="I993" s="121">
        <f t="shared" si="356"/>
        <v>0</v>
      </c>
      <c r="J993" s="121">
        <f t="shared" si="356"/>
        <v>0</v>
      </c>
      <c r="K993" s="121">
        <f t="shared" si="356"/>
        <v>0</v>
      </c>
      <c r="L993" s="121">
        <f t="shared" si="356"/>
        <v>0</v>
      </c>
      <c r="M993" s="121">
        <f t="shared" si="356"/>
        <v>0</v>
      </c>
      <c r="N993" s="121">
        <f t="shared" si="356"/>
        <v>0</v>
      </c>
      <c r="O993" s="305"/>
      <c r="P993" s="305"/>
    </row>
    <row r="994" spans="1:16" s="53" customFormat="1" x14ac:dyDescent="0.25">
      <c r="A994" s="275" t="s">
        <v>139</v>
      </c>
      <c r="B994" s="276"/>
      <c r="C994" s="276"/>
      <c r="D994" s="276"/>
      <c r="E994" s="276"/>
      <c r="F994" s="276"/>
      <c r="G994" s="276"/>
      <c r="H994" s="276"/>
      <c r="I994" s="276"/>
      <c r="J994" s="276"/>
      <c r="K994" s="276"/>
      <c r="L994" s="276"/>
      <c r="M994" s="276"/>
      <c r="N994" s="276"/>
      <c r="O994" s="276"/>
      <c r="P994" s="277"/>
    </row>
    <row r="995" spans="1:16" s="53" customFormat="1" ht="13.35" customHeight="1" x14ac:dyDescent="0.25">
      <c r="A995" s="241" t="s">
        <v>140</v>
      </c>
      <c r="B995" s="190" t="s">
        <v>104</v>
      </c>
      <c r="C995" s="4"/>
      <c r="D995" s="5"/>
      <c r="E995" s="5"/>
      <c r="F995" s="5"/>
      <c r="G995" s="12"/>
      <c r="H995" s="11">
        <f>H1005+H1022+H1014+H1029</f>
        <v>73</v>
      </c>
      <c r="I995" s="11">
        <f t="shared" ref="I995:N995" si="357">I1005+I1022+I1014+I1029</f>
        <v>24</v>
      </c>
      <c r="J995" s="11">
        <f t="shared" si="357"/>
        <v>21</v>
      </c>
      <c r="K995" s="11">
        <f t="shared" si="357"/>
        <v>8</v>
      </c>
      <c r="L995" s="11">
        <f t="shared" si="357"/>
        <v>20</v>
      </c>
      <c r="M995" s="11">
        <f t="shared" si="357"/>
        <v>28</v>
      </c>
      <c r="N995" s="11">
        <f t="shared" si="357"/>
        <v>28</v>
      </c>
      <c r="O995" s="268" t="s">
        <v>371</v>
      </c>
      <c r="P995" s="268" t="s">
        <v>327</v>
      </c>
    </row>
    <row r="996" spans="1:16" s="53" customFormat="1" ht="13.35" customHeight="1" x14ac:dyDescent="0.25">
      <c r="A996" s="241"/>
      <c r="B996" s="190" t="s">
        <v>89</v>
      </c>
      <c r="C996" s="4"/>
      <c r="D996" s="5"/>
      <c r="E996" s="5"/>
      <c r="F996" s="5"/>
      <c r="G996" s="12"/>
      <c r="H996" s="9">
        <f t="shared" ref="H996:N996" si="358">ROUND(H997/H995,1)</f>
        <v>421.6</v>
      </c>
      <c r="I996" s="9" t="s">
        <v>229</v>
      </c>
      <c r="J996" s="9" t="s">
        <v>229</v>
      </c>
      <c r="K996" s="9" t="s">
        <v>229</v>
      </c>
      <c r="L996" s="9" t="s">
        <v>229</v>
      </c>
      <c r="M996" s="9">
        <f t="shared" si="358"/>
        <v>537.70000000000005</v>
      </c>
      <c r="N996" s="9">
        <f t="shared" si="358"/>
        <v>537.70000000000005</v>
      </c>
      <c r="O996" s="268"/>
      <c r="P996" s="268"/>
    </row>
    <row r="997" spans="1:16" ht="13.35" customHeight="1" x14ac:dyDescent="0.25">
      <c r="A997" s="241"/>
      <c r="B997" s="190" t="s">
        <v>74</v>
      </c>
      <c r="C997" s="4"/>
      <c r="D997" s="5"/>
      <c r="E997" s="5"/>
      <c r="F997" s="5"/>
      <c r="G997" s="12"/>
      <c r="H997" s="9">
        <f t="shared" ref="H997:N997" si="359">SUM(H998:H1004)</f>
        <v>30779.05</v>
      </c>
      <c r="I997" s="9">
        <f t="shared" si="359"/>
        <v>8924</v>
      </c>
      <c r="J997" s="9">
        <f t="shared" si="359"/>
        <v>10054.349999999999</v>
      </c>
      <c r="K997" s="9">
        <f t="shared" si="359"/>
        <v>6857</v>
      </c>
      <c r="L997" s="9">
        <f t="shared" si="359"/>
        <v>4943.7</v>
      </c>
      <c r="M997" s="9">
        <f t="shared" si="359"/>
        <v>15055</v>
      </c>
      <c r="N997" s="9">
        <f t="shared" si="359"/>
        <v>15055</v>
      </c>
      <c r="O997" s="268"/>
      <c r="P997" s="268"/>
    </row>
    <row r="998" spans="1:16" ht="30.6" hidden="1" customHeight="1" x14ac:dyDescent="0.25">
      <c r="A998" s="241"/>
      <c r="B998" s="241" t="s">
        <v>16</v>
      </c>
      <c r="C998" s="13" t="str">
        <f>C1008</f>
        <v>136</v>
      </c>
      <c r="D998" s="13" t="str">
        <f t="shared" ref="D998:G1000" si="360">D1008</f>
        <v>07</v>
      </c>
      <c r="E998" s="13" t="str">
        <f t="shared" si="360"/>
        <v>09</v>
      </c>
      <c r="F998" s="13" t="str">
        <f t="shared" si="360"/>
        <v>0730303550</v>
      </c>
      <c r="G998" s="13" t="str">
        <f t="shared" si="360"/>
        <v>244</v>
      </c>
      <c r="H998" s="9">
        <f>H1008+H1017</f>
        <v>0</v>
      </c>
      <c r="I998" s="9">
        <f t="shared" ref="I998:N998" si="361">I1008+I1017</f>
        <v>0</v>
      </c>
      <c r="J998" s="9">
        <f t="shared" si="361"/>
        <v>0</v>
      </c>
      <c r="K998" s="9">
        <f t="shared" si="361"/>
        <v>0</v>
      </c>
      <c r="L998" s="9">
        <f t="shared" si="361"/>
        <v>0</v>
      </c>
      <c r="M998" s="9">
        <f t="shared" si="361"/>
        <v>0</v>
      </c>
      <c r="N998" s="9">
        <f t="shared" si="361"/>
        <v>0</v>
      </c>
      <c r="O998" s="268"/>
      <c r="P998" s="268"/>
    </row>
    <row r="999" spans="1:16" ht="13.35" customHeight="1" x14ac:dyDescent="0.25">
      <c r="A999" s="241"/>
      <c r="B999" s="241"/>
      <c r="C999" s="13" t="str">
        <f>C1009</f>
        <v>136</v>
      </c>
      <c r="D999" s="13" t="str">
        <f t="shared" si="360"/>
        <v>07</v>
      </c>
      <c r="E999" s="13" t="str">
        <f t="shared" si="360"/>
        <v>09</v>
      </c>
      <c r="F999" s="13" t="str">
        <f t="shared" si="360"/>
        <v>0730303550</v>
      </c>
      <c r="G999" s="13" t="str">
        <f t="shared" si="360"/>
        <v>612</v>
      </c>
      <c r="H999" s="9">
        <f>H1009</f>
        <v>1200</v>
      </c>
      <c r="I999" s="9">
        <f t="shared" ref="I999:N999" si="362">I1009</f>
        <v>500</v>
      </c>
      <c r="J999" s="9">
        <f t="shared" si="362"/>
        <v>100</v>
      </c>
      <c r="K999" s="9">
        <f t="shared" si="362"/>
        <v>600</v>
      </c>
      <c r="L999" s="9">
        <f t="shared" si="362"/>
        <v>0</v>
      </c>
      <c r="M999" s="9">
        <f t="shared" si="362"/>
        <v>1200</v>
      </c>
      <c r="N999" s="9">
        <f t="shared" si="362"/>
        <v>1200</v>
      </c>
      <c r="O999" s="268"/>
      <c r="P999" s="268"/>
    </row>
    <row r="1000" spans="1:16" ht="13.35" customHeight="1" x14ac:dyDescent="0.25">
      <c r="A1000" s="241"/>
      <c r="B1000" s="241"/>
      <c r="C1000" s="13" t="str">
        <f>C1010</f>
        <v>136</v>
      </c>
      <c r="D1000" s="13" t="str">
        <f t="shared" si="360"/>
        <v>07</v>
      </c>
      <c r="E1000" s="13" t="str">
        <f t="shared" si="360"/>
        <v>09</v>
      </c>
      <c r="F1000" s="13" t="str">
        <f t="shared" si="360"/>
        <v>0730303550</v>
      </c>
      <c r="G1000" s="13" t="str">
        <f t="shared" si="360"/>
        <v>622</v>
      </c>
      <c r="H1000" s="9">
        <f>H1010+H1018+H1025</f>
        <v>28809.05</v>
      </c>
      <c r="I1000" s="9">
        <f t="shared" ref="I1000:N1000" si="363">I1010+I1018+I1025</f>
        <v>8094</v>
      </c>
      <c r="J1000" s="9">
        <f t="shared" si="363"/>
        <v>9555.5499999999993</v>
      </c>
      <c r="K1000" s="9">
        <f>K1010+K1018+K1025</f>
        <v>6257</v>
      </c>
      <c r="L1000" s="9">
        <f t="shared" si="363"/>
        <v>4902.5</v>
      </c>
      <c r="M1000" s="9">
        <f t="shared" si="363"/>
        <v>13085</v>
      </c>
      <c r="N1000" s="9">
        <f t="shared" si="363"/>
        <v>13085</v>
      </c>
      <c r="O1000" s="268"/>
      <c r="P1000" s="268"/>
    </row>
    <row r="1001" spans="1:16" ht="13.35" customHeight="1" x14ac:dyDescent="0.25">
      <c r="A1001" s="241"/>
      <c r="B1001" s="241"/>
      <c r="C1001" s="13" t="str">
        <f>C1032</f>
        <v>131</v>
      </c>
      <c r="D1001" s="13" t="str">
        <f t="shared" ref="D1001:N1001" si="364">D1032</f>
        <v>08</v>
      </c>
      <c r="E1001" s="13" t="str">
        <f t="shared" si="364"/>
        <v>01</v>
      </c>
      <c r="F1001" s="13" t="str">
        <f t="shared" si="364"/>
        <v>0730303679</v>
      </c>
      <c r="G1001" s="13" t="str">
        <f t="shared" si="364"/>
        <v>622</v>
      </c>
      <c r="H1001" s="9">
        <f t="shared" si="364"/>
        <v>770</v>
      </c>
      <c r="I1001" s="9">
        <f t="shared" si="364"/>
        <v>330</v>
      </c>
      <c r="J1001" s="9">
        <f t="shared" si="364"/>
        <v>398.8</v>
      </c>
      <c r="K1001" s="9">
        <f t="shared" si="364"/>
        <v>0</v>
      </c>
      <c r="L1001" s="9">
        <f t="shared" si="364"/>
        <v>41.2</v>
      </c>
      <c r="M1001" s="9">
        <f t="shared" si="364"/>
        <v>770</v>
      </c>
      <c r="N1001" s="9">
        <f t="shared" si="364"/>
        <v>770</v>
      </c>
      <c r="O1001" s="268"/>
      <c r="P1001" s="268"/>
    </row>
    <row r="1002" spans="1:16" ht="13.35" customHeight="1" x14ac:dyDescent="0.25">
      <c r="A1002" s="241"/>
      <c r="B1002" s="190" t="s">
        <v>14</v>
      </c>
      <c r="C1002" s="12"/>
      <c r="D1002" s="12"/>
      <c r="E1002" s="12"/>
      <c r="F1002" s="12"/>
      <c r="G1002" s="12"/>
      <c r="H1002" s="9">
        <f t="shared" ref="H1002:N1002" si="365">H1011+H1019+H1033</f>
        <v>0</v>
      </c>
      <c r="I1002" s="9">
        <f t="shared" si="365"/>
        <v>0</v>
      </c>
      <c r="J1002" s="9">
        <f t="shared" si="365"/>
        <v>0</v>
      </c>
      <c r="K1002" s="9">
        <f t="shared" si="365"/>
        <v>0</v>
      </c>
      <c r="L1002" s="9">
        <f t="shared" si="365"/>
        <v>0</v>
      </c>
      <c r="M1002" s="9">
        <f t="shared" si="365"/>
        <v>0</v>
      </c>
      <c r="N1002" s="9">
        <f t="shared" si="365"/>
        <v>0</v>
      </c>
      <c r="O1002" s="268"/>
      <c r="P1002" s="268"/>
    </row>
    <row r="1003" spans="1:16" ht="13.35" customHeight="1" x14ac:dyDescent="0.25">
      <c r="A1003" s="241"/>
      <c r="B1003" s="190" t="s">
        <v>15</v>
      </c>
      <c r="C1003" s="12"/>
      <c r="D1003" s="12"/>
      <c r="E1003" s="12"/>
      <c r="F1003" s="12"/>
      <c r="G1003" s="12"/>
      <c r="H1003" s="9">
        <f t="shared" ref="H1003:N1003" si="366">H1012+H1020+H1034</f>
        <v>0</v>
      </c>
      <c r="I1003" s="9">
        <f t="shared" si="366"/>
        <v>0</v>
      </c>
      <c r="J1003" s="9">
        <f t="shared" si="366"/>
        <v>0</v>
      </c>
      <c r="K1003" s="9">
        <f t="shared" si="366"/>
        <v>0</v>
      </c>
      <c r="L1003" s="9">
        <f t="shared" si="366"/>
        <v>0</v>
      </c>
      <c r="M1003" s="9">
        <f t="shared" si="366"/>
        <v>0</v>
      </c>
      <c r="N1003" s="9">
        <f t="shared" si="366"/>
        <v>0</v>
      </c>
      <c r="O1003" s="268"/>
      <c r="P1003" s="268"/>
    </row>
    <row r="1004" spans="1:16" ht="13.35" customHeight="1" x14ac:dyDescent="0.25">
      <c r="A1004" s="241"/>
      <c r="B1004" s="190" t="s">
        <v>12</v>
      </c>
      <c r="C1004" s="12"/>
      <c r="D1004" s="12"/>
      <c r="E1004" s="12"/>
      <c r="F1004" s="12"/>
      <c r="G1004" s="12"/>
      <c r="H1004" s="9">
        <f t="shared" ref="H1004:N1004" si="367">H1013+H1021+H1035</f>
        <v>0</v>
      </c>
      <c r="I1004" s="9">
        <f t="shared" si="367"/>
        <v>0</v>
      </c>
      <c r="J1004" s="9">
        <f t="shared" si="367"/>
        <v>0</v>
      </c>
      <c r="K1004" s="9">
        <f t="shared" si="367"/>
        <v>0</v>
      </c>
      <c r="L1004" s="9">
        <f t="shared" si="367"/>
        <v>0</v>
      </c>
      <c r="M1004" s="9">
        <f t="shared" si="367"/>
        <v>0</v>
      </c>
      <c r="N1004" s="9">
        <f t="shared" si="367"/>
        <v>0</v>
      </c>
      <c r="O1004" s="268"/>
      <c r="P1004" s="268"/>
    </row>
    <row r="1005" spans="1:16" x14ac:dyDescent="0.25">
      <c r="A1005" s="241" t="s">
        <v>212</v>
      </c>
      <c r="B1005" s="190" t="s">
        <v>104</v>
      </c>
      <c r="C1005" s="4"/>
      <c r="D1005" s="5"/>
      <c r="E1005" s="5"/>
      <c r="F1005" s="5"/>
      <c r="G1005" s="12"/>
      <c r="H1005" s="11">
        <v>25</v>
      </c>
      <c r="I1005" s="11">
        <v>9</v>
      </c>
      <c r="J1005" s="11">
        <v>4</v>
      </c>
      <c r="K1005" s="11">
        <v>3</v>
      </c>
      <c r="L1005" s="11">
        <v>9</v>
      </c>
      <c r="M1005" s="11">
        <v>25</v>
      </c>
      <c r="N1005" s="9">
        <v>25</v>
      </c>
      <c r="O1005" s="242" t="s">
        <v>221</v>
      </c>
      <c r="P1005" s="242" t="s">
        <v>328</v>
      </c>
    </row>
    <row r="1006" spans="1:16" ht="12.75" customHeight="1" x14ac:dyDescent="0.25">
      <c r="A1006" s="241"/>
      <c r="B1006" s="190" t="s">
        <v>88</v>
      </c>
      <c r="C1006" s="4"/>
      <c r="D1006" s="5"/>
      <c r="E1006" s="5"/>
      <c r="F1006" s="5"/>
      <c r="G1006" s="12"/>
      <c r="H1006" s="9">
        <f t="shared" ref="H1006:N1006" si="368">ROUND(H1007/H1005,1)</f>
        <v>584.5</v>
      </c>
      <c r="I1006" s="9" t="s">
        <v>229</v>
      </c>
      <c r="J1006" s="9" t="s">
        <v>229</v>
      </c>
      <c r="K1006" s="9" t="s">
        <v>229</v>
      </c>
      <c r="L1006" s="9" t="s">
        <v>229</v>
      </c>
      <c r="M1006" s="9">
        <f t="shared" si="368"/>
        <v>571.4</v>
      </c>
      <c r="N1006" s="9">
        <f t="shared" si="368"/>
        <v>571.4</v>
      </c>
      <c r="O1006" s="243"/>
      <c r="P1006" s="243"/>
    </row>
    <row r="1007" spans="1:16" x14ac:dyDescent="0.25">
      <c r="A1007" s="241"/>
      <c r="B1007" s="190" t="s">
        <v>74</v>
      </c>
      <c r="C1007" s="4"/>
      <c r="D1007" s="5"/>
      <c r="E1007" s="5"/>
      <c r="F1007" s="5"/>
      <c r="G1007" s="12"/>
      <c r="H1007" s="9">
        <f t="shared" ref="H1007:N1007" si="369">SUM(H1008:H1013)</f>
        <v>14613.05</v>
      </c>
      <c r="I1007" s="9">
        <f t="shared" si="369"/>
        <v>4830</v>
      </c>
      <c r="J1007" s="9">
        <f t="shared" si="369"/>
        <v>4511.55</v>
      </c>
      <c r="K1007" s="9">
        <f t="shared" si="369"/>
        <v>2494</v>
      </c>
      <c r="L1007" s="9">
        <f t="shared" si="369"/>
        <v>2777.5</v>
      </c>
      <c r="M1007" s="9">
        <f t="shared" si="369"/>
        <v>14285</v>
      </c>
      <c r="N1007" s="9">
        <f t="shared" si="369"/>
        <v>14285</v>
      </c>
      <c r="O1007" s="243"/>
      <c r="P1007" s="243"/>
    </row>
    <row r="1008" spans="1:16" hidden="1" x14ac:dyDescent="0.25">
      <c r="A1008" s="241"/>
      <c r="B1008" s="241" t="s">
        <v>16</v>
      </c>
      <c r="C1008" s="6" t="s">
        <v>41</v>
      </c>
      <c r="D1008" s="5" t="s">
        <v>233</v>
      </c>
      <c r="E1008" s="6" t="s">
        <v>235</v>
      </c>
      <c r="F1008" s="6" t="s">
        <v>269</v>
      </c>
      <c r="G1008" s="13" t="s">
        <v>47</v>
      </c>
      <c r="H1008" s="9">
        <f t="shared" ref="H1008:H1013" si="370">I1008+J1008+K1008+L1008</f>
        <v>0</v>
      </c>
      <c r="I1008" s="97">
        <v>0</v>
      </c>
      <c r="J1008" s="97">
        <v>0</v>
      </c>
      <c r="K1008" s="97">
        <v>0</v>
      </c>
      <c r="L1008" s="97">
        <v>0</v>
      </c>
      <c r="M1008" s="9"/>
      <c r="N1008" s="9"/>
      <c r="O1008" s="243"/>
      <c r="P1008" s="243"/>
    </row>
    <row r="1009" spans="1:19" x14ac:dyDescent="0.25">
      <c r="A1009" s="241"/>
      <c r="B1009" s="241"/>
      <c r="C1009" s="6" t="s">
        <v>41</v>
      </c>
      <c r="D1009" s="5" t="s">
        <v>233</v>
      </c>
      <c r="E1009" s="6" t="s">
        <v>235</v>
      </c>
      <c r="F1009" s="6" t="s">
        <v>269</v>
      </c>
      <c r="G1009" s="13" t="s">
        <v>46</v>
      </c>
      <c r="H1009" s="9">
        <f t="shared" si="370"/>
        <v>1200</v>
      </c>
      <c r="I1009" s="97">
        <v>500</v>
      </c>
      <c r="J1009" s="97">
        <v>100</v>
      </c>
      <c r="K1009" s="97">
        <v>600</v>
      </c>
      <c r="L1009" s="97">
        <v>0</v>
      </c>
      <c r="M1009" s="9">
        <v>1200</v>
      </c>
      <c r="N1009" s="9">
        <v>1200</v>
      </c>
      <c r="O1009" s="243"/>
      <c r="P1009" s="243"/>
    </row>
    <row r="1010" spans="1:19" ht="12.75" customHeight="1" x14ac:dyDescent="0.25">
      <c r="A1010" s="241"/>
      <c r="B1010" s="241"/>
      <c r="C1010" s="6" t="s">
        <v>41</v>
      </c>
      <c r="D1010" s="5" t="s">
        <v>233</v>
      </c>
      <c r="E1010" s="6" t="s">
        <v>235</v>
      </c>
      <c r="F1010" s="6" t="s">
        <v>269</v>
      </c>
      <c r="G1010" s="13" t="s">
        <v>45</v>
      </c>
      <c r="H1010" s="9">
        <f t="shared" si="370"/>
        <v>13413.05</v>
      </c>
      <c r="I1010" s="97">
        <v>4330</v>
      </c>
      <c r="J1010" s="97">
        <v>4411.55</v>
      </c>
      <c r="K1010" s="97">
        <v>1894</v>
      </c>
      <c r="L1010" s="97">
        <v>2777.5</v>
      </c>
      <c r="M1010" s="9">
        <v>13085</v>
      </c>
      <c r="N1010" s="9">
        <v>13085</v>
      </c>
      <c r="O1010" s="243"/>
      <c r="P1010" s="243"/>
    </row>
    <row r="1011" spans="1:19" ht="21" x14ac:dyDescent="0.4">
      <c r="A1011" s="241"/>
      <c r="B1011" s="190" t="s">
        <v>14</v>
      </c>
      <c r="C1011" s="4"/>
      <c r="D1011" s="5"/>
      <c r="E1011" s="5"/>
      <c r="F1011" s="5"/>
      <c r="G1011" s="12"/>
      <c r="H1011" s="9">
        <f t="shared" si="370"/>
        <v>0</v>
      </c>
      <c r="I1011" s="9">
        <v>0</v>
      </c>
      <c r="J1011" s="9">
        <v>0</v>
      </c>
      <c r="K1011" s="9">
        <v>0</v>
      </c>
      <c r="L1011" s="9">
        <v>0</v>
      </c>
      <c r="M1011" s="9">
        <v>0</v>
      </c>
      <c r="N1011" s="9">
        <v>0</v>
      </c>
      <c r="O1011" s="243"/>
      <c r="P1011" s="243"/>
      <c r="S1011" s="220"/>
    </row>
    <row r="1012" spans="1:19" x14ac:dyDescent="0.25">
      <c r="A1012" s="241"/>
      <c r="B1012" s="190" t="s">
        <v>15</v>
      </c>
      <c r="C1012" s="4"/>
      <c r="D1012" s="5"/>
      <c r="E1012" s="5"/>
      <c r="F1012" s="5"/>
      <c r="G1012" s="12"/>
      <c r="H1012" s="9">
        <f t="shared" si="370"/>
        <v>0</v>
      </c>
      <c r="I1012" s="9">
        <v>0</v>
      </c>
      <c r="J1012" s="9">
        <v>0</v>
      </c>
      <c r="K1012" s="9">
        <v>0</v>
      </c>
      <c r="L1012" s="9">
        <v>0</v>
      </c>
      <c r="M1012" s="9">
        <v>0</v>
      </c>
      <c r="N1012" s="9">
        <v>0</v>
      </c>
      <c r="O1012" s="243"/>
      <c r="P1012" s="243"/>
    </row>
    <row r="1013" spans="1:19" ht="50.25" customHeight="1" x14ac:dyDescent="0.25">
      <c r="A1013" s="241"/>
      <c r="B1013" s="190" t="s">
        <v>12</v>
      </c>
      <c r="C1013" s="4"/>
      <c r="D1013" s="5"/>
      <c r="E1013" s="5"/>
      <c r="F1013" s="5"/>
      <c r="G1013" s="12"/>
      <c r="H1013" s="9">
        <f t="shared" si="370"/>
        <v>0</v>
      </c>
      <c r="I1013" s="9">
        <v>0</v>
      </c>
      <c r="J1013" s="9">
        <v>0</v>
      </c>
      <c r="K1013" s="9">
        <v>0</v>
      </c>
      <c r="L1013" s="9">
        <v>0</v>
      </c>
      <c r="M1013" s="9">
        <v>0</v>
      </c>
      <c r="N1013" s="9">
        <v>0</v>
      </c>
      <c r="O1013" s="244"/>
      <c r="P1013" s="244"/>
    </row>
    <row r="1014" spans="1:19" ht="25.5" customHeight="1" x14ac:dyDescent="0.25">
      <c r="A1014" s="241" t="s">
        <v>141</v>
      </c>
      <c r="B1014" s="186" t="s">
        <v>111</v>
      </c>
      <c r="C1014" s="4"/>
      <c r="D1014" s="5"/>
      <c r="E1014" s="5"/>
      <c r="F1014" s="5"/>
      <c r="G1014" s="12"/>
      <c r="H1014" s="11">
        <v>44</v>
      </c>
      <c r="I1014" s="11">
        <v>14</v>
      </c>
      <c r="J1014" s="11">
        <v>16</v>
      </c>
      <c r="K1014" s="11">
        <v>5</v>
      </c>
      <c r="L1014" s="11">
        <v>9</v>
      </c>
      <c r="M1014" s="1">
        <v>0</v>
      </c>
      <c r="N1014" s="1">
        <v>0</v>
      </c>
      <c r="O1014" s="268" t="s">
        <v>634</v>
      </c>
      <c r="P1014" s="242" t="s">
        <v>426</v>
      </c>
    </row>
    <row r="1015" spans="1:19" ht="26.4" x14ac:dyDescent="0.25">
      <c r="A1015" s="241"/>
      <c r="B1015" s="190" t="s">
        <v>86</v>
      </c>
      <c r="C1015" s="4"/>
      <c r="D1015" s="5"/>
      <c r="E1015" s="5"/>
      <c r="F1015" s="5"/>
      <c r="G1015" s="12"/>
      <c r="H1015" s="9">
        <f>ROUND(H1016/H1014,1)</f>
        <v>329.5</v>
      </c>
      <c r="I1015" s="9" t="s">
        <v>229</v>
      </c>
      <c r="J1015" s="9" t="s">
        <v>229</v>
      </c>
      <c r="K1015" s="9" t="s">
        <v>229</v>
      </c>
      <c r="L1015" s="9" t="s">
        <v>229</v>
      </c>
      <c r="M1015" s="1">
        <v>0</v>
      </c>
      <c r="N1015" s="1">
        <v>0</v>
      </c>
      <c r="O1015" s="268"/>
      <c r="P1015" s="243"/>
    </row>
    <row r="1016" spans="1:19" x14ac:dyDescent="0.25">
      <c r="A1016" s="241"/>
      <c r="B1016" s="190" t="s">
        <v>74</v>
      </c>
      <c r="C1016" s="4"/>
      <c r="D1016" s="5"/>
      <c r="E1016" s="5"/>
      <c r="F1016" s="5"/>
      <c r="G1016" s="12"/>
      <c r="H1016" s="9">
        <f t="shared" ref="H1016:N1016" si="371">SUM(H1017:H1021)</f>
        <v>14496</v>
      </c>
      <c r="I1016" s="9">
        <f t="shared" si="371"/>
        <v>3764</v>
      </c>
      <c r="J1016" s="9">
        <f t="shared" si="371"/>
        <v>5144</v>
      </c>
      <c r="K1016" s="9">
        <f t="shared" si="371"/>
        <v>4363</v>
      </c>
      <c r="L1016" s="9">
        <f t="shared" si="371"/>
        <v>1225</v>
      </c>
      <c r="M1016" s="9">
        <f t="shared" si="371"/>
        <v>0</v>
      </c>
      <c r="N1016" s="9">
        <f t="shared" si="371"/>
        <v>0</v>
      </c>
      <c r="O1016" s="268"/>
      <c r="P1016" s="243"/>
    </row>
    <row r="1017" spans="1:19" hidden="1" x14ac:dyDescent="0.25">
      <c r="A1017" s="241"/>
      <c r="B1017" s="241" t="s">
        <v>16</v>
      </c>
      <c r="C1017" s="6" t="s">
        <v>41</v>
      </c>
      <c r="D1017" s="5" t="s">
        <v>233</v>
      </c>
      <c r="E1017" s="6" t="s">
        <v>235</v>
      </c>
      <c r="F1017" s="6" t="s">
        <v>269</v>
      </c>
      <c r="G1017" s="13" t="s">
        <v>47</v>
      </c>
      <c r="H1017" s="9">
        <f>I1017+J1017+K1017+L1017</f>
        <v>0</v>
      </c>
      <c r="I1017" s="9">
        <v>0</v>
      </c>
      <c r="J1017" s="9">
        <v>0</v>
      </c>
      <c r="K1017" s="9">
        <v>0</v>
      </c>
      <c r="L1017" s="9">
        <v>0</v>
      </c>
      <c r="M1017" s="9">
        <v>0</v>
      </c>
      <c r="N1017" s="9">
        <v>0</v>
      </c>
      <c r="O1017" s="268"/>
      <c r="P1017" s="243"/>
    </row>
    <row r="1018" spans="1:19" x14ac:dyDescent="0.25">
      <c r="A1018" s="241"/>
      <c r="B1018" s="241"/>
      <c r="C1018" s="6" t="s">
        <v>41</v>
      </c>
      <c r="D1018" s="5" t="s">
        <v>233</v>
      </c>
      <c r="E1018" s="6" t="s">
        <v>235</v>
      </c>
      <c r="F1018" s="6" t="s">
        <v>269</v>
      </c>
      <c r="G1018" s="13" t="s">
        <v>45</v>
      </c>
      <c r="H1018" s="9">
        <f>I1018+J1018+K1018+L1018</f>
        <v>14496</v>
      </c>
      <c r="I1018" s="97">
        <v>3764</v>
      </c>
      <c r="J1018" s="97">
        <v>5144</v>
      </c>
      <c r="K1018" s="97">
        <v>4363</v>
      </c>
      <c r="L1018" s="97">
        <f>2125-900</f>
        <v>1225</v>
      </c>
      <c r="M1018" s="9">
        <v>0</v>
      </c>
      <c r="N1018" s="9">
        <v>0</v>
      </c>
      <c r="O1018" s="268"/>
      <c r="P1018" s="243"/>
    </row>
    <row r="1019" spans="1:19" x14ac:dyDescent="0.25">
      <c r="A1019" s="241"/>
      <c r="B1019" s="190" t="s">
        <v>14</v>
      </c>
      <c r="C1019" s="4"/>
      <c r="D1019" s="5"/>
      <c r="E1019" s="5"/>
      <c r="F1019" s="5"/>
      <c r="G1019" s="12"/>
      <c r="H1019" s="9">
        <f>I1019+J1019+K1019+L1019</f>
        <v>0</v>
      </c>
      <c r="I1019" s="9">
        <v>0</v>
      </c>
      <c r="J1019" s="9">
        <v>0</v>
      </c>
      <c r="K1019" s="9">
        <v>0</v>
      </c>
      <c r="L1019" s="9">
        <v>0</v>
      </c>
      <c r="M1019" s="9">
        <v>0</v>
      </c>
      <c r="N1019" s="9">
        <v>0</v>
      </c>
      <c r="O1019" s="268"/>
      <c r="P1019" s="243"/>
    </row>
    <row r="1020" spans="1:19" x14ac:dyDescent="0.25">
      <c r="A1020" s="241"/>
      <c r="B1020" s="190" t="s">
        <v>15</v>
      </c>
      <c r="C1020" s="4"/>
      <c r="D1020" s="5"/>
      <c r="E1020" s="5"/>
      <c r="F1020" s="5"/>
      <c r="G1020" s="12"/>
      <c r="H1020" s="9">
        <f>I1020+J1020+K1020+L1020</f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268"/>
      <c r="P1020" s="243"/>
    </row>
    <row r="1021" spans="1:19" ht="57.75" customHeight="1" x14ac:dyDescent="0.25">
      <c r="A1021" s="241"/>
      <c r="B1021" s="190" t="s">
        <v>12</v>
      </c>
      <c r="C1021" s="4"/>
      <c r="D1021" s="5"/>
      <c r="E1021" s="5"/>
      <c r="F1021" s="5"/>
      <c r="G1021" s="12"/>
      <c r="H1021" s="9">
        <f>I1021+J1021+K1021+L1021</f>
        <v>0</v>
      </c>
      <c r="I1021" s="9">
        <v>0</v>
      </c>
      <c r="J1021" s="9">
        <v>0</v>
      </c>
      <c r="K1021" s="9">
        <v>0</v>
      </c>
      <c r="L1021" s="9">
        <v>0</v>
      </c>
      <c r="M1021" s="9">
        <v>0</v>
      </c>
      <c r="N1021" s="9">
        <v>0</v>
      </c>
      <c r="O1021" s="268"/>
      <c r="P1021" s="244"/>
    </row>
    <row r="1022" spans="1:19" x14ac:dyDescent="0.25">
      <c r="A1022" s="241" t="s">
        <v>416</v>
      </c>
      <c r="B1022" s="186" t="s">
        <v>111</v>
      </c>
      <c r="C1022" s="4"/>
      <c r="D1022" s="5"/>
      <c r="E1022" s="5"/>
      <c r="F1022" s="5"/>
      <c r="G1022" s="12"/>
      <c r="H1022" s="9">
        <f>SUM(I1022:L1022)</f>
        <v>1</v>
      </c>
      <c r="I1022" s="9">
        <v>0</v>
      </c>
      <c r="J1022" s="9">
        <v>0</v>
      </c>
      <c r="K1022" s="9">
        <v>0</v>
      </c>
      <c r="L1022" s="9">
        <v>1</v>
      </c>
      <c r="M1022" s="9">
        <v>0</v>
      </c>
      <c r="N1022" s="9">
        <v>0</v>
      </c>
      <c r="O1022" s="242" t="s">
        <v>635</v>
      </c>
      <c r="P1022" s="242" t="s">
        <v>425</v>
      </c>
    </row>
    <row r="1023" spans="1:19" ht="26.4" x14ac:dyDescent="0.25">
      <c r="A1023" s="241"/>
      <c r="B1023" s="190" t="s">
        <v>86</v>
      </c>
      <c r="C1023" s="4"/>
      <c r="D1023" s="5"/>
      <c r="E1023" s="5"/>
      <c r="F1023" s="5"/>
      <c r="G1023" s="12"/>
      <c r="H1023" s="9">
        <f>ROUND(H1025/H1022,1)</f>
        <v>900</v>
      </c>
      <c r="I1023" s="9" t="s">
        <v>229</v>
      </c>
      <c r="J1023" s="9" t="s">
        <v>229</v>
      </c>
      <c r="K1023" s="9" t="s">
        <v>229</v>
      </c>
      <c r="L1023" s="9" t="s">
        <v>229</v>
      </c>
      <c r="M1023" s="9">
        <v>0</v>
      </c>
      <c r="N1023" s="9">
        <v>0</v>
      </c>
      <c r="O1023" s="243"/>
      <c r="P1023" s="243"/>
    </row>
    <row r="1024" spans="1:19" x14ac:dyDescent="0.25">
      <c r="A1024" s="241"/>
      <c r="B1024" s="190" t="s">
        <v>74</v>
      </c>
      <c r="C1024" s="4"/>
      <c r="D1024" s="5"/>
      <c r="E1024" s="5"/>
      <c r="F1024" s="5"/>
      <c r="G1024" s="12"/>
      <c r="H1024" s="9">
        <f t="shared" ref="H1024:N1024" si="372">H1025</f>
        <v>900</v>
      </c>
      <c r="I1024" s="9">
        <f t="shared" si="372"/>
        <v>0</v>
      </c>
      <c r="J1024" s="9">
        <f t="shared" si="372"/>
        <v>0</v>
      </c>
      <c r="K1024" s="9">
        <f t="shared" si="372"/>
        <v>0</v>
      </c>
      <c r="L1024" s="9">
        <f t="shared" si="372"/>
        <v>900</v>
      </c>
      <c r="M1024" s="9">
        <f t="shared" si="372"/>
        <v>0</v>
      </c>
      <c r="N1024" s="9">
        <f t="shared" si="372"/>
        <v>0</v>
      </c>
      <c r="O1024" s="243"/>
      <c r="P1024" s="243"/>
    </row>
    <row r="1025" spans="1:16" x14ac:dyDescent="0.25">
      <c r="A1025" s="241"/>
      <c r="B1025" s="190" t="s">
        <v>16</v>
      </c>
      <c r="C1025" s="6" t="s">
        <v>41</v>
      </c>
      <c r="D1025" s="5" t="s">
        <v>233</v>
      </c>
      <c r="E1025" s="6" t="s">
        <v>235</v>
      </c>
      <c r="F1025" s="6" t="s">
        <v>269</v>
      </c>
      <c r="G1025" s="13" t="s">
        <v>45</v>
      </c>
      <c r="H1025" s="8">
        <f>I1025+J1025+K1025+L1025</f>
        <v>900</v>
      </c>
      <c r="I1025" s="9">
        <v>0</v>
      </c>
      <c r="J1025" s="9">
        <v>0</v>
      </c>
      <c r="K1025" s="9">
        <v>0</v>
      </c>
      <c r="L1025" s="9">
        <v>900</v>
      </c>
      <c r="M1025" s="9">
        <v>0</v>
      </c>
      <c r="N1025" s="9">
        <v>0</v>
      </c>
      <c r="O1025" s="243"/>
      <c r="P1025" s="243"/>
    </row>
    <row r="1026" spans="1:16" s="53" customFormat="1" x14ac:dyDescent="0.25">
      <c r="A1026" s="241"/>
      <c r="B1026" s="190" t="s">
        <v>14</v>
      </c>
      <c r="C1026" s="4"/>
      <c r="D1026" s="5"/>
      <c r="E1026" s="5"/>
      <c r="F1026" s="5"/>
      <c r="G1026" s="12"/>
      <c r="H1026" s="8">
        <f>I1026+J1026+K1026+L1026</f>
        <v>0</v>
      </c>
      <c r="I1026" s="9">
        <v>0</v>
      </c>
      <c r="J1026" s="9">
        <v>0</v>
      </c>
      <c r="K1026" s="9">
        <v>0</v>
      </c>
      <c r="L1026" s="9">
        <v>0</v>
      </c>
      <c r="M1026" s="9">
        <v>0</v>
      </c>
      <c r="N1026" s="9">
        <v>0</v>
      </c>
      <c r="O1026" s="243"/>
      <c r="P1026" s="243"/>
    </row>
    <row r="1027" spans="1:16" s="53" customFormat="1" x14ac:dyDescent="0.25">
      <c r="A1027" s="241"/>
      <c r="B1027" s="190" t="s">
        <v>15</v>
      </c>
      <c r="C1027" s="4"/>
      <c r="D1027" s="5"/>
      <c r="E1027" s="5"/>
      <c r="F1027" s="5"/>
      <c r="G1027" s="12"/>
      <c r="H1027" s="8">
        <f>I1027+J1027+K1027+L1027</f>
        <v>0</v>
      </c>
      <c r="I1027" s="9">
        <v>0</v>
      </c>
      <c r="J1027" s="9">
        <v>0</v>
      </c>
      <c r="K1027" s="9">
        <v>0</v>
      </c>
      <c r="L1027" s="9">
        <v>0</v>
      </c>
      <c r="M1027" s="9">
        <v>0</v>
      </c>
      <c r="N1027" s="9">
        <v>0</v>
      </c>
      <c r="O1027" s="243"/>
      <c r="P1027" s="243"/>
    </row>
    <row r="1028" spans="1:16" s="53" customFormat="1" x14ac:dyDescent="0.25">
      <c r="A1028" s="241"/>
      <c r="B1028" s="190" t="s">
        <v>12</v>
      </c>
      <c r="C1028" s="4"/>
      <c r="D1028" s="5"/>
      <c r="E1028" s="5"/>
      <c r="F1028" s="5"/>
      <c r="G1028" s="12"/>
      <c r="H1028" s="8">
        <f>I1028+J1028+K1028+L1028</f>
        <v>0</v>
      </c>
      <c r="I1028" s="9">
        <v>0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244"/>
      <c r="P1028" s="244"/>
    </row>
    <row r="1029" spans="1:16" s="53" customFormat="1" x14ac:dyDescent="0.25">
      <c r="A1029" s="241" t="s">
        <v>417</v>
      </c>
      <c r="B1029" s="186" t="s">
        <v>111</v>
      </c>
      <c r="C1029" s="4"/>
      <c r="D1029" s="5"/>
      <c r="E1029" s="5"/>
      <c r="F1029" s="5"/>
      <c r="G1029" s="12"/>
      <c r="H1029" s="11">
        <v>3</v>
      </c>
      <c r="I1029" s="11">
        <v>1</v>
      </c>
      <c r="J1029" s="11">
        <v>1</v>
      </c>
      <c r="K1029" s="11">
        <v>0</v>
      </c>
      <c r="L1029" s="11">
        <v>1</v>
      </c>
      <c r="M1029" s="11">
        <v>3</v>
      </c>
      <c r="N1029" s="11">
        <v>3</v>
      </c>
      <c r="O1029" s="268" t="s">
        <v>636</v>
      </c>
      <c r="P1029" s="242" t="s">
        <v>185</v>
      </c>
    </row>
    <row r="1030" spans="1:16" s="53" customFormat="1" ht="26.4" x14ac:dyDescent="0.25">
      <c r="A1030" s="241"/>
      <c r="B1030" s="190" t="s">
        <v>86</v>
      </c>
      <c r="C1030" s="4"/>
      <c r="D1030" s="5"/>
      <c r="E1030" s="5"/>
      <c r="F1030" s="5"/>
      <c r="G1030" s="12"/>
      <c r="H1030" s="9">
        <f t="shared" ref="H1030:N1030" si="373">ROUND(H1031/H1029,1)</f>
        <v>256.7</v>
      </c>
      <c r="I1030" s="9" t="s">
        <v>229</v>
      </c>
      <c r="J1030" s="9" t="s">
        <v>229</v>
      </c>
      <c r="K1030" s="9" t="s">
        <v>229</v>
      </c>
      <c r="L1030" s="9" t="s">
        <v>229</v>
      </c>
      <c r="M1030" s="9">
        <f t="shared" si="373"/>
        <v>256.7</v>
      </c>
      <c r="N1030" s="9">
        <f t="shared" si="373"/>
        <v>256.7</v>
      </c>
      <c r="O1030" s="268"/>
      <c r="P1030" s="243"/>
    </row>
    <row r="1031" spans="1:16" s="53" customFormat="1" x14ac:dyDescent="0.25">
      <c r="A1031" s="241"/>
      <c r="B1031" s="190" t="s">
        <v>74</v>
      </c>
      <c r="C1031" s="4"/>
      <c r="D1031" s="5"/>
      <c r="E1031" s="5"/>
      <c r="F1031" s="5"/>
      <c r="G1031" s="12"/>
      <c r="H1031" s="9">
        <f t="shared" ref="H1031:N1031" si="374">SUM(H1032:H1035)</f>
        <v>770</v>
      </c>
      <c r="I1031" s="9">
        <f t="shared" si="374"/>
        <v>330</v>
      </c>
      <c r="J1031" s="9">
        <f t="shared" si="374"/>
        <v>398.8</v>
      </c>
      <c r="K1031" s="9">
        <f t="shared" si="374"/>
        <v>0</v>
      </c>
      <c r="L1031" s="9">
        <f t="shared" si="374"/>
        <v>41.2</v>
      </c>
      <c r="M1031" s="9">
        <f t="shared" si="374"/>
        <v>770</v>
      </c>
      <c r="N1031" s="9">
        <f t="shared" si="374"/>
        <v>770</v>
      </c>
      <c r="O1031" s="268"/>
      <c r="P1031" s="243"/>
    </row>
    <row r="1032" spans="1:16" s="53" customFormat="1" x14ac:dyDescent="0.25">
      <c r="A1032" s="241"/>
      <c r="B1032" s="190" t="s">
        <v>16</v>
      </c>
      <c r="C1032" s="6" t="s">
        <v>43</v>
      </c>
      <c r="D1032" s="5" t="s">
        <v>241</v>
      </c>
      <c r="E1032" s="6" t="s">
        <v>232</v>
      </c>
      <c r="F1032" s="6" t="s">
        <v>276</v>
      </c>
      <c r="G1032" s="13" t="s">
        <v>45</v>
      </c>
      <c r="H1032" s="8">
        <f>I1032+J1032+K1032+L1032</f>
        <v>770</v>
      </c>
      <c r="I1032" s="97">
        <v>330</v>
      </c>
      <c r="J1032" s="97">
        <v>398.8</v>
      </c>
      <c r="K1032" s="97">
        <v>0</v>
      </c>
      <c r="L1032" s="97">
        <v>41.2</v>
      </c>
      <c r="M1032" s="9">
        <v>770</v>
      </c>
      <c r="N1032" s="9">
        <v>770</v>
      </c>
      <c r="O1032" s="268"/>
      <c r="P1032" s="243"/>
    </row>
    <row r="1033" spans="1:16" x14ac:dyDescent="0.25">
      <c r="A1033" s="241"/>
      <c r="B1033" s="190" t="s">
        <v>14</v>
      </c>
      <c r="C1033" s="4"/>
      <c r="D1033" s="5"/>
      <c r="E1033" s="5"/>
      <c r="F1033" s="5"/>
      <c r="G1033" s="12"/>
      <c r="H1033" s="9">
        <f>I1033+J1033+K1033+L1033</f>
        <v>0</v>
      </c>
      <c r="I1033" s="9">
        <v>0</v>
      </c>
      <c r="J1033" s="9">
        <v>0</v>
      </c>
      <c r="K1033" s="9">
        <v>0</v>
      </c>
      <c r="L1033" s="9">
        <v>0</v>
      </c>
      <c r="M1033" s="9">
        <v>0</v>
      </c>
      <c r="N1033" s="9">
        <v>0</v>
      </c>
      <c r="O1033" s="268"/>
      <c r="P1033" s="243"/>
    </row>
    <row r="1034" spans="1:16" x14ac:dyDescent="0.25">
      <c r="A1034" s="241"/>
      <c r="B1034" s="190" t="s">
        <v>15</v>
      </c>
      <c r="C1034" s="4"/>
      <c r="D1034" s="5"/>
      <c r="E1034" s="5"/>
      <c r="F1034" s="5"/>
      <c r="G1034" s="12"/>
      <c r="H1034" s="9">
        <f>I1034+J1034+K1034+L1034</f>
        <v>0</v>
      </c>
      <c r="I1034" s="9">
        <v>0</v>
      </c>
      <c r="J1034" s="9">
        <v>0</v>
      </c>
      <c r="K1034" s="9">
        <v>0</v>
      </c>
      <c r="L1034" s="9">
        <v>0</v>
      </c>
      <c r="M1034" s="9">
        <v>0</v>
      </c>
      <c r="N1034" s="9">
        <v>0</v>
      </c>
      <c r="O1034" s="268"/>
      <c r="P1034" s="243"/>
    </row>
    <row r="1035" spans="1:16" x14ac:dyDescent="0.25">
      <c r="A1035" s="241"/>
      <c r="B1035" s="190" t="s">
        <v>12</v>
      </c>
      <c r="C1035" s="4"/>
      <c r="D1035" s="5"/>
      <c r="E1035" s="5"/>
      <c r="F1035" s="5"/>
      <c r="G1035" s="12"/>
      <c r="H1035" s="9">
        <f>I1035+J1035+K1035+L1035</f>
        <v>0</v>
      </c>
      <c r="I1035" s="9">
        <v>0</v>
      </c>
      <c r="J1035" s="9">
        <v>0</v>
      </c>
      <c r="K1035" s="9">
        <v>0</v>
      </c>
      <c r="L1035" s="9">
        <v>0</v>
      </c>
      <c r="M1035" s="9">
        <v>0</v>
      </c>
      <c r="N1035" s="9">
        <v>0</v>
      </c>
      <c r="O1035" s="268"/>
      <c r="P1035" s="244"/>
    </row>
    <row r="1036" spans="1:16" x14ac:dyDescent="0.25">
      <c r="A1036" s="241" t="s">
        <v>142</v>
      </c>
      <c r="B1036" s="190" t="s">
        <v>104</v>
      </c>
      <c r="C1036" s="4"/>
      <c r="D1036" s="5"/>
      <c r="E1036" s="5"/>
      <c r="F1036" s="5"/>
      <c r="G1036" s="12"/>
      <c r="H1036" s="9">
        <f>H1046+H1061+H1054+H1069+H1076+H1086+H1093+H1100</f>
        <v>72</v>
      </c>
      <c r="I1036" s="9">
        <f t="shared" ref="I1036:N1036" si="375">I1046+I1061+I1054+I1069+I1076+I1086+I1093+I1100</f>
        <v>20</v>
      </c>
      <c r="J1036" s="9">
        <f t="shared" si="375"/>
        <v>22</v>
      </c>
      <c r="K1036" s="9">
        <f t="shared" si="375"/>
        <v>23</v>
      </c>
      <c r="L1036" s="9">
        <f t="shared" si="375"/>
        <v>7</v>
      </c>
      <c r="M1036" s="9">
        <f t="shared" si="375"/>
        <v>84</v>
      </c>
      <c r="N1036" s="9">
        <f t="shared" si="375"/>
        <v>84</v>
      </c>
      <c r="O1036" s="268" t="s">
        <v>403</v>
      </c>
      <c r="P1036" s="268" t="s">
        <v>329</v>
      </c>
    </row>
    <row r="1037" spans="1:16" ht="26.4" x14ac:dyDescent="0.25">
      <c r="A1037" s="241"/>
      <c r="B1037" s="190" t="s">
        <v>86</v>
      </c>
      <c r="C1037" s="4"/>
      <c r="D1037" s="5"/>
      <c r="E1037" s="5"/>
      <c r="F1037" s="5"/>
      <c r="G1037" s="12"/>
      <c r="H1037" s="9">
        <f t="shared" ref="H1037:N1037" si="376">ROUND(H1038/H1036,1)</f>
        <v>467.9</v>
      </c>
      <c r="I1037" s="9" t="s">
        <v>229</v>
      </c>
      <c r="J1037" s="9" t="s">
        <v>229</v>
      </c>
      <c r="K1037" s="9" t="s">
        <v>229</v>
      </c>
      <c r="L1037" s="9" t="s">
        <v>229</v>
      </c>
      <c r="M1037" s="9">
        <f t="shared" si="376"/>
        <v>422.5</v>
      </c>
      <c r="N1037" s="9">
        <f t="shared" si="376"/>
        <v>446.3</v>
      </c>
      <c r="O1037" s="268"/>
      <c r="P1037" s="268"/>
    </row>
    <row r="1038" spans="1:16" x14ac:dyDescent="0.25">
      <c r="A1038" s="241"/>
      <c r="B1038" s="190" t="s">
        <v>74</v>
      </c>
      <c r="C1038" s="4"/>
      <c r="D1038" s="5"/>
      <c r="E1038" s="5"/>
      <c r="F1038" s="5"/>
      <c r="G1038" s="12"/>
      <c r="H1038" s="9">
        <f>SUM(H1039:H1045)</f>
        <v>33686.300000000003</v>
      </c>
      <c r="I1038" s="9">
        <f t="shared" ref="I1038:N1038" si="377">SUM(I1039:I1045)</f>
        <v>8236.7000000000007</v>
      </c>
      <c r="J1038" s="9">
        <f t="shared" si="377"/>
        <v>13206.8</v>
      </c>
      <c r="K1038" s="9">
        <f t="shared" si="377"/>
        <v>5995.5</v>
      </c>
      <c r="L1038" s="9">
        <f t="shared" si="377"/>
        <v>6247.3</v>
      </c>
      <c r="M1038" s="9">
        <f t="shared" si="377"/>
        <v>35486.300000000003</v>
      </c>
      <c r="N1038" s="9">
        <f t="shared" si="377"/>
        <v>37486.300000000003</v>
      </c>
      <c r="O1038" s="268"/>
      <c r="P1038" s="268"/>
    </row>
    <row r="1039" spans="1:16" hidden="1" x14ac:dyDescent="0.25">
      <c r="A1039" s="241"/>
      <c r="B1039" s="238" t="s">
        <v>16</v>
      </c>
      <c r="C1039" s="13" t="str">
        <f>C1049</f>
        <v>136</v>
      </c>
      <c r="D1039" s="13" t="str">
        <f t="shared" ref="D1039:G1040" si="378">D1049</f>
        <v>07</v>
      </c>
      <c r="E1039" s="13" t="str">
        <f t="shared" si="378"/>
        <v>09</v>
      </c>
      <c r="F1039" s="6" t="s">
        <v>270</v>
      </c>
      <c r="G1039" s="13" t="str">
        <f t="shared" si="378"/>
        <v>244</v>
      </c>
      <c r="H1039" s="9">
        <f>H1049+H1079+H1080+H1081</f>
        <v>0</v>
      </c>
      <c r="I1039" s="9">
        <f t="shared" ref="I1039:N1039" si="379">I1049+I1079+I1080+I1081</f>
        <v>0</v>
      </c>
      <c r="J1039" s="9">
        <f t="shared" si="379"/>
        <v>0</v>
      </c>
      <c r="K1039" s="9">
        <f t="shared" si="379"/>
        <v>0</v>
      </c>
      <c r="L1039" s="9">
        <f t="shared" si="379"/>
        <v>0</v>
      </c>
      <c r="M1039" s="9">
        <f t="shared" si="379"/>
        <v>0</v>
      </c>
      <c r="N1039" s="9">
        <f t="shared" si="379"/>
        <v>0</v>
      </c>
      <c r="O1039" s="268"/>
      <c r="P1039" s="268"/>
    </row>
    <row r="1040" spans="1:16" x14ac:dyDescent="0.25">
      <c r="A1040" s="241"/>
      <c r="B1040" s="239"/>
      <c r="C1040" s="13" t="str">
        <f>C1050</f>
        <v>136</v>
      </c>
      <c r="D1040" s="13" t="str">
        <f t="shared" si="378"/>
        <v>07</v>
      </c>
      <c r="E1040" s="13" t="str">
        <f t="shared" si="378"/>
        <v>09</v>
      </c>
      <c r="F1040" s="6" t="s">
        <v>270</v>
      </c>
      <c r="G1040" s="13" t="str">
        <f t="shared" si="378"/>
        <v>622</v>
      </c>
      <c r="H1040" s="9">
        <f t="shared" ref="H1040:N1040" si="380">H1050+H1064+H1082+H1089+H1096+H1103+H1072</f>
        <v>31462.3</v>
      </c>
      <c r="I1040" s="9">
        <f t="shared" si="380"/>
        <v>7460</v>
      </c>
      <c r="J1040" s="9">
        <f t="shared" si="380"/>
        <v>12820</v>
      </c>
      <c r="K1040" s="9">
        <f t="shared" si="380"/>
        <v>4935</v>
      </c>
      <c r="L1040" s="9">
        <f t="shared" si="380"/>
        <v>6247.3</v>
      </c>
      <c r="M1040" s="9">
        <f t="shared" si="380"/>
        <v>33262.300000000003</v>
      </c>
      <c r="N1040" s="9">
        <f t="shared" si="380"/>
        <v>35262.300000000003</v>
      </c>
      <c r="O1040" s="268"/>
      <c r="P1040" s="268"/>
    </row>
    <row r="1041" spans="1:16" x14ac:dyDescent="0.25">
      <c r="A1041" s="241"/>
      <c r="B1041" s="239"/>
      <c r="C1041" s="13" t="str">
        <f>C1057</f>
        <v>131</v>
      </c>
      <c r="D1041" s="13" t="str">
        <f t="shared" ref="D1041:N1041" si="381">D1057</f>
        <v>08</v>
      </c>
      <c r="E1041" s="13" t="str">
        <f t="shared" si="381"/>
        <v>01</v>
      </c>
      <c r="F1041" s="13" t="str">
        <f t="shared" si="381"/>
        <v>0730403679</v>
      </c>
      <c r="G1041" s="13" t="str">
        <f t="shared" si="381"/>
        <v>622</v>
      </c>
      <c r="H1041" s="9">
        <f t="shared" si="381"/>
        <v>630</v>
      </c>
      <c r="I1041" s="9">
        <f t="shared" si="381"/>
        <v>630</v>
      </c>
      <c r="J1041" s="9">
        <f t="shared" si="381"/>
        <v>0</v>
      </c>
      <c r="K1041" s="9">
        <f t="shared" si="381"/>
        <v>0</v>
      </c>
      <c r="L1041" s="9">
        <f t="shared" si="381"/>
        <v>0</v>
      </c>
      <c r="M1041" s="9">
        <f t="shared" si="381"/>
        <v>630</v>
      </c>
      <c r="N1041" s="9">
        <f t="shared" si="381"/>
        <v>630</v>
      </c>
      <c r="O1041" s="268"/>
      <c r="P1041" s="268"/>
    </row>
    <row r="1042" spans="1:16" x14ac:dyDescent="0.25">
      <c r="A1042" s="241"/>
      <c r="B1042" s="240"/>
      <c r="C1042" s="13">
        <v>136</v>
      </c>
      <c r="D1042" s="6" t="s">
        <v>233</v>
      </c>
      <c r="E1042" s="6" t="s">
        <v>235</v>
      </c>
      <c r="F1042" s="6" t="s">
        <v>270</v>
      </c>
      <c r="G1042" s="13">
        <v>612</v>
      </c>
      <c r="H1042" s="9">
        <f>H1065</f>
        <v>1594</v>
      </c>
      <c r="I1042" s="9">
        <f t="shared" ref="I1042:N1042" si="382">I1065</f>
        <v>146.69999999999999</v>
      </c>
      <c r="J1042" s="9">
        <f t="shared" si="382"/>
        <v>386.8</v>
      </c>
      <c r="K1042" s="9">
        <f t="shared" si="382"/>
        <v>1060.5</v>
      </c>
      <c r="L1042" s="9">
        <f t="shared" si="382"/>
        <v>0</v>
      </c>
      <c r="M1042" s="9">
        <f t="shared" si="382"/>
        <v>1594</v>
      </c>
      <c r="N1042" s="9">
        <f t="shared" si="382"/>
        <v>1594</v>
      </c>
      <c r="O1042" s="268"/>
      <c r="P1042" s="268"/>
    </row>
    <row r="1043" spans="1:16" x14ac:dyDescent="0.25">
      <c r="A1043" s="241"/>
      <c r="B1043" s="190" t="s">
        <v>14</v>
      </c>
      <c r="C1043" s="12"/>
      <c r="D1043" s="12"/>
      <c r="E1043" s="12"/>
      <c r="F1043" s="12"/>
      <c r="G1043" s="12"/>
      <c r="H1043" s="9">
        <f t="shared" ref="H1043:N1045" si="383">H1051+H1058+H1066+H1083</f>
        <v>0</v>
      </c>
      <c r="I1043" s="9">
        <f t="shared" si="383"/>
        <v>0</v>
      </c>
      <c r="J1043" s="9">
        <f t="shared" si="383"/>
        <v>0</v>
      </c>
      <c r="K1043" s="9">
        <f t="shared" si="383"/>
        <v>0</v>
      </c>
      <c r="L1043" s="9">
        <f t="shared" si="383"/>
        <v>0</v>
      </c>
      <c r="M1043" s="9">
        <f t="shared" si="383"/>
        <v>0</v>
      </c>
      <c r="N1043" s="9">
        <f t="shared" si="383"/>
        <v>0</v>
      </c>
      <c r="O1043" s="268"/>
      <c r="P1043" s="268"/>
    </row>
    <row r="1044" spans="1:16" x14ac:dyDescent="0.25">
      <c r="A1044" s="241"/>
      <c r="B1044" s="190" t="s">
        <v>15</v>
      </c>
      <c r="C1044" s="12"/>
      <c r="D1044" s="12"/>
      <c r="E1044" s="12"/>
      <c r="F1044" s="12"/>
      <c r="G1044" s="12"/>
      <c r="H1044" s="9">
        <f t="shared" si="383"/>
        <v>0</v>
      </c>
      <c r="I1044" s="9">
        <f t="shared" si="383"/>
        <v>0</v>
      </c>
      <c r="J1044" s="9">
        <f t="shared" si="383"/>
        <v>0</v>
      </c>
      <c r="K1044" s="9">
        <f t="shared" si="383"/>
        <v>0</v>
      </c>
      <c r="L1044" s="9">
        <f t="shared" si="383"/>
        <v>0</v>
      </c>
      <c r="M1044" s="9">
        <f t="shared" si="383"/>
        <v>0</v>
      </c>
      <c r="N1044" s="9">
        <f t="shared" si="383"/>
        <v>0</v>
      </c>
      <c r="O1044" s="268"/>
      <c r="P1044" s="268"/>
    </row>
    <row r="1045" spans="1:16" x14ac:dyDescent="0.25">
      <c r="A1045" s="241"/>
      <c r="B1045" s="190" t="s">
        <v>12</v>
      </c>
      <c r="C1045" s="12"/>
      <c r="D1045" s="12"/>
      <c r="E1045" s="12"/>
      <c r="F1045" s="12"/>
      <c r="G1045" s="12"/>
      <c r="H1045" s="9">
        <f t="shared" si="383"/>
        <v>0</v>
      </c>
      <c r="I1045" s="9">
        <f t="shared" si="383"/>
        <v>0</v>
      </c>
      <c r="J1045" s="9">
        <f t="shared" si="383"/>
        <v>0</v>
      </c>
      <c r="K1045" s="9">
        <f t="shared" si="383"/>
        <v>0</v>
      </c>
      <c r="L1045" s="9">
        <f t="shared" si="383"/>
        <v>0</v>
      </c>
      <c r="M1045" s="9">
        <f t="shared" si="383"/>
        <v>0</v>
      </c>
      <c r="N1045" s="9">
        <f t="shared" si="383"/>
        <v>0</v>
      </c>
      <c r="O1045" s="268"/>
      <c r="P1045" s="268"/>
    </row>
    <row r="1046" spans="1:16" x14ac:dyDescent="0.25">
      <c r="A1046" s="241" t="s">
        <v>152</v>
      </c>
      <c r="B1046" s="190" t="s">
        <v>111</v>
      </c>
      <c r="C1046" s="4"/>
      <c r="D1046" s="5"/>
      <c r="E1046" s="5"/>
      <c r="F1046" s="5"/>
      <c r="G1046" s="12"/>
      <c r="H1046" s="9">
        <v>27</v>
      </c>
      <c r="I1046" s="9">
        <v>8</v>
      </c>
      <c r="J1046" s="9">
        <v>8</v>
      </c>
      <c r="K1046" s="9">
        <v>7</v>
      </c>
      <c r="L1046" s="9">
        <v>4</v>
      </c>
      <c r="M1046" s="9">
        <v>39</v>
      </c>
      <c r="N1046" s="9">
        <v>39</v>
      </c>
      <c r="O1046" s="268" t="s">
        <v>222</v>
      </c>
      <c r="P1046" s="242" t="s">
        <v>170</v>
      </c>
    </row>
    <row r="1047" spans="1:16" ht="26.4" x14ac:dyDescent="0.25">
      <c r="A1047" s="241"/>
      <c r="B1047" s="190" t="s">
        <v>90</v>
      </c>
      <c r="C1047" s="4"/>
      <c r="D1047" s="5"/>
      <c r="E1047" s="5"/>
      <c r="F1047" s="5"/>
      <c r="G1047" s="12"/>
      <c r="H1047" s="9">
        <f t="shared" ref="H1047:N1047" si="384">ROUND(H1048/H1046,1)</f>
        <v>329.4</v>
      </c>
      <c r="I1047" s="9" t="s">
        <v>229</v>
      </c>
      <c r="J1047" s="9" t="s">
        <v>229</v>
      </c>
      <c r="K1047" s="9" t="s">
        <v>229</v>
      </c>
      <c r="L1047" s="9" t="s">
        <v>229</v>
      </c>
      <c r="M1047" s="9">
        <f t="shared" si="384"/>
        <v>305</v>
      </c>
      <c r="N1047" s="9">
        <f t="shared" si="384"/>
        <v>356.3</v>
      </c>
      <c r="O1047" s="268"/>
      <c r="P1047" s="243"/>
    </row>
    <row r="1048" spans="1:16" x14ac:dyDescent="0.25">
      <c r="A1048" s="241"/>
      <c r="B1048" s="190" t="s">
        <v>77</v>
      </c>
      <c r="C1048" s="4"/>
      <c r="D1048" s="5"/>
      <c r="E1048" s="5"/>
      <c r="F1048" s="5"/>
      <c r="G1048" s="12"/>
      <c r="H1048" s="9">
        <f t="shared" ref="H1048:N1048" si="385">SUM(H1049:H1053)</f>
        <v>8895</v>
      </c>
      <c r="I1048" s="9">
        <f t="shared" si="385"/>
        <v>3960</v>
      </c>
      <c r="J1048" s="9">
        <f t="shared" si="385"/>
        <v>2850</v>
      </c>
      <c r="K1048" s="9">
        <f t="shared" si="385"/>
        <v>1835</v>
      </c>
      <c r="L1048" s="9">
        <f t="shared" si="385"/>
        <v>250</v>
      </c>
      <c r="M1048" s="9">
        <f t="shared" si="385"/>
        <v>11895</v>
      </c>
      <c r="N1048" s="9">
        <f t="shared" si="385"/>
        <v>13895</v>
      </c>
      <c r="O1048" s="268"/>
      <c r="P1048" s="243"/>
    </row>
    <row r="1049" spans="1:16" hidden="1" x14ac:dyDescent="0.25">
      <c r="A1049" s="241"/>
      <c r="B1049" s="241" t="s">
        <v>16</v>
      </c>
      <c r="C1049" s="6" t="s">
        <v>41</v>
      </c>
      <c r="D1049" s="5" t="s">
        <v>233</v>
      </c>
      <c r="E1049" s="6" t="s">
        <v>235</v>
      </c>
      <c r="F1049" s="6" t="s">
        <v>270</v>
      </c>
      <c r="G1049" s="13" t="s">
        <v>47</v>
      </c>
      <c r="H1049" s="9">
        <f>I1049+J1049+K1049+L1049</f>
        <v>0</v>
      </c>
      <c r="I1049" s="97">
        <v>0</v>
      </c>
      <c r="J1049" s="97">
        <v>0</v>
      </c>
      <c r="K1049" s="97">
        <v>0</v>
      </c>
      <c r="L1049" s="97">
        <v>0</v>
      </c>
      <c r="M1049" s="9">
        <v>0</v>
      </c>
      <c r="N1049" s="9">
        <v>0</v>
      </c>
      <c r="O1049" s="268"/>
      <c r="P1049" s="243"/>
    </row>
    <row r="1050" spans="1:16" x14ac:dyDescent="0.25">
      <c r="A1050" s="241"/>
      <c r="B1050" s="241"/>
      <c r="C1050" s="6" t="s">
        <v>41</v>
      </c>
      <c r="D1050" s="5" t="s">
        <v>233</v>
      </c>
      <c r="E1050" s="6" t="s">
        <v>235</v>
      </c>
      <c r="F1050" s="6" t="s">
        <v>270</v>
      </c>
      <c r="G1050" s="13" t="s">
        <v>45</v>
      </c>
      <c r="H1050" s="9">
        <f>I1050+J1050+K1050+L1050</f>
        <v>8895</v>
      </c>
      <c r="I1050" s="97">
        <v>3960</v>
      </c>
      <c r="J1050" s="97">
        <v>2850</v>
      </c>
      <c r="K1050" s="97">
        <v>1835</v>
      </c>
      <c r="L1050" s="97">
        <v>250</v>
      </c>
      <c r="M1050" s="9">
        <v>11895</v>
      </c>
      <c r="N1050" s="9">
        <v>13895</v>
      </c>
      <c r="O1050" s="268"/>
      <c r="P1050" s="243"/>
    </row>
    <row r="1051" spans="1:16" x14ac:dyDescent="0.25">
      <c r="A1051" s="241"/>
      <c r="B1051" s="190" t="s">
        <v>14</v>
      </c>
      <c r="C1051" s="4"/>
      <c r="D1051" s="5"/>
      <c r="E1051" s="5"/>
      <c r="F1051" s="5"/>
      <c r="G1051" s="12"/>
      <c r="H1051" s="9">
        <f>I1051+J1051+K1051+L1051</f>
        <v>0</v>
      </c>
      <c r="I1051" s="9">
        <v>0</v>
      </c>
      <c r="J1051" s="9">
        <v>0</v>
      </c>
      <c r="K1051" s="9">
        <v>0</v>
      </c>
      <c r="L1051" s="9">
        <v>0</v>
      </c>
      <c r="M1051" s="9">
        <v>0</v>
      </c>
      <c r="N1051" s="9">
        <v>0</v>
      </c>
      <c r="O1051" s="268"/>
      <c r="P1051" s="243"/>
    </row>
    <row r="1052" spans="1:16" x14ac:dyDescent="0.25">
      <c r="A1052" s="241"/>
      <c r="B1052" s="190" t="s">
        <v>15</v>
      </c>
      <c r="C1052" s="4"/>
      <c r="D1052" s="5"/>
      <c r="E1052" s="5"/>
      <c r="F1052" s="5"/>
      <c r="G1052" s="12"/>
      <c r="H1052" s="9">
        <f>I1052+J1052+K1052+L1052</f>
        <v>0</v>
      </c>
      <c r="I1052" s="9">
        <v>0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268"/>
      <c r="P1052" s="243"/>
    </row>
    <row r="1053" spans="1:16" ht="51.75" customHeight="1" x14ac:dyDescent="0.25">
      <c r="A1053" s="241"/>
      <c r="B1053" s="190" t="s">
        <v>12</v>
      </c>
      <c r="C1053" s="4"/>
      <c r="D1053" s="5"/>
      <c r="E1053" s="5"/>
      <c r="F1053" s="5"/>
      <c r="G1053" s="12"/>
      <c r="H1053" s="9">
        <f>I1053+J1053+K1053+L1053</f>
        <v>0</v>
      </c>
      <c r="I1053" s="9">
        <v>0</v>
      </c>
      <c r="J1053" s="9">
        <v>0</v>
      </c>
      <c r="K1053" s="9">
        <v>0</v>
      </c>
      <c r="L1053" s="9">
        <v>0</v>
      </c>
      <c r="M1053" s="9">
        <v>0</v>
      </c>
      <c r="N1053" s="9">
        <v>0</v>
      </c>
      <c r="O1053" s="268"/>
      <c r="P1053" s="244"/>
    </row>
    <row r="1054" spans="1:16" x14ac:dyDescent="0.25">
      <c r="A1054" s="241" t="s">
        <v>181</v>
      </c>
      <c r="B1054" s="190" t="s">
        <v>104</v>
      </c>
      <c r="C1054" s="4"/>
      <c r="D1054" s="5"/>
      <c r="E1054" s="5"/>
      <c r="F1054" s="5"/>
      <c r="G1054" s="12"/>
      <c r="H1054" s="11">
        <v>1</v>
      </c>
      <c r="I1054" s="11">
        <v>1</v>
      </c>
      <c r="J1054" s="11">
        <v>0</v>
      </c>
      <c r="K1054" s="11">
        <v>0</v>
      </c>
      <c r="L1054" s="11">
        <v>0</v>
      </c>
      <c r="M1054" s="11">
        <v>1</v>
      </c>
      <c r="N1054" s="11">
        <v>1</v>
      </c>
      <c r="O1054" s="268" t="s">
        <v>372</v>
      </c>
      <c r="P1054" s="242" t="s">
        <v>182</v>
      </c>
    </row>
    <row r="1055" spans="1:16" ht="26.4" x14ac:dyDescent="0.25">
      <c r="A1055" s="241"/>
      <c r="B1055" s="190" t="s">
        <v>87</v>
      </c>
      <c r="C1055" s="4"/>
      <c r="D1055" s="5"/>
      <c r="E1055" s="5"/>
      <c r="F1055" s="5"/>
      <c r="G1055" s="12"/>
      <c r="H1055" s="9">
        <f t="shared" ref="H1055:N1055" si="386">ROUND(H1056/H1054,1)</f>
        <v>630</v>
      </c>
      <c r="I1055" s="9" t="s">
        <v>229</v>
      </c>
      <c r="J1055" s="9" t="s">
        <v>229</v>
      </c>
      <c r="K1055" s="9" t="s">
        <v>229</v>
      </c>
      <c r="L1055" s="9" t="s">
        <v>229</v>
      </c>
      <c r="M1055" s="9">
        <f t="shared" si="386"/>
        <v>630</v>
      </c>
      <c r="N1055" s="9">
        <f t="shared" si="386"/>
        <v>630</v>
      </c>
      <c r="O1055" s="268"/>
      <c r="P1055" s="243"/>
    </row>
    <row r="1056" spans="1:16" x14ac:dyDescent="0.25">
      <c r="A1056" s="241"/>
      <c r="B1056" s="190" t="s">
        <v>74</v>
      </c>
      <c r="C1056" s="4"/>
      <c r="D1056" s="5"/>
      <c r="E1056" s="5"/>
      <c r="F1056" s="5"/>
      <c r="G1056" s="12"/>
      <c r="H1056" s="9">
        <f t="shared" ref="H1056:N1056" si="387">SUM(H1057:H1060)</f>
        <v>630</v>
      </c>
      <c r="I1056" s="9">
        <f t="shared" si="387"/>
        <v>630</v>
      </c>
      <c r="J1056" s="9">
        <v>0</v>
      </c>
      <c r="K1056" s="9">
        <f t="shared" si="387"/>
        <v>0</v>
      </c>
      <c r="L1056" s="9">
        <f t="shared" si="387"/>
        <v>0</v>
      </c>
      <c r="M1056" s="9">
        <f t="shared" si="387"/>
        <v>630</v>
      </c>
      <c r="N1056" s="9">
        <f t="shared" si="387"/>
        <v>630</v>
      </c>
      <c r="O1056" s="268"/>
      <c r="P1056" s="243"/>
    </row>
    <row r="1057" spans="1:16" x14ac:dyDescent="0.25">
      <c r="A1057" s="241"/>
      <c r="B1057" s="190" t="s">
        <v>16</v>
      </c>
      <c r="C1057" s="6" t="s">
        <v>43</v>
      </c>
      <c r="D1057" s="5" t="s">
        <v>241</v>
      </c>
      <c r="E1057" s="6" t="s">
        <v>232</v>
      </c>
      <c r="F1057" s="6" t="s">
        <v>275</v>
      </c>
      <c r="G1057" s="13" t="s">
        <v>45</v>
      </c>
      <c r="H1057" s="9">
        <f>I1057+J1057+K1057+L1057</f>
        <v>630</v>
      </c>
      <c r="I1057" s="97">
        <v>630</v>
      </c>
      <c r="J1057" s="97">
        <v>0</v>
      </c>
      <c r="K1057" s="97">
        <v>0</v>
      </c>
      <c r="L1057" s="97">
        <v>0</v>
      </c>
      <c r="M1057" s="9">
        <v>630</v>
      </c>
      <c r="N1057" s="9">
        <v>630</v>
      </c>
      <c r="O1057" s="268"/>
      <c r="P1057" s="243"/>
    </row>
    <row r="1058" spans="1:16" x14ac:dyDescent="0.25">
      <c r="A1058" s="241"/>
      <c r="B1058" s="190" t="s">
        <v>14</v>
      </c>
      <c r="C1058" s="4"/>
      <c r="D1058" s="5"/>
      <c r="E1058" s="5"/>
      <c r="F1058" s="5"/>
      <c r="G1058" s="12"/>
      <c r="H1058" s="9">
        <f>I1058+J1058+K1058+L1058</f>
        <v>0</v>
      </c>
      <c r="I1058" s="9">
        <v>0</v>
      </c>
      <c r="J1058" s="9">
        <v>0</v>
      </c>
      <c r="K1058" s="9">
        <v>0</v>
      </c>
      <c r="L1058" s="9">
        <v>0</v>
      </c>
      <c r="M1058" s="9">
        <v>0</v>
      </c>
      <c r="N1058" s="9">
        <v>0</v>
      </c>
      <c r="O1058" s="268"/>
      <c r="P1058" s="243"/>
    </row>
    <row r="1059" spans="1:16" x14ac:dyDescent="0.25">
      <c r="A1059" s="241"/>
      <c r="B1059" s="190" t="s">
        <v>15</v>
      </c>
      <c r="C1059" s="4"/>
      <c r="D1059" s="5"/>
      <c r="E1059" s="5"/>
      <c r="F1059" s="5"/>
      <c r="G1059" s="12"/>
      <c r="H1059" s="9">
        <f>I1059+J1059+K1059+L1059</f>
        <v>0</v>
      </c>
      <c r="I1059" s="9">
        <v>0</v>
      </c>
      <c r="J1059" s="9">
        <v>0</v>
      </c>
      <c r="K1059" s="9">
        <v>0</v>
      </c>
      <c r="L1059" s="9">
        <v>0</v>
      </c>
      <c r="M1059" s="9">
        <v>0</v>
      </c>
      <c r="N1059" s="9">
        <v>0</v>
      </c>
      <c r="O1059" s="268"/>
      <c r="P1059" s="243"/>
    </row>
    <row r="1060" spans="1:16" x14ac:dyDescent="0.25">
      <c r="A1060" s="241"/>
      <c r="B1060" s="190" t="s">
        <v>12</v>
      </c>
      <c r="C1060" s="4"/>
      <c r="D1060" s="5"/>
      <c r="E1060" s="5"/>
      <c r="F1060" s="5"/>
      <c r="G1060" s="12"/>
      <c r="H1060" s="9">
        <f>I1060+J1060+K1060+L1060</f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268"/>
      <c r="P1060" s="244"/>
    </row>
    <row r="1061" spans="1:16" x14ac:dyDescent="0.25">
      <c r="A1061" s="264" t="s">
        <v>646</v>
      </c>
      <c r="B1061" s="190" t="s">
        <v>104</v>
      </c>
      <c r="C1061" s="139"/>
      <c r="D1061" s="140"/>
      <c r="E1061" s="140"/>
      <c r="F1061" s="140"/>
      <c r="G1061" s="213"/>
      <c r="H1061" s="11">
        <f>I1061+J1061+K1061+L1061</f>
        <v>32</v>
      </c>
      <c r="I1061" s="11">
        <f>1+8</f>
        <v>9</v>
      </c>
      <c r="J1061" s="11">
        <f>2+8</f>
        <v>10</v>
      </c>
      <c r="K1061" s="11">
        <f>5+8</f>
        <v>13</v>
      </c>
      <c r="L1061" s="11">
        <v>0</v>
      </c>
      <c r="M1061" s="11">
        <v>32</v>
      </c>
      <c r="N1061" s="11">
        <v>32</v>
      </c>
      <c r="O1061" s="268" t="s">
        <v>373</v>
      </c>
      <c r="P1061" s="242" t="s">
        <v>428</v>
      </c>
    </row>
    <row r="1062" spans="1:16" ht="26.4" x14ac:dyDescent="0.25">
      <c r="A1062" s="264"/>
      <c r="B1062" s="190" t="s">
        <v>85</v>
      </c>
      <c r="C1062" s="139"/>
      <c r="D1062" s="140"/>
      <c r="E1062" s="140"/>
      <c r="F1062" s="5"/>
      <c r="G1062" s="12"/>
      <c r="H1062" s="9">
        <f t="shared" ref="H1062:N1062" si="388">ROUND(H1063/H1061,1)</f>
        <v>460.1</v>
      </c>
      <c r="I1062" s="9" t="s">
        <v>229</v>
      </c>
      <c r="J1062" s="9" t="s">
        <v>229</v>
      </c>
      <c r="K1062" s="9" t="s">
        <v>229</v>
      </c>
      <c r="L1062" s="9" t="s">
        <v>229</v>
      </c>
      <c r="M1062" s="9">
        <f t="shared" si="388"/>
        <v>365.4</v>
      </c>
      <c r="N1062" s="9">
        <f t="shared" si="388"/>
        <v>365.4</v>
      </c>
      <c r="O1062" s="268"/>
      <c r="P1062" s="243"/>
    </row>
    <row r="1063" spans="1:16" x14ac:dyDescent="0.25">
      <c r="A1063" s="264"/>
      <c r="B1063" s="190" t="s">
        <v>77</v>
      </c>
      <c r="C1063" s="139"/>
      <c r="D1063" s="140"/>
      <c r="E1063" s="140"/>
      <c r="F1063" s="5"/>
      <c r="G1063" s="12"/>
      <c r="H1063" s="9">
        <f>SUM(H1064:H1068)</f>
        <v>14724.3</v>
      </c>
      <c r="I1063" s="9">
        <f t="shared" ref="I1063:N1063" si="389">I1064+I1065</f>
        <v>2752.7</v>
      </c>
      <c r="J1063" s="9">
        <f t="shared" si="389"/>
        <v>4951.8</v>
      </c>
      <c r="K1063" s="9">
        <f t="shared" si="389"/>
        <v>3153.5</v>
      </c>
      <c r="L1063" s="9">
        <f t="shared" si="389"/>
        <v>3866.3</v>
      </c>
      <c r="M1063" s="9">
        <f t="shared" si="389"/>
        <v>11691.3</v>
      </c>
      <c r="N1063" s="9">
        <f t="shared" si="389"/>
        <v>11691.3</v>
      </c>
      <c r="O1063" s="268"/>
      <c r="P1063" s="243"/>
    </row>
    <row r="1064" spans="1:16" x14ac:dyDescent="0.25">
      <c r="A1064" s="264"/>
      <c r="B1064" s="317" t="s">
        <v>16</v>
      </c>
      <c r="C1064" s="6" t="s">
        <v>41</v>
      </c>
      <c r="D1064" s="5" t="s">
        <v>233</v>
      </c>
      <c r="E1064" s="6" t="s">
        <v>235</v>
      </c>
      <c r="F1064" s="6" t="s">
        <v>270</v>
      </c>
      <c r="G1064" s="13" t="s">
        <v>45</v>
      </c>
      <c r="H1064" s="9">
        <f t="shared" ref="H1064:H1069" si="390">I1064+J1064+K1064+L1064</f>
        <v>13130.3</v>
      </c>
      <c r="I1064" s="97">
        <v>2606</v>
      </c>
      <c r="J1064" s="97">
        <v>4565</v>
      </c>
      <c r="K1064" s="97">
        <v>2093</v>
      </c>
      <c r="L1064" s="97">
        <v>3866.3</v>
      </c>
      <c r="M1064" s="9">
        <f>14097.3-4000</f>
        <v>10097.299999999999</v>
      </c>
      <c r="N1064" s="9">
        <f>14097.3-4000</f>
        <v>10097.299999999999</v>
      </c>
      <c r="O1064" s="268"/>
      <c r="P1064" s="243"/>
    </row>
    <row r="1065" spans="1:16" x14ac:dyDescent="0.25">
      <c r="A1065" s="264"/>
      <c r="B1065" s="351"/>
      <c r="C1065" s="6" t="s">
        <v>41</v>
      </c>
      <c r="D1065" s="5" t="s">
        <v>233</v>
      </c>
      <c r="E1065" s="6" t="s">
        <v>235</v>
      </c>
      <c r="F1065" s="6" t="s">
        <v>270</v>
      </c>
      <c r="G1065" s="13" t="s">
        <v>46</v>
      </c>
      <c r="H1065" s="9">
        <f t="shared" si="390"/>
        <v>1594</v>
      </c>
      <c r="I1065" s="97">
        <v>146.69999999999999</v>
      </c>
      <c r="J1065" s="97">
        <v>386.8</v>
      </c>
      <c r="K1065" s="97">
        <v>1060.5</v>
      </c>
      <c r="L1065" s="97">
        <v>0</v>
      </c>
      <c r="M1065" s="9">
        <v>1594</v>
      </c>
      <c r="N1065" s="9">
        <v>1594</v>
      </c>
      <c r="O1065" s="268"/>
      <c r="P1065" s="243"/>
    </row>
    <row r="1066" spans="1:16" x14ac:dyDescent="0.25">
      <c r="A1066" s="264"/>
      <c r="B1066" s="190" t="s">
        <v>14</v>
      </c>
      <c r="C1066" s="4"/>
      <c r="D1066" s="5"/>
      <c r="E1066" s="5"/>
      <c r="F1066" s="5"/>
      <c r="G1066" s="12"/>
      <c r="H1066" s="9">
        <f t="shared" si="390"/>
        <v>0</v>
      </c>
      <c r="I1066" s="9">
        <v>0</v>
      </c>
      <c r="J1066" s="9">
        <v>0</v>
      </c>
      <c r="K1066" s="9">
        <v>0</v>
      </c>
      <c r="L1066" s="9">
        <v>0</v>
      </c>
      <c r="M1066" s="9">
        <v>0</v>
      </c>
      <c r="N1066" s="9">
        <v>0</v>
      </c>
      <c r="O1066" s="268"/>
      <c r="P1066" s="243"/>
    </row>
    <row r="1067" spans="1:16" x14ac:dyDescent="0.25">
      <c r="A1067" s="264"/>
      <c r="B1067" s="190" t="s">
        <v>15</v>
      </c>
      <c r="C1067" s="4"/>
      <c r="D1067" s="5"/>
      <c r="E1067" s="5"/>
      <c r="F1067" s="5"/>
      <c r="G1067" s="12"/>
      <c r="H1067" s="9">
        <f t="shared" si="390"/>
        <v>0</v>
      </c>
      <c r="I1067" s="9">
        <v>0</v>
      </c>
      <c r="J1067" s="9">
        <v>0</v>
      </c>
      <c r="K1067" s="9">
        <v>0</v>
      </c>
      <c r="L1067" s="9">
        <v>0</v>
      </c>
      <c r="M1067" s="9">
        <v>0</v>
      </c>
      <c r="N1067" s="9">
        <v>0</v>
      </c>
      <c r="O1067" s="268"/>
      <c r="P1067" s="243"/>
    </row>
    <row r="1068" spans="1:16" x14ac:dyDescent="0.25">
      <c r="A1068" s="264"/>
      <c r="B1068" s="190" t="s">
        <v>12</v>
      </c>
      <c r="C1068" s="4"/>
      <c r="D1068" s="5"/>
      <c r="E1068" s="5"/>
      <c r="F1068" s="5"/>
      <c r="G1068" s="12"/>
      <c r="H1068" s="9">
        <f t="shared" si="390"/>
        <v>0</v>
      </c>
      <c r="I1068" s="9">
        <v>0</v>
      </c>
      <c r="J1068" s="9">
        <v>0</v>
      </c>
      <c r="K1068" s="9">
        <v>0</v>
      </c>
      <c r="L1068" s="9">
        <v>0</v>
      </c>
      <c r="M1068" s="9">
        <v>0</v>
      </c>
      <c r="N1068" s="9">
        <v>0</v>
      </c>
      <c r="O1068" s="268"/>
      <c r="P1068" s="244"/>
    </row>
    <row r="1069" spans="1:16" x14ac:dyDescent="0.25">
      <c r="A1069" s="264" t="s">
        <v>419</v>
      </c>
      <c r="B1069" s="190" t="s">
        <v>104</v>
      </c>
      <c r="C1069" s="4"/>
      <c r="D1069" s="5"/>
      <c r="E1069" s="5"/>
      <c r="F1069" s="5"/>
      <c r="G1069" s="12"/>
      <c r="H1069" s="9">
        <f t="shared" si="390"/>
        <v>8</v>
      </c>
      <c r="I1069" s="9">
        <v>2</v>
      </c>
      <c r="J1069" s="9">
        <v>2</v>
      </c>
      <c r="K1069" s="9">
        <v>2</v>
      </c>
      <c r="L1069" s="9">
        <v>2</v>
      </c>
      <c r="M1069" s="9">
        <v>8</v>
      </c>
      <c r="N1069" s="9">
        <v>8</v>
      </c>
      <c r="O1069" s="242" t="s">
        <v>637</v>
      </c>
      <c r="P1069" s="242" t="s">
        <v>421</v>
      </c>
    </row>
    <row r="1070" spans="1:16" ht="26.4" x14ac:dyDescent="0.25">
      <c r="A1070" s="264"/>
      <c r="B1070" s="190" t="s">
        <v>85</v>
      </c>
      <c r="C1070" s="4"/>
      <c r="D1070" s="5"/>
      <c r="E1070" s="5"/>
      <c r="F1070" s="5"/>
      <c r="G1070" s="12"/>
      <c r="H1070" s="9">
        <f>ROUND(H1071/H1069,1)</f>
        <v>145.9</v>
      </c>
      <c r="I1070" s="9" t="s">
        <v>229</v>
      </c>
      <c r="J1070" s="9" t="s">
        <v>229</v>
      </c>
      <c r="K1070" s="9" t="s">
        <v>229</v>
      </c>
      <c r="L1070" s="9" t="s">
        <v>229</v>
      </c>
      <c r="M1070" s="9">
        <f>ROUND(M1071/M1069,1)</f>
        <v>500</v>
      </c>
      <c r="N1070" s="9">
        <f>ROUND(N1071/N1069,1)</f>
        <v>500</v>
      </c>
      <c r="O1070" s="243"/>
      <c r="P1070" s="243"/>
    </row>
    <row r="1071" spans="1:16" x14ac:dyDescent="0.25">
      <c r="A1071" s="264"/>
      <c r="B1071" s="190" t="s">
        <v>77</v>
      </c>
      <c r="C1071" s="4"/>
      <c r="D1071" s="5"/>
      <c r="E1071" s="5"/>
      <c r="F1071" s="5"/>
      <c r="G1071" s="12"/>
      <c r="H1071" s="9">
        <f>SUM(H1072:H1075)</f>
        <v>1167</v>
      </c>
      <c r="I1071" s="9">
        <f t="shared" ref="I1071:N1071" si="391">SUM(I1072:I1075)</f>
        <v>59</v>
      </c>
      <c r="J1071" s="9">
        <f t="shared" si="391"/>
        <v>170</v>
      </c>
      <c r="K1071" s="9">
        <f t="shared" si="391"/>
        <v>807</v>
      </c>
      <c r="L1071" s="9">
        <f t="shared" si="391"/>
        <v>131</v>
      </c>
      <c r="M1071" s="9">
        <f t="shared" si="391"/>
        <v>4000</v>
      </c>
      <c r="N1071" s="9">
        <f t="shared" si="391"/>
        <v>4000</v>
      </c>
      <c r="O1071" s="243"/>
      <c r="P1071" s="243"/>
    </row>
    <row r="1072" spans="1:16" x14ac:dyDescent="0.25">
      <c r="A1072" s="264"/>
      <c r="B1072" s="187" t="s">
        <v>16</v>
      </c>
      <c r="C1072" s="6" t="s">
        <v>41</v>
      </c>
      <c r="D1072" s="5" t="s">
        <v>233</v>
      </c>
      <c r="E1072" s="6" t="s">
        <v>235</v>
      </c>
      <c r="F1072" s="6" t="s">
        <v>270</v>
      </c>
      <c r="G1072" s="13" t="s">
        <v>45</v>
      </c>
      <c r="H1072" s="9">
        <f>I1072+J1072+K1072+L1072</f>
        <v>1167</v>
      </c>
      <c r="I1072" s="9">
        <v>59</v>
      </c>
      <c r="J1072" s="9">
        <v>170</v>
      </c>
      <c r="K1072" s="9">
        <v>807</v>
      </c>
      <c r="L1072" s="9">
        <v>131</v>
      </c>
      <c r="M1072" s="9">
        <v>4000</v>
      </c>
      <c r="N1072" s="9">
        <v>4000</v>
      </c>
      <c r="O1072" s="243"/>
      <c r="P1072" s="243"/>
    </row>
    <row r="1073" spans="1:16" x14ac:dyDescent="0.25">
      <c r="A1073" s="264"/>
      <c r="B1073" s="190" t="s">
        <v>14</v>
      </c>
      <c r="C1073" s="4"/>
      <c r="D1073" s="5"/>
      <c r="E1073" s="5"/>
      <c r="F1073" s="5"/>
      <c r="G1073" s="12"/>
      <c r="H1073" s="9">
        <v>0</v>
      </c>
      <c r="I1073" s="9">
        <v>0</v>
      </c>
      <c r="J1073" s="9">
        <v>0</v>
      </c>
      <c r="K1073" s="9">
        <v>0</v>
      </c>
      <c r="L1073" s="9">
        <v>0</v>
      </c>
      <c r="M1073" s="9">
        <v>0</v>
      </c>
      <c r="N1073" s="9">
        <v>0</v>
      </c>
      <c r="O1073" s="243"/>
      <c r="P1073" s="243"/>
    </row>
    <row r="1074" spans="1:16" x14ac:dyDescent="0.25">
      <c r="A1074" s="264"/>
      <c r="B1074" s="190" t="s">
        <v>15</v>
      </c>
      <c r="C1074" s="4"/>
      <c r="D1074" s="5"/>
      <c r="E1074" s="5"/>
      <c r="F1074" s="5"/>
      <c r="G1074" s="12"/>
      <c r="H1074" s="9">
        <v>0</v>
      </c>
      <c r="I1074" s="9">
        <v>0</v>
      </c>
      <c r="J1074" s="9">
        <v>0</v>
      </c>
      <c r="K1074" s="9">
        <v>0</v>
      </c>
      <c r="L1074" s="9">
        <v>0</v>
      </c>
      <c r="M1074" s="9">
        <v>0</v>
      </c>
      <c r="N1074" s="9">
        <v>0</v>
      </c>
      <c r="O1074" s="243"/>
      <c r="P1074" s="243"/>
    </row>
    <row r="1075" spans="1:16" ht="19.5" customHeight="1" x14ac:dyDescent="0.25">
      <c r="A1075" s="264"/>
      <c r="B1075" s="190" t="s">
        <v>12</v>
      </c>
      <c r="C1075" s="4"/>
      <c r="D1075" s="5"/>
      <c r="E1075" s="5"/>
      <c r="F1075" s="5"/>
      <c r="G1075" s="12"/>
      <c r="H1075" s="9">
        <v>0</v>
      </c>
      <c r="I1075" s="9">
        <v>0</v>
      </c>
      <c r="J1075" s="9">
        <v>0</v>
      </c>
      <c r="K1075" s="9">
        <v>0</v>
      </c>
      <c r="L1075" s="9">
        <v>0</v>
      </c>
      <c r="M1075" s="9">
        <v>0</v>
      </c>
      <c r="N1075" s="9">
        <v>0</v>
      </c>
      <c r="O1075" s="244"/>
      <c r="P1075" s="244"/>
    </row>
    <row r="1076" spans="1:16" x14ac:dyDescent="0.25">
      <c r="A1076" s="264" t="s">
        <v>638</v>
      </c>
      <c r="B1076" s="190" t="s">
        <v>111</v>
      </c>
      <c r="C1076" s="4"/>
      <c r="D1076" s="5"/>
      <c r="E1076" s="5"/>
      <c r="F1076" s="5"/>
      <c r="G1076" s="12"/>
      <c r="H1076" s="11">
        <f>I1076+J1076+K1076+L1076</f>
        <v>1</v>
      </c>
      <c r="I1076" s="11">
        <v>0</v>
      </c>
      <c r="J1076" s="11">
        <v>1</v>
      </c>
      <c r="K1076" s="11">
        <v>0</v>
      </c>
      <c r="L1076" s="11">
        <v>0</v>
      </c>
      <c r="M1076" s="11">
        <v>1</v>
      </c>
      <c r="N1076" s="11">
        <v>1</v>
      </c>
      <c r="O1076" s="268" t="s">
        <v>420</v>
      </c>
      <c r="P1076" s="242" t="s">
        <v>423</v>
      </c>
    </row>
    <row r="1077" spans="1:16" ht="26.4" x14ac:dyDescent="0.25">
      <c r="A1077" s="264"/>
      <c r="B1077" s="190" t="s">
        <v>91</v>
      </c>
      <c r="C1077" s="4"/>
      <c r="D1077" s="5"/>
      <c r="E1077" s="5"/>
      <c r="F1077" s="5"/>
      <c r="G1077" s="12"/>
      <c r="H1077" s="9">
        <f t="shared" ref="H1077:N1077" si="392">ROUND(H1078/H1076,1)</f>
        <v>728</v>
      </c>
      <c r="I1077" s="9" t="s">
        <v>229</v>
      </c>
      <c r="J1077" s="9" t="s">
        <v>229</v>
      </c>
      <c r="K1077" s="9" t="s">
        <v>229</v>
      </c>
      <c r="L1077" s="9" t="s">
        <v>229</v>
      </c>
      <c r="M1077" s="9">
        <f t="shared" si="392"/>
        <v>700</v>
      </c>
      <c r="N1077" s="9">
        <f t="shared" si="392"/>
        <v>700</v>
      </c>
      <c r="O1077" s="268"/>
      <c r="P1077" s="243"/>
    </row>
    <row r="1078" spans="1:16" x14ac:dyDescent="0.25">
      <c r="A1078" s="264"/>
      <c r="B1078" s="190" t="s">
        <v>77</v>
      </c>
      <c r="C1078" s="4"/>
      <c r="D1078" s="5"/>
      <c r="E1078" s="5"/>
      <c r="F1078" s="5"/>
      <c r="G1078" s="12"/>
      <c r="H1078" s="9">
        <f>SUM(H1079:H1085)</f>
        <v>728</v>
      </c>
      <c r="I1078" s="9">
        <f t="shared" ref="I1078:N1078" si="393">I1082</f>
        <v>0</v>
      </c>
      <c r="J1078" s="9">
        <f t="shared" si="393"/>
        <v>728</v>
      </c>
      <c r="K1078" s="9">
        <f t="shared" si="393"/>
        <v>0</v>
      </c>
      <c r="L1078" s="9">
        <f t="shared" si="393"/>
        <v>0</v>
      </c>
      <c r="M1078" s="9">
        <f t="shared" si="393"/>
        <v>700</v>
      </c>
      <c r="N1078" s="9">
        <f t="shared" si="393"/>
        <v>700</v>
      </c>
      <c r="O1078" s="268"/>
      <c r="P1078" s="243"/>
    </row>
    <row r="1079" spans="1:16" x14ac:dyDescent="0.25">
      <c r="A1079" s="264"/>
      <c r="B1079" s="264" t="s">
        <v>16</v>
      </c>
      <c r="C1079" s="6" t="s">
        <v>41</v>
      </c>
      <c r="D1079" s="5" t="s">
        <v>233</v>
      </c>
      <c r="E1079" s="6" t="s">
        <v>235</v>
      </c>
      <c r="F1079" s="6" t="s">
        <v>270</v>
      </c>
      <c r="G1079" s="13" t="s">
        <v>47</v>
      </c>
      <c r="H1079" s="9">
        <f t="shared" ref="H1079:H1085" si="394">I1079+J1079+K1079+L1079</f>
        <v>0</v>
      </c>
      <c r="I1079" s="9">
        <v>0</v>
      </c>
      <c r="J1079" s="9">
        <v>0</v>
      </c>
      <c r="K1079" s="9">
        <v>0</v>
      </c>
      <c r="L1079" s="9">
        <v>0</v>
      </c>
      <c r="M1079" s="9">
        <v>0</v>
      </c>
      <c r="N1079" s="9">
        <v>0</v>
      </c>
      <c r="O1079" s="268"/>
      <c r="P1079" s="243"/>
    </row>
    <row r="1080" spans="1:16" x14ac:dyDescent="0.25">
      <c r="A1080" s="264"/>
      <c r="B1080" s="264"/>
      <c r="C1080" s="6" t="s">
        <v>41</v>
      </c>
      <c r="D1080" s="5" t="s">
        <v>233</v>
      </c>
      <c r="E1080" s="6" t="s">
        <v>235</v>
      </c>
      <c r="F1080" s="6" t="s">
        <v>270</v>
      </c>
      <c r="G1080" s="13" t="s">
        <v>47</v>
      </c>
      <c r="H1080" s="9">
        <f t="shared" si="394"/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268"/>
      <c r="P1080" s="243"/>
    </row>
    <row r="1081" spans="1:16" x14ac:dyDescent="0.25">
      <c r="A1081" s="264"/>
      <c r="B1081" s="264"/>
      <c r="C1081" s="6" t="s">
        <v>41</v>
      </c>
      <c r="D1081" s="5" t="s">
        <v>233</v>
      </c>
      <c r="E1081" s="6" t="s">
        <v>235</v>
      </c>
      <c r="F1081" s="6" t="s">
        <v>270</v>
      </c>
      <c r="G1081" s="13" t="s">
        <v>47</v>
      </c>
      <c r="H1081" s="9">
        <f t="shared" si="394"/>
        <v>0</v>
      </c>
      <c r="I1081" s="9">
        <v>0</v>
      </c>
      <c r="J1081" s="9">
        <v>0</v>
      </c>
      <c r="K1081" s="9">
        <v>0</v>
      </c>
      <c r="L1081" s="9">
        <v>0</v>
      </c>
      <c r="M1081" s="9">
        <v>0</v>
      </c>
      <c r="N1081" s="9">
        <v>0</v>
      </c>
      <c r="O1081" s="268"/>
      <c r="P1081" s="243"/>
    </row>
    <row r="1082" spans="1:16" x14ac:dyDescent="0.25">
      <c r="A1082" s="264"/>
      <c r="B1082" s="264"/>
      <c r="C1082" s="6" t="s">
        <v>41</v>
      </c>
      <c r="D1082" s="5" t="s">
        <v>233</v>
      </c>
      <c r="E1082" s="6" t="s">
        <v>235</v>
      </c>
      <c r="F1082" s="6" t="s">
        <v>270</v>
      </c>
      <c r="G1082" s="13" t="s">
        <v>45</v>
      </c>
      <c r="H1082" s="9">
        <f t="shared" si="394"/>
        <v>728</v>
      </c>
      <c r="I1082" s="97">
        <v>0</v>
      </c>
      <c r="J1082" s="97">
        <v>728</v>
      </c>
      <c r="K1082" s="97">
        <f>200-200</f>
        <v>0</v>
      </c>
      <c r="L1082" s="97">
        <f>2000-2000</f>
        <v>0</v>
      </c>
      <c r="M1082" s="9">
        <f>7270-4370-200-2000</f>
        <v>700</v>
      </c>
      <c r="N1082" s="9">
        <f>7270-4370-200-2000</f>
        <v>700</v>
      </c>
      <c r="O1082" s="268"/>
      <c r="P1082" s="243"/>
    </row>
    <row r="1083" spans="1:16" x14ac:dyDescent="0.25">
      <c r="A1083" s="264"/>
      <c r="B1083" s="190" t="s">
        <v>14</v>
      </c>
      <c r="C1083" s="4"/>
      <c r="D1083" s="5"/>
      <c r="E1083" s="5"/>
      <c r="F1083" s="5"/>
      <c r="G1083" s="12"/>
      <c r="H1083" s="9">
        <f t="shared" si="394"/>
        <v>0</v>
      </c>
      <c r="I1083" s="9">
        <v>0</v>
      </c>
      <c r="J1083" s="9">
        <v>0</v>
      </c>
      <c r="K1083" s="9">
        <v>0</v>
      </c>
      <c r="L1083" s="9">
        <v>0</v>
      </c>
      <c r="M1083" s="9">
        <v>0</v>
      </c>
      <c r="N1083" s="9">
        <v>0</v>
      </c>
      <c r="O1083" s="268"/>
      <c r="P1083" s="243"/>
    </row>
    <row r="1084" spans="1:16" x14ac:dyDescent="0.25">
      <c r="A1084" s="264"/>
      <c r="B1084" s="190" t="s">
        <v>15</v>
      </c>
      <c r="C1084" s="4"/>
      <c r="D1084" s="5"/>
      <c r="E1084" s="5"/>
      <c r="F1084" s="5"/>
      <c r="G1084" s="12"/>
      <c r="H1084" s="9">
        <f t="shared" si="394"/>
        <v>0</v>
      </c>
      <c r="I1084" s="9">
        <v>0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268"/>
      <c r="P1084" s="243"/>
    </row>
    <row r="1085" spans="1:16" x14ac:dyDescent="0.25">
      <c r="A1085" s="264"/>
      <c r="B1085" s="190" t="s">
        <v>12</v>
      </c>
      <c r="C1085" s="4"/>
      <c r="D1085" s="5"/>
      <c r="E1085" s="5"/>
      <c r="F1085" s="5"/>
      <c r="G1085" s="12"/>
      <c r="H1085" s="9">
        <f t="shared" si="394"/>
        <v>0</v>
      </c>
      <c r="I1085" s="9">
        <v>0</v>
      </c>
      <c r="J1085" s="9">
        <v>0</v>
      </c>
      <c r="K1085" s="9">
        <v>0</v>
      </c>
      <c r="L1085" s="9">
        <v>0</v>
      </c>
      <c r="M1085" s="9">
        <v>0</v>
      </c>
      <c r="N1085" s="9">
        <v>0</v>
      </c>
      <c r="O1085" s="268"/>
      <c r="P1085" s="244"/>
    </row>
    <row r="1086" spans="1:16" x14ac:dyDescent="0.25">
      <c r="A1086" s="264" t="s">
        <v>418</v>
      </c>
      <c r="B1086" s="190" t="s">
        <v>111</v>
      </c>
      <c r="C1086" s="4"/>
      <c r="D1086" s="5"/>
      <c r="E1086" s="5"/>
      <c r="F1086" s="5"/>
      <c r="G1086" s="12"/>
      <c r="H1086" s="9">
        <f>SUM(I1086:L1086)</f>
        <v>1</v>
      </c>
      <c r="I1086" s="11">
        <v>0</v>
      </c>
      <c r="J1086" s="11">
        <v>1</v>
      </c>
      <c r="K1086" s="11">
        <v>0</v>
      </c>
      <c r="L1086" s="11">
        <v>0</v>
      </c>
      <c r="M1086" s="11">
        <v>1</v>
      </c>
      <c r="N1086" s="11">
        <v>1</v>
      </c>
      <c r="O1086" s="242" t="s">
        <v>637</v>
      </c>
      <c r="P1086" s="242" t="s">
        <v>424</v>
      </c>
    </row>
    <row r="1087" spans="1:16" ht="26.4" x14ac:dyDescent="0.25">
      <c r="A1087" s="264"/>
      <c r="B1087" s="190" t="s">
        <v>91</v>
      </c>
      <c r="C1087" s="4"/>
      <c r="D1087" s="5"/>
      <c r="E1087" s="5"/>
      <c r="F1087" s="5"/>
      <c r="G1087" s="12"/>
      <c r="H1087" s="9">
        <f>ROUND(H1088/H1086,1)</f>
        <v>5339</v>
      </c>
      <c r="I1087" s="9" t="s">
        <v>229</v>
      </c>
      <c r="J1087" s="9" t="s">
        <v>229</v>
      </c>
      <c r="K1087" s="9" t="s">
        <v>229</v>
      </c>
      <c r="L1087" s="9" t="s">
        <v>229</v>
      </c>
      <c r="M1087" s="9">
        <f>ROUND(M1088/M1086,1)</f>
        <v>4370</v>
      </c>
      <c r="N1087" s="9">
        <f>ROUND(N1088/N1086,1)</f>
        <v>4370</v>
      </c>
      <c r="O1087" s="243"/>
      <c r="P1087" s="243"/>
    </row>
    <row r="1088" spans="1:16" x14ac:dyDescent="0.25">
      <c r="A1088" s="264"/>
      <c r="B1088" s="190" t="s">
        <v>77</v>
      </c>
      <c r="C1088" s="4"/>
      <c r="D1088" s="5"/>
      <c r="E1088" s="5"/>
      <c r="F1088" s="5"/>
      <c r="G1088" s="12"/>
      <c r="H1088" s="9">
        <f t="shared" ref="H1088:N1088" si="395">H1089</f>
        <v>5339</v>
      </c>
      <c r="I1088" s="141">
        <f t="shared" si="395"/>
        <v>835</v>
      </c>
      <c r="J1088" s="141">
        <f t="shared" si="395"/>
        <v>4504</v>
      </c>
      <c r="K1088" s="141">
        <f t="shared" si="395"/>
        <v>0</v>
      </c>
      <c r="L1088" s="141">
        <f t="shared" si="395"/>
        <v>0</v>
      </c>
      <c r="M1088" s="141">
        <f t="shared" si="395"/>
        <v>4370</v>
      </c>
      <c r="N1088" s="141">
        <f t="shared" si="395"/>
        <v>4370</v>
      </c>
      <c r="O1088" s="243"/>
      <c r="P1088" s="243"/>
    </row>
    <row r="1089" spans="1:16" x14ac:dyDescent="0.25">
      <c r="A1089" s="264"/>
      <c r="B1089" s="190" t="s">
        <v>16</v>
      </c>
      <c r="C1089" s="6" t="s">
        <v>41</v>
      </c>
      <c r="D1089" s="5" t="s">
        <v>233</v>
      </c>
      <c r="E1089" s="6" t="s">
        <v>235</v>
      </c>
      <c r="F1089" s="6" t="s">
        <v>270</v>
      </c>
      <c r="G1089" s="13" t="s">
        <v>45</v>
      </c>
      <c r="H1089" s="9">
        <f>I1089+J1089+K1089+L1089</f>
        <v>5339</v>
      </c>
      <c r="I1089" s="9">
        <v>835</v>
      </c>
      <c r="J1089" s="9">
        <v>4504</v>
      </c>
      <c r="K1089" s="9">
        <v>0</v>
      </c>
      <c r="L1089" s="9">
        <v>0</v>
      </c>
      <c r="M1089" s="9">
        <v>4370</v>
      </c>
      <c r="N1089" s="9">
        <v>4370</v>
      </c>
      <c r="O1089" s="243"/>
      <c r="P1089" s="243"/>
    </row>
    <row r="1090" spans="1:16" x14ac:dyDescent="0.25">
      <c r="A1090" s="264"/>
      <c r="B1090" s="190" t="s">
        <v>14</v>
      </c>
      <c r="C1090" s="4"/>
      <c r="D1090" s="5"/>
      <c r="E1090" s="5"/>
      <c r="F1090" s="5"/>
      <c r="G1090" s="12"/>
      <c r="H1090" s="9">
        <v>0</v>
      </c>
      <c r="I1090" s="9">
        <v>0</v>
      </c>
      <c r="J1090" s="9">
        <v>0</v>
      </c>
      <c r="K1090" s="9">
        <v>0</v>
      </c>
      <c r="L1090" s="9">
        <v>0</v>
      </c>
      <c r="M1090" s="9">
        <v>0</v>
      </c>
      <c r="N1090" s="9">
        <v>0</v>
      </c>
      <c r="O1090" s="243"/>
      <c r="P1090" s="243"/>
    </row>
    <row r="1091" spans="1:16" x14ac:dyDescent="0.25">
      <c r="A1091" s="264"/>
      <c r="B1091" s="190" t="s">
        <v>15</v>
      </c>
      <c r="C1091" s="4"/>
      <c r="D1091" s="5"/>
      <c r="E1091" s="5"/>
      <c r="F1091" s="5"/>
      <c r="G1091" s="12"/>
      <c r="H1091" s="9">
        <v>0</v>
      </c>
      <c r="I1091" s="9">
        <v>0</v>
      </c>
      <c r="J1091" s="9">
        <v>0</v>
      </c>
      <c r="K1091" s="9">
        <v>0</v>
      </c>
      <c r="L1091" s="9">
        <v>0</v>
      </c>
      <c r="M1091" s="9">
        <v>0</v>
      </c>
      <c r="N1091" s="9">
        <v>0</v>
      </c>
      <c r="O1091" s="243"/>
      <c r="P1091" s="243"/>
    </row>
    <row r="1092" spans="1:16" x14ac:dyDescent="0.25">
      <c r="A1092" s="264"/>
      <c r="B1092" s="190" t="s">
        <v>12</v>
      </c>
      <c r="C1092" s="4"/>
      <c r="D1092" s="5"/>
      <c r="E1092" s="5"/>
      <c r="F1092" s="5"/>
      <c r="G1092" s="12"/>
      <c r="H1092" s="9">
        <v>0</v>
      </c>
      <c r="I1092" s="9">
        <v>0</v>
      </c>
      <c r="J1092" s="9">
        <v>0</v>
      </c>
      <c r="K1092" s="9">
        <v>0</v>
      </c>
      <c r="L1092" s="9">
        <v>0</v>
      </c>
      <c r="M1092" s="9">
        <v>0</v>
      </c>
      <c r="N1092" s="9">
        <v>0</v>
      </c>
      <c r="O1092" s="244"/>
      <c r="P1092" s="244"/>
    </row>
    <row r="1093" spans="1:16" x14ac:dyDescent="0.25">
      <c r="A1093" s="264" t="s">
        <v>445</v>
      </c>
      <c r="B1093" s="190" t="s">
        <v>111</v>
      </c>
      <c r="C1093" s="4"/>
      <c r="D1093" s="5"/>
      <c r="E1093" s="5"/>
      <c r="F1093" s="5"/>
      <c r="G1093" s="12"/>
      <c r="H1093" s="11">
        <f>SUM(I1093:L1093)</f>
        <v>1</v>
      </c>
      <c r="I1093" s="11">
        <v>0</v>
      </c>
      <c r="J1093" s="11">
        <v>0</v>
      </c>
      <c r="K1093" s="11">
        <v>1</v>
      </c>
      <c r="L1093" s="11">
        <v>0</v>
      </c>
      <c r="M1093" s="11">
        <v>1</v>
      </c>
      <c r="N1093" s="11">
        <v>1</v>
      </c>
      <c r="O1093" s="242" t="s">
        <v>637</v>
      </c>
      <c r="P1093" s="242" t="s">
        <v>423</v>
      </c>
    </row>
    <row r="1094" spans="1:16" ht="26.4" x14ac:dyDescent="0.25">
      <c r="A1094" s="264"/>
      <c r="B1094" s="190" t="s">
        <v>91</v>
      </c>
      <c r="C1094" s="4"/>
      <c r="D1094" s="5"/>
      <c r="E1094" s="5"/>
      <c r="F1094" s="5"/>
      <c r="G1094" s="12"/>
      <c r="H1094" s="9">
        <f>ROUND(H1095/H1093,1)</f>
        <v>200</v>
      </c>
      <c r="I1094" s="9" t="s">
        <v>229</v>
      </c>
      <c r="J1094" s="9" t="s">
        <v>229</v>
      </c>
      <c r="K1094" s="9" t="s">
        <v>229</v>
      </c>
      <c r="L1094" s="9" t="s">
        <v>229</v>
      </c>
      <c r="M1094" s="9">
        <f>ROUND(M1095/M1093,1)</f>
        <v>200</v>
      </c>
      <c r="N1094" s="9">
        <f>ROUND(N1095/N1093,1)</f>
        <v>200</v>
      </c>
      <c r="O1094" s="243"/>
      <c r="P1094" s="243"/>
    </row>
    <row r="1095" spans="1:16" x14ac:dyDescent="0.25">
      <c r="A1095" s="264"/>
      <c r="B1095" s="190" t="s">
        <v>77</v>
      </c>
      <c r="C1095" s="4"/>
      <c r="D1095" s="5"/>
      <c r="E1095" s="5"/>
      <c r="F1095" s="5"/>
      <c r="G1095" s="12"/>
      <c r="H1095" s="9">
        <f t="shared" ref="H1095:N1095" si="396">H1096</f>
        <v>200</v>
      </c>
      <c r="I1095" s="9">
        <f t="shared" si="396"/>
        <v>0</v>
      </c>
      <c r="J1095" s="9">
        <f t="shared" si="396"/>
        <v>0</v>
      </c>
      <c r="K1095" s="9">
        <f t="shared" si="396"/>
        <v>200</v>
      </c>
      <c r="L1095" s="9">
        <f t="shared" si="396"/>
        <v>0</v>
      </c>
      <c r="M1095" s="9">
        <f t="shared" si="396"/>
        <v>200</v>
      </c>
      <c r="N1095" s="9">
        <f t="shared" si="396"/>
        <v>200</v>
      </c>
      <c r="O1095" s="243"/>
      <c r="P1095" s="243"/>
    </row>
    <row r="1096" spans="1:16" x14ac:dyDescent="0.25">
      <c r="A1096" s="264"/>
      <c r="B1096" s="187" t="s">
        <v>16</v>
      </c>
      <c r="C1096" s="6" t="s">
        <v>41</v>
      </c>
      <c r="D1096" s="5" t="s">
        <v>233</v>
      </c>
      <c r="E1096" s="6" t="s">
        <v>235</v>
      </c>
      <c r="F1096" s="6" t="s">
        <v>270</v>
      </c>
      <c r="G1096" s="13" t="s">
        <v>45</v>
      </c>
      <c r="H1096" s="9">
        <f>I1096+J1096+K1096+L1096</f>
        <v>200</v>
      </c>
      <c r="I1096" s="9">
        <v>0</v>
      </c>
      <c r="J1096" s="9">
        <v>0</v>
      </c>
      <c r="K1096" s="9">
        <v>200</v>
      </c>
      <c r="L1096" s="9">
        <v>0</v>
      </c>
      <c r="M1096" s="9">
        <v>200</v>
      </c>
      <c r="N1096" s="9">
        <v>200</v>
      </c>
      <c r="O1096" s="243"/>
      <c r="P1096" s="243"/>
    </row>
    <row r="1097" spans="1:16" x14ac:dyDescent="0.25">
      <c r="A1097" s="264"/>
      <c r="B1097" s="190" t="s">
        <v>14</v>
      </c>
      <c r="C1097" s="4"/>
      <c r="D1097" s="5"/>
      <c r="E1097" s="5"/>
      <c r="F1097" s="5"/>
      <c r="G1097" s="12"/>
      <c r="H1097" s="9">
        <v>0</v>
      </c>
      <c r="I1097" s="9">
        <v>0</v>
      </c>
      <c r="J1097" s="9">
        <v>0</v>
      </c>
      <c r="K1097" s="9">
        <v>0</v>
      </c>
      <c r="L1097" s="9">
        <v>0</v>
      </c>
      <c r="M1097" s="9">
        <v>0</v>
      </c>
      <c r="N1097" s="9">
        <v>0</v>
      </c>
      <c r="O1097" s="243"/>
      <c r="P1097" s="243"/>
    </row>
    <row r="1098" spans="1:16" x14ac:dyDescent="0.25">
      <c r="A1098" s="264"/>
      <c r="B1098" s="190" t="s">
        <v>15</v>
      </c>
      <c r="C1098" s="4"/>
      <c r="D1098" s="5"/>
      <c r="E1098" s="5"/>
      <c r="F1098" s="5"/>
      <c r="G1098" s="12"/>
      <c r="H1098" s="9">
        <v>0</v>
      </c>
      <c r="I1098" s="9">
        <v>0</v>
      </c>
      <c r="J1098" s="9">
        <v>0</v>
      </c>
      <c r="K1098" s="9">
        <v>0</v>
      </c>
      <c r="L1098" s="9">
        <v>0</v>
      </c>
      <c r="M1098" s="9">
        <v>0</v>
      </c>
      <c r="N1098" s="9">
        <v>0</v>
      </c>
      <c r="O1098" s="243"/>
      <c r="P1098" s="243"/>
    </row>
    <row r="1099" spans="1:16" x14ac:dyDescent="0.25">
      <c r="A1099" s="317"/>
      <c r="B1099" s="187" t="s">
        <v>12</v>
      </c>
      <c r="C1099" s="142"/>
      <c r="D1099" s="143"/>
      <c r="E1099" s="143"/>
      <c r="F1099" s="143"/>
      <c r="G1099" s="214"/>
      <c r="H1099" s="9">
        <v>0</v>
      </c>
      <c r="I1099" s="9">
        <v>0</v>
      </c>
      <c r="J1099" s="9">
        <v>0</v>
      </c>
      <c r="K1099" s="9">
        <v>0</v>
      </c>
      <c r="L1099" s="9">
        <v>0</v>
      </c>
      <c r="M1099" s="9">
        <v>0</v>
      </c>
      <c r="N1099" s="9">
        <v>0</v>
      </c>
      <c r="O1099" s="243"/>
      <c r="P1099" s="244"/>
    </row>
    <row r="1100" spans="1:16" x14ac:dyDescent="0.25">
      <c r="A1100" s="264" t="s">
        <v>639</v>
      </c>
      <c r="B1100" s="190" t="s">
        <v>111</v>
      </c>
      <c r="C1100" s="4"/>
      <c r="D1100" s="5"/>
      <c r="E1100" s="5"/>
      <c r="F1100" s="5"/>
      <c r="G1100" s="12"/>
      <c r="H1100" s="11">
        <f>SUM(I1100:L1100)</f>
        <v>1</v>
      </c>
      <c r="I1100" s="11">
        <v>0</v>
      </c>
      <c r="J1100" s="11">
        <v>0</v>
      </c>
      <c r="K1100" s="11">
        <v>0</v>
      </c>
      <c r="L1100" s="11">
        <v>1</v>
      </c>
      <c r="M1100" s="11">
        <v>1</v>
      </c>
      <c r="N1100" s="11">
        <v>1</v>
      </c>
      <c r="O1100" s="242" t="s">
        <v>637</v>
      </c>
      <c r="P1100" s="242" t="s">
        <v>422</v>
      </c>
    </row>
    <row r="1101" spans="1:16" ht="51" customHeight="1" x14ac:dyDescent="0.25">
      <c r="A1101" s="264"/>
      <c r="B1101" s="190" t="s">
        <v>91</v>
      </c>
      <c r="C1101" s="4"/>
      <c r="D1101" s="5"/>
      <c r="E1101" s="5"/>
      <c r="F1101" s="5"/>
      <c r="G1101" s="12"/>
      <c r="H1101" s="9">
        <f>ROUND(H1102/H1100,1)</f>
        <v>2003</v>
      </c>
      <c r="I1101" s="9" t="s">
        <v>229</v>
      </c>
      <c r="J1101" s="9" t="s">
        <v>229</v>
      </c>
      <c r="K1101" s="9" t="s">
        <v>229</v>
      </c>
      <c r="L1101" s="9">
        <f>ROUND(L1102/L1100,1)</f>
        <v>2000</v>
      </c>
      <c r="M1101" s="9">
        <f>ROUND(M1102/M1100,1)</f>
        <v>2000</v>
      </c>
      <c r="N1101" s="9">
        <f>ROUND(N1102/N1100,1)</f>
        <v>2000</v>
      </c>
      <c r="O1101" s="243"/>
      <c r="P1101" s="243"/>
    </row>
    <row r="1102" spans="1:16" x14ac:dyDescent="0.25">
      <c r="A1102" s="264"/>
      <c r="B1102" s="190" t="s">
        <v>77</v>
      </c>
      <c r="C1102" s="4"/>
      <c r="D1102" s="5"/>
      <c r="E1102" s="5"/>
      <c r="F1102" s="5"/>
      <c r="G1102" s="12"/>
      <c r="H1102" s="9">
        <f t="shared" ref="H1102:N1102" si="397">H1103</f>
        <v>2003</v>
      </c>
      <c r="I1102" s="9">
        <f t="shared" si="397"/>
        <v>0</v>
      </c>
      <c r="J1102" s="9">
        <f t="shared" si="397"/>
        <v>3</v>
      </c>
      <c r="K1102" s="9">
        <f t="shared" si="397"/>
        <v>0</v>
      </c>
      <c r="L1102" s="9">
        <f t="shared" si="397"/>
        <v>2000</v>
      </c>
      <c r="M1102" s="141">
        <f t="shared" si="397"/>
        <v>2000</v>
      </c>
      <c r="N1102" s="141">
        <f t="shared" si="397"/>
        <v>2000</v>
      </c>
      <c r="O1102" s="243"/>
      <c r="P1102" s="243"/>
    </row>
    <row r="1103" spans="1:16" ht="13.35" customHeight="1" x14ac:dyDescent="0.25">
      <c r="A1103" s="264"/>
      <c r="B1103" s="187" t="s">
        <v>16</v>
      </c>
      <c r="C1103" s="6" t="s">
        <v>41</v>
      </c>
      <c r="D1103" s="5" t="s">
        <v>233</v>
      </c>
      <c r="E1103" s="6" t="s">
        <v>235</v>
      </c>
      <c r="F1103" s="6" t="s">
        <v>270</v>
      </c>
      <c r="G1103" s="13" t="s">
        <v>45</v>
      </c>
      <c r="H1103" s="9">
        <f>I1103+J1103+K1103+L1103</f>
        <v>2003</v>
      </c>
      <c r="I1103" s="9">
        <v>0</v>
      </c>
      <c r="J1103" s="9">
        <v>3</v>
      </c>
      <c r="K1103" s="9">
        <v>0</v>
      </c>
      <c r="L1103" s="9">
        <v>2000</v>
      </c>
      <c r="M1103" s="9">
        <v>2000</v>
      </c>
      <c r="N1103" s="9">
        <v>2000</v>
      </c>
      <c r="O1103" s="243"/>
      <c r="P1103" s="243"/>
    </row>
    <row r="1104" spans="1:16" x14ac:dyDescent="0.25">
      <c r="A1104" s="264"/>
      <c r="B1104" s="190" t="s">
        <v>14</v>
      </c>
      <c r="C1104" s="4"/>
      <c r="D1104" s="5"/>
      <c r="E1104" s="5"/>
      <c r="F1104" s="140"/>
      <c r="G1104" s="213"/>
      <c r="H1104" s="9">
        <v>0</v>
      </c>
      <c r="I1104" s="9">
        <v>0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243"/>
      <c r="P1104" s="243"/>
    </row>
    <row r="1105" spans="1:16" ht="13.35" customHeight="1" x14ac:dyDescent="0.25">
      <c r="A1105" s="264"/>
      <c r="B1105" s="190" t="s">
        <v>15</v>
      </c>
      <c r="C1105" s="4"/>
      <c r="D1105" s="5"/>
      <c r="E1105" s="5"/>
      <c r="F1105" s="140"/>
      <c r="G1105" s="213"/>
      <c r="H1105" s="9">
        <v>0</v>
      </c>
      <c r="I1105" s="9">
        <v>0</v>
      </c>
      <c r="J1105" s="9">
        <v>0</v>
      </c>
      <c r="K1105" s="9">
        <v>0</v>
      </c>
      <c r="L1105" s="9">
        <v>0</v>
      </c>
      <c r="M1105" s="9">
        <v>0</v>
      </c>
      <c r="N1105" s="9">
        <v>0</v>
      </c>
      <c r="O1105" s="243"/>
      <c r="P1105" s="243"/>
    </row>
    <row r="1106" spans="1:16" x14ac:dyDescent="0.25">
      <c r="A1106" s="317"/>
      <c r="B1106" s="187" t="s">
        <v>12</v>
      </c>
      <c r="C1106" s="4"/>
      <c r="D1106" s="5"/>
      <c r="E1106" s="5"/>
      <c r="F1106" s="140"/>
      <c r="G1106" s="213"/>
      <c r="H1106" s="9">
        <v>0</v>
      </c>
      <c r="I1106" s="9">
        <v>0</v>
      </c>
      <c r="J1106" s="9">
        <v>0</v>
      </c>
      <c r="K1106" s="9">
        <v>0</v>
      </c>
      <c r="L1106" s="9">
        <v>0</v>
      </c>
      <c r="M1106" s="9">
        <v>0</v>
      </c>
      <c r="N1106" s="9">
        <v>0</v>
      </c>
      <c r="O1106" s="243"/>
      <c r="P1106" s="244"/>
    </row>
    <row r="1107" spans="1:16" ht="26.4" x14ac:dyDescent="0.25">
      <c r="A1107" s="248" t="s">
        <v>460</v>
      </c>
      <c r="B1107" s="84" t="s">
        <v>598</v>
      </c>
      <c r="C1107" s="4"/>
      <c r="D1107" s="5"/>
      <c r="E1107" s="5"/>
      <c r="F1107" s="5"/>
      <c r="G1107" s="12"/>
      <c r="H1107" s="1" t="s">
        <v>51</v>
      </c>
      <c r="I1107" s="1" t="s">
        <v>51</v>
      </c>
      <c r="J1107" s="1" t="s">
        <v>51</v>
      </c>
      <c r="K1107" s="1" t="s">
        <v>51</v>
      </c>
      <c r="L1107" s="1" t="s">
        <v>51</v>
      </c>
      <c r="M1107" s="1" t="s">
        <v>51</v>
      </c>
      <c r="N1107" s="1" t="s">
        <v>51</v>
      </c>
      <c r="O1107" s="242" t="s">
        <v>404</v>
      </c>
      <c r="P1107" s="251" t="s">
        <v>640</v>
      </c>
    </row>
    <row r="1108" spans="1:16" ht="29.25" customHeight="1" x14ac:dyDescent="0.25">
      <c r="A1108" s="249"/>
      <c r="B1108" s="84" t="s">
        <v>86</v>
      </c>
      <c r="C1108" s="4"/>
      <c r="D1108" s="5"/>
      <c r="E1108" s="5"/>
      <c r="F1108" s="5"/>
      <c r="G1108" s="12"/>
      <c r="H1108" s="1" t="s">
        <v>51</v>
      </c>
      <c r="I1108" s="1" t="s">
        <v>229</v>
      </c>
      <c r="J1108" s="1" t="s">
        <v>229</v>
      </c>
      <c r="K1108" s="1" t="s">
        <v>229</v>
      </c>
      <c r="L1108" s="1" t="s">
        <v>229</v>
      </c>
      <c r="M1108" s="1" t="s">
        <v>51</v>
      </c>
      <c r="N1108" s="1" t="s">
        <v>51</v>
      </c>
      <c r="O1108" s="243"/>
      <c r="P1108" s="252"/>
    </row>
    <row r="1109" spans="1:16" x14ac:dyDescent="0.25">
      <c r="A1109" s="249"/>
      <c r="B1109" s="84" t="s">
        <v>74</v>
      </c>
      <c r="C1109" s="4"/>
      <c r="D1109" s="5"/>
      <c r="E1109" s="5"/>
      <c r="F1109" s="5"/>
      <c r="G1109" s="12"/>
      <c r="H1109" s="9">
        <f>SUM(H1110:H1114)</f>
        <v>27249.15</v>
      </c>
      <c r="I1109" s="9">
        <f t="shared" ref="I1109:N1109" si="398">SUM(I1110:I1114)</f>
        <v>2536</v>
      </c>
      <c r="J1109" s="9">
        <f t="shared" si="398"/>
        <v>2929</v>
      </c>
      <c r="K1109" s="9">
        <f t="shared" si="398"/>
        <v>9770.9500000000007</v>
      </c>
      <c r="L1109" s="9">
        <f t="shared" si="398"/>
        <v>12013.2</v>
      </c>
      <c r="M1109" s="9">
        <f t="shared" si="398"/>
        <v>36700</v>
      </c>
      <c r="N1109" s="9">
        <f t="shared" si="398"/>
        <v>36700</v>
      </c>
      <c r="O1109" s="243"/>
      <c r="P1109" s="252"/>
    </row>
    <row r="1110" spans="1:16" x14ac:dyDescent="0.25">
      <c r="A1110" s="249"/>
      <c r="B1110" s="238" t="s">
        <v>16</v>
      </c>
      <c r="C1110" s="4" t="s">
        <v>41</v>
      </c>
      <c r="D1110" s="4" t="s">
        <v>233</v>
      </c>
      <c r="E1110" s="4" t="s">
        <v>235</v>
      </c>
      <c r="F1110" s="221" t="s">
        <v>438</v>
      </c>
      <c r="G1110" s="12" t="s">
        <v>45</v>
      </c>
      <c r="H1110" s="9">
        <f>H1118</f>
        <v>24405.95</v>
      </c>
      <c r="I1110" s="9">
        <f t="shared" ref="I1110:N1110" si="399">I1118</f>
        <v>2536</v>
      </c>
      <c r="J1110" s="9">
        <f t="shared" si="399"/>
        <v>2929</v>
      </c>
      <c r="K1110" s="9">
        <f t="shared" si="399"/>
        <v>9770.9500000000007</v>
      </c>
      <c r="L1110" s="9">
        <f t="shared" si="399"/>
        <v>9170</v>
      </c>
      <c r="M1110" s="9">
        <f t="shared" si="399"/>
        <v>36700</v>
      </c>
      <c r="N1110" s="9">
        <f t="shared" si="399"/>
        <v>36700</v>
      </c>
      <c r="O1110" s="243"/>
      <c r="P1110" s="252"/>
    </row>
    <row r="1111" spans="1:16" x14ac:dyDescent="0.25">
      <c r="A1111" s="249"/>
      <c r="B1111" s="240"/>
      <c r="C1111" s="4" t="str">
        <f>C1119</f>
        <v>136</v>
      </c>
      <c r="D1111" s="4" t="str">
        <f>D1119</f>
        <v>07</v>
      </c>
      <c r="E1111" s="5" t="s">
        <v>238</v>
      </c>
      <c r="F1111" s="4" t="str">
        <f>F1119</f>
        <v>073E251890</v>
      </c>
      <c r="G1111" s="4">
        <f>G1119</f>
        <v>621</v>
      </c>
      <c r="H1111" s="232">
        <f>H1119</f>
        <v>2843.2</v>
      </c>
      <c r="I1111" s="9">
        <f t="shared" ref="I1111:N1111" si="400">I1119</f>
        <v>0</v>
      </c>
      <c r="J1111" s="9">
        <f t="shared" si="400"/>
        <v>0</v>
      </c>
      <c r="K1111" s="9">
        <f t="shared" si="400"/>
        <v>0</v>
      </c>
      <c r="L1111" s="9">
        <f t="shared" si="400"/>
        <v>2843.2</v>
      </c>
      <c r="M1111" s="9">
        <f t="shared" si="400"/>
        <v>0</v>
      </c>
      <c r="N1111" s="9">
        <f t="shared" si="400"/>
        <v>0</v>
      </c>
      <c r="O1111" s="243"/>
      <c r="P1111" s="252"/>
    </row>
    <row r="1112" spans="1:16" ht="13.35" customHeight="1" x14ac:dyDescent="0.25">
      <c r="A1112" s="249"/>
      <c r="B1112" s="191" t="s">
        <v>14</v>
      </c>
      <c r="C1112" s="4"/>
      <c r="D1112" s="5"/>
      <c r="E1112" s="5"/>
      <c r="F1112" s="5"/>
      <c r="G1112" s="12"/>
      <c r="H1112" s="9">
        <f>H1120</f>
        <v>0</v>
      </c>
      <c r="I1112" s="9">
        <f t="shared" ref="I1112:N1112" si="401">I1120</f>
        <v>0</v>
      </c>
      <c r="J1112" s="9">
        <f t="shared" si="401"/>
        <v>0</v>
      </c>
      <c r="K1112" s="9">
        <f t="shared" si="401"/>
        <v>0</v>
      </c>
      <c r="L1112" s="9">
        <f t="shared" si="401"/>
        <v>0</v>
      </c>
      <c r="M1112" s="9">
        <f t="shared" si="401"/>
        <v>0</v>
      </c>
      <c r="N1112" s="9">
        <f t="shared" si="401"/>
        <v>0</v>
      </c>
      <c r="O1112" s="243"/>
      <c r="P1112" s="252"/>
    </row>
    <row r="1113" spans="1:16" x14ac:dyDescent="0.25">
      <c r="A1113" s="249"/>
      <c r="B1113" s="191" t="s">
        <v>15</v>
      </c>
      <c r="C1113" s="4"/>
      <c r="D1113" s="5"/>
      <c r="E1113" s="5"/>
      <c r="F1113" s="5"/>
      <c r="G1113" s="12"/>
      <c r="H1113" s="9">
        <f t="shared" ref="H1113:N1114" si="402">H1121</f>
        <v>0</v>
      </c>
      <c r="I1113" s="9">
        <f t="shared" si="402"/>
        <v>0</v>
      </c>
      <c r="J1113" s="9">
        <f t="shared" si="402"/>
        <v>0</v>
      </c>
      <c r="K1113" s="9">
        <f t="shared" si="402"/>
        <v>0</v>
      </c>
      <c r="L1113" s="9">
        <f t="shared" si="402"/>
        <v>0</v>
      </c>
      <c r="M1113" s="9">
        <f t="shared" si="402"/>
        <v>0</v>
      </c>
      <c r="N1113" s="9">
        <f t="shared" si="402"/>
        <v>0</v>
      </c>
      <c r="O1113" s="243"/>
      <c r="P1113" s="252"/>
    </row>
    <row r="1114" spans="1:16" ht="60.75" customHeight="1" x14ac:dyDescent="0.25">
      <c r="A1114" s="250"/>
      <c r="B1114" s="191" t="s">
        <v>12</v>
      </c>
      <c r="C1114" s="4"/>
      <c r="D1114" s="5"/>
      <c r="E1114" s="5"/>
      <c r="F1114" s="5"/>
      <c r="G1114" s="12"/>
      <c r="H1114" s="9">
        <f t="shared" si="402"/>
        <v>0</v>
      </c>
      <c r="I1114" s="9">
        <f t="shared" si="402"/>
        <v>0</v>
      </c>
      <c r="J1114" s="9">
        <f t="shared" si="402"/>
        <v>0</v>
      </c>
      <c r="K1114" s="9">
        <f t="shared" si="402"/>
        <v>0</v>
      </c>
      <c r="L1114" s="9">
        <f t="shared" si="402"/>
        <v>0</v>
      </c>
      <c r="M1114" s="9">
        <f t="shared" si="402"/>
        <v>0</v>
      </c>
      <c r="N1114" s="9">
        <f t="shared" si="402"/>
        <v>0</v>
      </c>
      <c r="O1114" s="244"/>
      <c r="P1114" s="253"/>
    </row>
    <row r="1115" spans="1:16" ht="23.25" customHeight="1" x14ac:dyDescent="0.25">
      <c r="A1115" s="241" t="s">
        <v>461</v>
      </c>
      <c r="B1115" s="190" t="s">
        <v>446</v>
      </c>
      <c r="C1115" s="4"/>
      <c r="D1115" s="5"/>
      <c r="E1115" s="5"/>
      <c r="F1115" s="5"/>
      <c r="G1115" s="12"/>
      <c r="H1115" s="9">
        <v>1</v>
      </c>
      <c r="I1115" s="9">
        <v>0</v>
      </c>
      <c r="J1115" s="9">
        <v>0</v>
      </c>
      <c r="K1115" s="9">
        <v>0</v>
      </c>
      <c r="L1115" s="9">
        <v>0</v>
      </c>
      <c r="M1115" s="1">
        <v>1</v>
      </c>
      <c r="N1115" s="1">
        <v>1</v>
      </c>
      <c r="O1115" s="242" t="s">
        <v>374</v>
      </c>
      <c r="P1115" s="245" t="s">
        <v>641</v>
      </c>
    </row>
    <row r="1116" spans="1:16" ht="26.4" x14ac:dyDescent="0.25">
      <c r="A1116" s="241"/>
      <c r="B1116" s="190" t="s">
        <v>86</v>
      </c>
      <c r="C1116" s="4"/>
      <c r="D1116" s="5"/>
      <c r="E1116" s="5"/>
      <c r="F1116" s="5"/>
      <c r="G1116" s="12"/>
      <c r="H1116" s="9">
        <v>18276</v>
      </c>
      <c r="I1116" s="9" t="s">
        <v>229</v>
      </c>
      <c r="J1116" s="9" t="s">
        <v>229</v>
      </c>
      <c r="K1116" s="9" t="s">
        <v>229</v>
      </c>
      <c r="L1116" s="9" t="s">
        <v>229</v>
      </c>
      <c r="M1116" s="9">
        <v>36700</v>
      </c>
      <c r="N1116" s="9">
        <v>36700</v>
      </c>
      <c r="O1116" s="243"/>
      <c r="P1116" s="246"/>
    </row>
    <row r="1117" spans="1:16" ht="24.75" customHeight="1" x14ac:dyDescent="0.25">
      <c r="A1117" s="241"/>
      <c r="B1117" s="190" t="s">
        <v>74</v>
      </c>
      <c r="C1117" s="4"/>
      <c r="D1117" s="5"/>
      <c r="E1117" s="5"/>
      <c r="F1117" s="5"/>
      <c r="G1117" s="12"/>
      <c r="H1117" s="9">
        <f>H1118+H1119</f>
        <v>27249.15</v>
      </c>
      <c r="I1117" s="9">
        <f t="shared" ref="I1117:N1117" si="403">I1118+I1119</f>
        <v>2536</v>
      </c>
      <c r="J1117" s="9">
        <f t="shared" si="403"/>
        <v>2929</v>
      </c>
      <c r="K1117" s="9">
        <f t="shared" si="403"/>
        <v>9770.9500000000007</v>
      </c>
      <c r="L1117" s="9">
        <f t="shared" si="403"/>
        <v>12013.2</v>
      </c>
      <c r="M1117" s="9">
        <f t="shared" si="403"/>
        <v>36700</v>
      </c>
      <c r="N1117" s="9">
        <f t="shared" si="403"/>
        <v>36700</v>
      </c>
      <c r="O1117" s="243"/>
      <c r="P1117" s="246"/>
    </row>
    <row r="1118" spans="1:16" x14ac:dyDescent="0.25">
      <c r="A1118" s="241"/>
      <c r="B1118" s="189" t="s">
        <v>16</v>
      </c>
      <c r="C1118" s="4" t="s">
        <v>41</v>
      </c>
      <c r="D1118" s="4" t="s">
        <v>233</v>
      </c>
      <c r="E1118" s="4" t="s">
        <v>235</v>
      </c>
      <c r="F1118" s="221" t="s">
        <v>438</v>
      </c>
      <c r="G1118" s="12" t="s">
        <v>45</v>
      </c>
      <c r="H1118" s="9">
        <f>I1118+J1118+K1118+L1118</f>
        <v>24405.95</v>
      </c>
      <c r="I1118" s="9">
        <v>2536</v>
      </c>
      <c r="J1118" s="9">
        <v>2929</v>
      </c>
      <c r="K1118" s="9">
        <v>9770.9500000000007</v>
      </c>
      <c r="L1118" s="9">
        <v>9170</v>
      </c>
      <c r="M1118" s="9">
        <v>36700</v>
      </c>
      <c r="N1118" s="9">
        <v>36700</v>
      </c>
      <c r="O1118" s="243"/>
      <c r="P1118" s="246"/>
    </row>
    <row r="1119" spans="1:16" x14ac:dyDescent="0.25">
      <c r="A1119" s="241"/>
      <c r="B1119" s="189"/>
      <c r="C1119" s="4" t="s">
        <v>41</v>
      </c>
      <c r="D1119" s="4" t="s">
        <v>233</v>
      </c>
      <c r="E1119" s="5" t="s">
        <v>238</v>
      </c>
      <c r="F1119" s="221" t="s">
        <v>438</v>
      </c>
      <c r="G1119" s="12">
        <v>621</v>
      </c>
      <c r="H1119" s="9">
        <f>I1119+J1119+K1119+L1119</f>
        <v>2843.2</v>
      </c>
      <c r="I1119" s="9">
        <v>0</v>
      </c>
      <c r="J1119" s="9">
        <v>0</v>
      </c>
      <c r="K1119" s="9">
        <v>0</v>
      </c>
      <c r="L1119" s="9">
        <v>2843.2</v>
      </c>
      <c r="M1119" s="9">
        <v>0</v>
      </c>
      <c r="N1119" s="9">
        <v>0</v>
      </c>
      <c r="O1119" s="243"/>
      <c r="P1119" s="246"/>
    </row>
    <row r="1120" spans="1:16" x14ac:dyDescent="0.25">
      <c r="A1120" s="241"/>
      <c r="B1120" s="190" t="s">
        <v>14</v>
      </c>
      <c r="C1120" s="4"/>
      <c r="D1120" s="5"/>
      <c r="E1120" s="5"/>
      <c r="F1120" s="5"/>
      <c r="G1120" s="12"/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243"/>
      <c r="P1120" s="246"/>
    </row>
    <row r="1121" spans="1:16" ht="13.35" customHeight="1" x14ac:dyDescent="0.25">
      <c r="A1121" s="241"/>
      <c r="B1121" s="190" t="s">
        <v>15</v>
      </c>
      <c r="C1121" s="4"/>
      <c r="D1121" s="5"/>
      <c r="E1121" s="5"/>
      <c r="F1121" s="5"/>
      <c r="G1121" s="12"/>
      <c r="H1121" s="9">
        <v>0</v>
      </c>
      <c r="I1121" s="9">
        <v>0</v>
      </c>
      <c r="J1121" s="9">
        <v>0</v>
      </c>
      <c r="K1121" s="9">
        <v>0</v>
      </c>
      <c r="L1121" s="9">
        <v>0</v>
      </c>
      <c r="M1121" s="9">
        <v>0</v>
      </c>
      <c r="N1121" s="9">
        <v>0</v>
      </c>
      <c r="O1121" s="243"/>
      <c r="P1121" s="246"/>
    </row>
    <row r="1122" spans="1:16" ht="64.5" customHeight="1" x14ac:dyDescent="0.25">
      <c r="A1122" s="241"/>
      <c r="B1122" s="190" t="s">
        <v>12</v>
      </c>
      <c r="C1122" s="4"/>
      <c r="D1122" s="5"/>
      <c r="E1122" s="5"/>
      <c r="F1122" s="202"/>
      <c r="G1122" s="12"/>
      <c r="H1122" s="9">
        <v>0</v>
      </c>
      <c r="I1122" s="9">
        <v>0</v>
      </c>
      <c r="J1122" s="9">
        <v>0</v>
      </c>
      <c r="K1122" s="9">
        <v>0</v>
      </c>
      <c r="L1122" s="9">
        <v>0</v>
      </c>
      <c r="M1122" s="9">
        <v>0</v>
      </c>
      <c r="N1122" s="9">
        <v>0</v>
      </c>
      <c r="O1122" s="244"/>
      <c r="P1122" s="247"/>
    </row>
    <row r="1123" spans="1:16" x14ac:dyDescent="0.25">
      <c r="A1123" s="241" t="s">
        <v>498</v>
      </c>
      <c r="B1123" s="190" t="s">
        <v>446</v>
      </c>
      <c r="C1123" s="4"/>
      <c r="D1123" s="5"/>
      <c r="E1123" s="5"/>
      <c r="F1123" s="5"/>
      <c r="G1123" s="12"/>
      <c r="H1123" s="9">
        <v>0</v>
      </c>
      <c r="I1123" s="9">
        <v>0</v>
      </c>
      <c r="J1123" s="9">
        <v>0</v>
      </c>
      <c r="K1123" s="9">
        <v>0</v>
      </c>
      <c r="L1123" s="9">
        <v>0</v>
      </c>
      <c r="M1123" s="9">
        <v>1</v>
      </c>
      <c r="N1123" s="9">
        <v>0</v>
      </c>
      <c r="O1123" s="242" t="s">
        <v>217</v>
      </c>
      <c r="P1123" s="242" t="s">
        <v>588</v>
      </c>
    </row>
    <row r="1124" spans="1:16" ht="26.4" x14ac:dyDescent="0.25">
      <c r="A1124" s="241"/>
      <c r="B1124" s="190" t="s">
        <v>86</v>
      </c>
      <c r="C1124" s="4"/>
      <c r="D1124" s="5"/>
      <c r="E1124" s="5"/>
      <c r="F1124" s="5"/>
      <c r="G1124" s="12"/>
      <c r="H1124" s="9">
        <v>0</v>
      </c>
      <c r="I1124" s="9" t="s">
        <v>229</v>
      </c>
      <c r="J1124" s="9" t="s">
        <v>229</v>
      </c>
      <c r="K1124" s="9" t="s">
        <v>229</v>
      </c>
      <c r="L1124" s="9" t="s">
        <v>229</v>
      </c>
      <c r="M1124" s="9">
        <v>0</v>
      </c>
      <c r="N1124" s="9">
        <v>0</v>
      </c>
      <c r="O1124" s="243"/>
      <c r="P1124" s="243"/>
    </row>
    <row r="1125" spans="1:16" x14ac:dyDescent="0.25">
      <c r="A1125" s="241"/>
      <c r="B1125" s="190" t="s">
        <v>74</v>
      </c>
      <c r="C1125" s="4"/>
      <c r="D1125" s="5"/>
      <c r="E1125" s="5"/>
      <c r="F1125" s="5"/>
      <c r="G1125" s="12"/>
      <c r="H1125" s="9">
        <v>0</v>
      </c>
      <c r="I1125" s="9">
        <v>0</v>
      </c>
      <c r="J1125" s="9">
        <v>0</v>
      </c>
      <c r="K1125" s="9">
        <v>0</v>
      </c>
      <c r="L1125" s="9">
        <v>0</v>
      </c>
      <c r="M1125" s="9">
        <v>0</v>
      </c>
      <c r="N1125" s="9">
        <v>0</v>
      </c>
      <c r="O1125" s="243"/>
      <c r="P1125" s="243"/>
    </row>
    <row r="1126" spans="1:16" x14ac:dyDescent="0.25">
      <c r="A1126" s="241"/>
      <c r="B1126" s="187" t="s">
        <v>16</v>
      </c>
      <c r="C1126" s="4" t="s">
        <v>229</v>
      </c>
      <c r="D1126" s="5" t="s">
        <v>229</v>
      </c>
      <c r="E1126" s="5" t="s">
        <v>229</v>
      </c>
      <c r="F1126" s="5" t="s">
        <v>229</v>
      </c>
      <c r="G1126" s="12" t="s">
        <v>229</v>
      </c>
      <c r="H1126" s="9">
        <v>0</v>
      </c>
      <c r="I1126" s="9">
        <v>0</v>
      </c>
      <c r="J1126" s="9">
        <v>0</v>
      </c>
      <c r="K1126" s="9">
        <v>0</v>
      </c>
      <c r="L1126" s="9">
        <v>0</v>
      </c>
      <c r="M1126" s="9">
        <v>0</v>
      </c>
      <c r="N1126" s="9">
        <v>0</v>
      </c>
      <c r="O1126" s="243"/>
      <c r="P1126" s="243"/>
    </row>
    <row r="1127" spans="1:16" x14ac:dyDescent="0.25">
      <c r="A1127" s="241"/>
      <c r="B1127" s="190" t="s">
        <v>14</v>
      </c>
      <c r="C1127" s="4" t="s">
        <v>229</v>
      </c>
      <c r="D1127" s="5" t="s">
        <v>229</v>
      </c>
      <c r="E1127" s="5" t="s">
        <v>229</v>
      </c>
      <c r="F1127" s="5" t="s">
        <v>229</v>
      </c>
      <c r="G1127" s="12" t="s">
        <v>229</v>
      </c>
      <c r="H1127" s="9">
        <v>0</v>
      </c>
      <c r="I1127" s="9">
        <v>0</v>
      </c>
      <c r="J1127" s="9">
        <v>0</v>
      </c>
      <c r="K1127" s="9">
        <v>0</v>
      </c>
      <c r="L1127" s="9">
        <v>0</v>
      </c>
      <c r="M1127" s="9">
        <v>0</v>
      </c>
      <c r="N1127" s="9">
        <v>0</v>
      </c>
      <c r="O1127" s="243"/>
      <c r="P1127" s="243"/>
    </row>
    <row r="1128" spans="1:16" x14ac:dyDescent="0.25">
      <c r="A1128" s="241"/>
      <c r="B1128" s="190" t="s">
        <v>15</v>
      </c>
      <c r="C1128" s="4" t="s">
        <v>229</v>
      </c>
      <c r="D1128" s="5" t="s">
        <v>229</v>
      </c>
      <c r="E1128" s="5" t="s">
        <v>229</v>
      </c>
      <c r="F1128" s="5" t="s">
        <v>229</v>
      </c>
      <c r="G1128" s="12" t="s">
        <v>229</v>
      </c>
      <c r="H1128" s="9">
        <v>0</v>
      </c>
      <c r="I1128" s="9">
        <v>0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243"/>
      <c r="P1128" s="243"/>
    </row>
    <row r="1129" spans="1:16" ht="75" customHeight="1" x14ac:dyDescent="0.25">
      <c r="A1129" s="241"/>
      <c r="B1129" s="190" t="s">
        <v>12</v>
      </c>
      <c r="C1129" s="4" t="s">
        <v>229</v>
      </c>
      <c r="D1129" s="5" t="s">
        <v>229</v>
      </c>
      <c r="E1129" s="5" t="s">
        <v>229</v>
      </c>
      <c r="F1129" s="5" t="s">
        <v>229</v>
      </c>
      <c r="G1129" s="12" t="s">
        <v>229</v>
      </c>
      <c r="H1129" s="9">
        <v>0</v>
      </c>
      <c r="I1129" s="9">
        <v>0</v>
      </c>
      <c r="J1129" s="9">
        <v>0</v>
      </c>
      <c r="K1129" s="9">
        <v>0</v>
      </c>
      <c r="L1129" s="9">
        <v>0</v>
      </c>
      <c r="M1129" s="9">
        <v>0</v>
      </c>
      <c r="N1129" s="9">
        <v>0</v>
      </c>
      <c r="O1129" s="244"/>
      <c r="P1129" s="244"/>
    </row>
    <row r="1130" spans="1:16" ht="21" customHeight="1" x14ac:dyDescent="0.25">
      <c r="A1130" s="238" t="s">
        <v>499</v>
      </c>
      <c r="B1130" s="190" t="s">
        <v>589</v>
      </c>
      <c r="C1130" s="4"/>
      <c r="D1130" s="5"/>
      <c r="E1130" s="5"/>
      <c r="F1130" s="5"/>
      <c r="G1130" s="12"/>
      <c r="H1130" s="9">
        <v>0</v>
      </c>
      <c r="I1130" s="9">
        <v>0</v>
      </c>
      <c r="J1130" s="9">
        <v>0</v>
      </c>
      <c r="K1130" s="9">
        <v>0</v>
      </c>
      <c r="L1130" s="9">
        <v>0</v>
      </c>
      <c r="M1130" s="9">
        <v>0</v>
      </c>
      <c r="N1130" s="9">
        <v>0</v>
      </c>
      <c r="O1130" s="242" t="s">
        <v>492</v>
      </c>
      <c r="P1130" s="242" t="s">
        <v>590</v>
      </c>
    </row>
    <row r="1131" spans="1:16" ht="26.4" x14ac:dyDescent="0.25">
      <c r="A1131" s="239"/>
      <c r="B1131" s="190" t="s">
        <v>86</v>
      </c>
      <c r="C1131" s="4"/>
      <c r="D1131" s="5"/>
      <c r="E1131" s="5"/>
      <c r="F1131" s="5"/>
      <c r="G1131" s="12"/>
      <c r="H1131" s="9">
        <v>0</v>
      </c>
      <c r="I1131" s="9" t="s">
        <v>229</v>
      </c>
      <c r="J1131" s="9" t="s">
        <v>229</v>
      </c>
      <c r="K1131" s="9" t="s">
        <v>229</v>
      </c>
      <c r="L1131" s="9" t="s">
        <v>229</v>
      </c>
      <c r="M1131" s="9">
        <v>0</v>
      </c>
      <c r="N1131" s="9">
        <v>0</v>
      </c>
      <c r="O1131" s="243"/>
      <c r="P1131" s="243"/>
    </row>
    <row r="1132" spans="1:16" x14ac:dyDescent="0.25">
      <c r="A1132" s="239"/>
      <c r="B1132" s="190" t="s">
        <v>74</v>
      </c>
      <c r="C1132" s="4"/>
      <c r="D1132" s="5"/>
      <c r="E1132" s="5"/>
      <c r="F1132" s="5"/>
      <c r="G1132" s="12"/>
      <c r="H1132" s="9">
        <v>0</v>
      </c>
      <c r="I1132" s="9">
        <v>0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243"/>
      <c r="P1132" s="243"/>
    </row>
    <row r="1133" spans="1:16" x14ac:dyDescent="0.25">
      <c r="A1133" s="239"/>
      <c r="B1133" s="187" t="s">
        <v>16</v>
      </c>
      <c r="C1133" s="4" t="s">
        <v>229</v>
      </c>
      <c r="D1133" s="5" t="s">
        <v>229</v>
      </c>
      <c r="E1133" s="5" t="s">
        <v>229</v>
      </c>
      <c r="F1133" s="5" t="s">
        <v>229</v>
      </c>
      <c r="G1133" s="12" t="s">
        <v>229</v>
      </c>
      <c r="H1133" s="9">
        <v>0</v>
      </c>
      <c r="I1133" s="9">
        <v>0</v>
      </c>
      <c r="J1133" s="9">
        <v>0</v>
      </c>
      <c r="K1133" s="9">
        <v>0</v>
      </c>
      <c r="L1133" s="9">
        <v>0</v>
      </c>
      <c r="M1133" s="9">
        <v>0</v>
      </c>
      <c r="N1133" s="9">
        <v>0</v>
      </c>
      <c r="O1133" s="243"/>
      <c r="P1133" s="243"/>
    </row>
    <row r="1134" spans="1:16" x14ac:dyDescent="0.25">
      <c r="A1134" s="239"/>
      <c r="B1134" s="190" t="s">
        <v>14</v>
      </c>
      <c r="C1134" s="4" t="s">
        <v>229</v>
      </c>
      <c r="D1134" s="5" t="s">
        <v>229</v>
      </c>
      <c r="E1134" s="5" t="s">
        <v>229</v>
      </c>
      <c r="F1134" s="5" t="s">
        <v>229</v>
      </c>
      <c r="G1134" s="12" t="s">
        <v>229</v>
      </c>
      <c r="H1134" s="9">
        <v>0</v>
      </c>
      <c r="I1134" s="9">
        <v>0</v>
      </c>
      <c r="J1134" s="9">
        <v>0</v>
      </c>
      <c r="K1134" s="9">
        <v>0</v>
      </c>
      <c r="L1134" s="9">
        <v>0</v>
      </c>
      <c r="M1134" s="9">
        <v>0</v>
      </c>
      <c r="N1134" s="9">
        <v>0</v>
      </c>
      <c r="O1134" s="243"/>
      <c r="P1134" s="243"/>
    </row>
    <row r="1135" spans="1:16" x14ac:dyDescent="0.25">
      <c r="A1135" s="239"/>
      <c r="B1135" s="190" t="s">
        <v>15</v>
      </c>
      <c r="C1135" s="4" t="s">
        <v>229</v>
      </c>
      <c r="D1135" s="5" t="s">
        <v>229</v>
      </c>
      <c r="E1135" s="5" t="s">
        <v>229</v>
      </c>
      <c r="F1135" s="5" t="s">
        <v>229</v>
      </c>
      <c r="G1135" s="12" t="s">
        <v>229</v>
      </c>
      <c r="H1135" s="9">
        <v>0</v>
      </c>
      <c r="I1135" s="9">
        <v>0</v>
      </c>
      <c r="J1135" s="9">
        <v>0</v>
      </c>
      <c r="K1135" s="9">
        <v>0</v>
      </c>
      <c r="L1135" s="9">
        <v>0</v>
      </c>
      <c r="M1135" s="9">
        <v>0</v>
      </c>
      <c r="N1135" s="9">
        <v>0</v>
      </c>
      <c r="O1135" s="243"/>
      <c r="P1135" s="243"/>
    </row>
    <row r="1136" spans="1:16" ht="33.75" customHeight="1" x14ac:dyDescent="0.25">
      <c r="A1136" s="240"/>
      <c r="B1136" s="190" t="s">
        <v>12</v>
      </c>
      <c r="C1136" s="4" t="s">
        <v>229</v>
      </c>
      <c r="D1136" s="5" t="s">
        <v>229</v>
      </c>
      <c r="E1136" s="5" t="s">
        <v>229</v>
      </c>
      <c r="F1136" s="5" t="s">
        <v>229</v>
      </c>
      <c r="G1136" s="12" t="s">
        <v>229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244"/>
      <c r="P1136" s="244"/>
    </row>
    <row r="1137" spans="1:16" ht="18.600000000000001" customHeight="1" x14ac:dyDescent="0.25">
      <c r="A1137" s="286" t="s">
        <v>26</v>
      </c>
      <c r="B1137" s="93" t="s">
        <v>242</v>
      </c>
      <c r="C1137" s="94"/>
      <c r="D1137" s="95"/>
      <c r="E1137" s="95"/>
      <c r="F1137" s="95"/>
      <c r="G1137" s="212"/>
      <c r="H1137" s="96">
        <f>H1138+H1139+H1140+H1141</f>
        <v>91714.5</v>
      </c>
      <c r="I1137" s="96">
        <f t="shared" ref="I1137:N1137" si="404">I1138+I1139+I1140+I1141</f>
        <v>19696.7</v>
      </c>
      <c r="J1137" s="96">
        <f t="shared" si="404"/>
        <v>26190.149999999998</v>
      </c>
      <c r="K1137" s="96">
        <f t="shared" si="404"/>
        <v>22623.45</v>
      </c>
      <c r="L1137" s="96">
        <f t="shared" si="404"/>
        <v>23204.2</v>
      </c>
      <c r="M1137" s="96">
        <f t="shared" si="404"/>
        <v>87241.3</v>
      </c>
      <c r="N1137" s="96">
        <f t="shared" si="404"/>
        <v>89241.3</v>
      </c>
      <c r="O1137" s="242"/>
      <c r="P1137" s="242"/>
    </row>
    <row r="1138" spans="1:16" ht="12.75" customHeight="1" x14ac:dyDescent="0.25">
      <c r="A1138" s="287"/>
      <c r="B1138" s="93" t="s">
        <v>16</v>
      </c>
      <c r="C1138" s="94"/>
      <c r="D1138" s="95"/>
      <c r="E1138" s="95"/>
      <c r="F1138" s="95"/>
      <c r="G1138" s="212"/>
      <c r="H1138" s="96">
        <f>H1008+H1009+H1010+H1017+H1018+H1025+H1032+H1050+H1057+H1064+H1065+H1072+H1079+H1080+H1081+H1082+H1089+H1096+H1103+H1118+H1119</f>
        <v>91714.5</v>
      </c>
      <c r="I1138" s="96">
        <f t="shared" ref="I1138:N1138" si="405">I1008+I1009+I1010+I1017+I1018+I1025+I1032+I1050+I1057+I1064+I1065+I1072+I1079+I1080+I1081+I1082+I1089+I1096+I1103+I1118+I1119</f>
        <v>19696.7</v>
      </c>
      <c r="J1138" s="96">
        <f t="shared" si="405"/>
        <v>26190.149999999998</v>
      </c>
      <c r="K1138" s="96">
        <f t="shared" si="405"/>
        <v>22623.45</v>
      </c>
      <c r="L1138" s="96">
        <f t="shared" si="405"/>
        <v>23204.2</v>
      </c>
      <c r="M1138" s="96">
        <f t="shared" si="405"/>
        <v>87241.3</v>
      </c>
      <c r="N1138" s="96">
        <f t="shared" si="405"/>
        <v>89241.3</v>
      </c>
      <c r="O1138" s="243"/>
      <c r="P1138" s="243"/>
    </row>
    <row r="1139" spans="1:16" ht="15" customHeight="1" x14ac:dyDescent="0.25">
      <c r="A1139" s="287"/>
      <c r="B1139" s="93" t="s">
        <v>14</v>
      </c>
      <c r="C1139" s="94"/>
      <c r="D1139" s="95"/>
      <c r="E1139" s="95"/>
      <c r="F1139" s="95"/>
      <c r="G1139" s="212"/>
      <c r="H1139" s="96">
        <f t="shared" ref="H1139:N1141" si="406">H1043+H1002+H1112</f>
        <v>0</v>
      </c>
      <c r="I1139" s="96">
        <f t="shared" si="406"/>
        <v>0</v>
      </c>
      <c r="J1139" s="96">
        <f t="shared" si="406"/>
        <v>0</v>
      </c>
      <c r="K1139" s="96">
        <f t="shared" si="406"/>
        <v>0</v>
      </c>
      <c r="L1139" s="96">
        <f t="shared" si="406"/>
        <v>0</v>
      </c>
      <c r="M1139" s="96">
        <f t="shared" si="406"/>
        <v>0</v>
      </c>
      <c r="N1139" s="96">
        <f t="shared" si="406"/>
        <v>0</v>
      </c>
      <c r="O1139" s="243"/>
      <c r="P1139" s="243"/>
    </row>
    <row r="1140" spans="1:16" ht="12.75" customHeight="1" x14ac:dyDescent="0.25">
      <c r="A1140" s="287"/>
      <c r="B1140" s="93" t="s">
        <v>15</v>
      </c>
      <c r="C1140" s="94"/>
      <c r="D1140" s="95"/>
      <c r="E1140" s="95"/>
      <c r="F1140" s="95"/>
      <c r="G1140" s="212"/>
      <c r="H1140" s="96">
        <f t="shared" si="406"/>
        <v>0</v>
      </c>
      <c r="I1140" s="96">
        <f t="shared" si="406"/>
        <v>0</v>
      </c>
      <c r="J1140" s="96">
        <f t="shared" si="406"/>
        <v>0</v>
      </c>
      <c r="K1140" s="96">
        <f t="shared" si="406"/>
        <v>0</v>
      </c>
      <c r="L1140" s="96">
        <f t="shared" si="406"/>
        <v>0</v>
      </c>
      <c r="M1140" s="96">
        <f t="shared" si="406"/>
        <v>0</v>
      </c>
      <c r="N1140" s="96">
        <f t="shared" si="406"/>
        <v>0</v>
      </c>
      <c r="O1140" s="243"/>
      <c r="P1140" s="243"/>
    </row>
    <row r="1141" spans="1:16" x14ac:dyDescent="0.25">
      <c r="A1141" s="288"/>
      <c r="B1141" s="93" t="s">
        <v>12</v>
      </c>
      <c r="C1141" s="94"/>
      <c r="D1141" s="95"/>
      <c r="E1141" s="95"/>
      <c r="F1141" s="95"/>
      <c r="G1141" s="212"/>
      <c r="H1141" s="96">
        <f t="shared" si="406"/>
        <v>0</v>
      </c>
      <c r="I1141" s="96">
        <f t="shared" si="406"/>
        <v>0</v>
      </c>
      <c r="J1141" s="96">
        <f t="shared" si="406"/>
        <v>0</v>
      </c>
      <c r="K1141" s="96">
        <f t="shared" si="406"/>
        <v>0</v>
      </c>
      <c r="L1141" s="96">
        <f t="shared" si="406"/>
        <v>0</v>
      </c>
      <c r="M1141" s="96">
        <f t="shared" si="406"/>
        <v>0</v>
      </c>
      <c r="N1141" s="96">
        <f t="shared" si="406"/>
        <v>0</v>
      </c>
      <c r="O1141" s="244"/>
      <c r="P1141" s="244"/>
    </row>
    <row r="1142" spans="1:16" x14ac:dyDescent="0.25">
      <c r="A1142" s="258" t="s">
        <v>143</v>
      </c>
      <c r="B1142" s="260"/>
      <c r="C1142" s="260"/>
      <c r="D1142" s="260"/>
      <c r="E1142" s="260"/>
      <c r="F1142" s="260"/>
      <c r="G1142" s="260"/>
      <c r="H1142" s="260"/>
      <c r="I1142" s="260"/>
      <c r="J1142" s="260"/>
      <c r="K1142" s="260"/>
      <c r="L1142" s="260"/>
      <c r="M1142" s="260"/>
      <c r="N1142" s="260"/>
      <c r="O1142" s="260"/>
      <c r="P1142" s="261"/>
    </row>
    <row r="1143" spans="1:16" ht="13.35" customHeight="1" x14ac:dyDescent="0.25">
      <c r="A1143" s="241" t="s">
        <v>474</v>
      </c>
      <c r="B1143" s="190" t="s">
        <v>405</v>
      </c>
      <c r="C1143" s="4"/>
      <c r="D1143" s="5"/>
      <c r="E1143" s="5"/>
      <c r="F1143" s="5"/>
      <c r="G1143" s="12"/>
      <c r="H1143" s="9" t="s">
        <v>51</v>
      </c>
      <c r="I1143" s="9" t="s">
        <v>51</v>
      </c>
      <c r="J1143" s="9" t="s">
        <v>51</v>
      </c>
      <c r="K1143" s="9" t="s">
        <v>51</v>
      </c>
      <c r="L1143" s="9" t="s">
        <v>51</v>
      </c>
      <c r="M1143" s="9" t="s">
        <v>51</v>
      </c>
      <c r="N1143" s="9" t="s">
        <v>51</v>
      </c>
      <c r="O1143" s="268" t="s">
        <v>375</v>
      </c>
      <c r="P1143" s="268" t="s">
        <v>171</v>
      </c>
    </row>
    <row r="1144" spans="1:16" ht="26.4" x14ac:dyDescent="0.25">
      <c r="A1144" s="241"/>
      <c r="B1144" s="190" t="s">
        <v>86</v>
      </c>
      <c r="C1144" s="4"/>
      <c r="D1144" s="5"/>
      <c r="E1144" s="5"/>
      <c r="F1144" s="5"/>
      <c r="G1144" s="12"/>
      <c r="H1144" s="9" t="s">
        <v>51</v>
      </c>
      <c r="I1144" s="9" t="s">
        <v>229</v>
      </c>
      <c r="J1144" s="9" t="s">
        <v>229</v>
      </c>
      <c r="K1144" s="9" t="s">
        <v>229</v>
      </c>
      <c r="L1144" s="9" t="s">
        <v>229</v>
      </c>
      <c r="M1144" s="9" t="s">
        <v>51</v>
      </c>
      <c r="N1144" s="9" t="s">
        <v>51</v>
      </c>
      <c r="O1144" s="268"/>
      <c r="P1144" s="268"/>
    </row>
    <row r="1145" spans="1:16" x14ac:dyDescent="0.25">
      <c r="A1145" s="241"/>
      <c r="B1145" s="190" t="s">
        <v>74</v>
      </c>
      <c r="C1145" s="4"/>
      <c r="D1145" s="5"/>
      <c r="E1145" s="5"/>
      <c r="F1145" s="5"/>
      <c r="G1145" s="12"/>
      <c r="H1145" s="9">
        <f t="shared" ref="H1145:N1145" si="407">SUM(H1146:H1150)</f>
        <v>3330</v>
      </c>
      <c r="I1145" s="9">
        <f t="shared" si="407"/>
        <v>92.83</v>
      </c>
      <c r="J1145" s="9">
        <f t="shared" si="407"/>
        <v>0</v>
      </c>
      <c r="K1145" s="9">
        <f t="shared" si="407"/>
        <v>0</v>
      </c>
      <c r="L1145" s="9">
        <f t="shared" si="407"/>
        <v>3237.17</v>
      </c>
      <c r="M1145" s="9">
        <f t="shared" si="407"/>
        <v>3330</v>
      </c>
      <c r="N1145" s="9">
        <f t="shared" si="407"/>
        <v>3330</v>
      </c>
      <c r="O1145" s="268"/>
      <c r="P1145" s="268"/>
    </row>
    <row r="1146" spans="1:16" x14ac:dyDescent="0.25">
      <c r="A1146" s="241"/>
      <c r="B1146" s="238" t="s">
        <v>16</v>
      </c>
      <c r="C1146" s="13" t="str">
        <f>C1154</f>
        <v>136</v>
      </c>
      <c r="D1146" s="13" t="str">
        <f t="shared" ref="D1146:N1146" si="408">D1154</f>
        <v>07</v>
      </c>
      <c r="E1146" s="13" t="str">
        <f t="shared" si="408"/>
        <v>09</v>
      </c>
      <c r="F1146" s="13" t="str">
        <f t="shared" si="408"/>
        <v>0730503550</v>
      </c>
      <c r="G1146" s="13" t="str">
        <f t="shared" si="408"/>
        <v>622</v>
      </c>
      <c r="H1146" s="9">
        <f t="shared" si="408"/>
        <v>3000</v>
      </c>
      <c r="I1146" s="9">
        <f t="shared" si="408"/>
        <v>0</v>
      </c>
      <c r="J1146" s="9">
        <f t="shared" si="408"/>
        <v>0</v>
      </c>
      <c r="K1146" s="9">
        <f t="shared" si="408"/>
        <v>0</v>
      </c>
      <c r="L1146" s="9">
        <f t="shared" si="408"/>
        <v>3000</v>
      </c>
      <c r="M1146" s="9">
        <f t="shared" si="408"/>
        <v>3000</v>
      </c>
      <c r="N1146" s="9">
        <f t="shared" si="408"/>
        <v>3000</v>
      </c>
      <c r="O1146" s="268"/>
      <c r="P1146" s="268"/>
    </row>
    <row r="1147" spans="1:16" x14ac:dyDescent="0.25">
      <c r="A1147" s="241"/>
      <c r="B1147" s="239"/>
      <c r="C1147" s="13" t="str">
        <f t="shared" ref="C1147:N1147" si="409">C1161</f>
        <v>136</v>
      </c>
      <c r="D1147" s="13" t="str">
        <f t="shared" si="409"/>
        <v>07</v>
      </c>
      <c r="E1147" s="13" t="str">
        <f t="shared" si="409"/>
        <v>09</v>
      </c>
      <c r="F1147" s="13" t="str">
        <f t="shared" si="409"/>
        <v>0730503550</v>
      </c>
      <c r="G1147" s="13" t="str">
        <f t="shared" si="409"/>
        <v>244</v>
      </c>
      <c r="H1147" s="9">
        <f t="shared" si="409"/>
        <v>330</v>
      </c>
      <c r="I1147" s="9">
        <f t="shared" si="409"/>
        <v>92.83</v>
      </c>
      <c r="J1147" s="9">
        <f t="shared" si="409"/>
        <v>0</v>
      </c>
      <c r="K1147" s="9">
        <f t="shared" si="409"/>
        <v>0</v>
      </c>
      <c r="L1147" s="9">
        <f t="shared" si="409"/>
        <v>237.17</v>
      </c>
      <c r="M1147" s="9">
        <f t="shared" si="409"/>
        <v>330</v>
      </c>
      <c r="N1147" s="9">
        <f t="shared" si="409"/>
        <v>330</v>
      </c>
      <c r="O1147" s="268"/>
      <c r="P1147" s="268"/>
    </row>
    <row r="1148" spans="1:16" x14ac:dyDescent="0.25">
      <c r="A1148" s="241"/>
      <c r="B1148" s="190" t="s">
        <v>14</v>
      </c>
      <c r="C1148" s="12"/>
      <c r="D1148" s="12"/>
      <c r="E1148" s="12"/>
      <c r="F1148" s="12"/>
      <c r="G1148" s="12"/>
      <c r="H1148" s="9">
        <f t="shared" ref="H1148:N1148" si="410">H1155+H1162</f>
        <v>0</v>
      </c>
      <c r="I1148" s="9">
        <f t="shared" si="410"/>
        <v>0</v>
      </c>
      <c r="J1148" s="9">
        <f t="shared" si="410"/>
        <v>0</v>
      </c>
      <c r="K1148" s="9">
        <f t="shared" si="410"/>
        <v>0</v>
      </c>
      <c r="L1148" s="9">
        <f t="shared" si="410"/>
        <v>0</v>
      </c>
      <c r="M1148" s="9">
        <f t="shared" si="410"/>
        <v>0</v>
      </c>
      <c r="N1148" s="9">
        <f t="shared" si="410"/>
        <v>0</v>
      </c>
      <c r="O1148" s="268"/>
      <c r="P1148" s="268"/>
    </row>
    <row r="1149" spans="1:16" x14ac:dyDescent="0.25">
      <c r="A1149" s="241"/>
      <c r="B1149" s="190" t="s">
        <v>15</v>
      </c>
      <c r="C1149" s="12"/>
      <c r="D1149" s="12"/>
      <c r="E1149" s="12"/>
      <c r="F1149" s="12"/>
      <c r="G1149" s="12"/>
      <c r="H1149" s="9">
        <f t="shared" ref="H1149:N1149" si="411">H1156+H1163</f>
        <v>0</v>
      </c>
      <c r="I1149" s="9">
        <f t="shared" si="411"/>
        <v>0</v>
      </c>
      <c r="J1149" s="9">
        <f t="shared" si="411"/>
        <v>0</v>
      </c>
      <c r="K1149" s="9">
        <f t="shared" si="411"/>
        <v>0</v>
      </c>
      <c r="L1149" s="9">
        <f t="shared" si="411"/>
        <v>0</v>
      </c>
      <c r="M1149" s="9">
        <f t="shared" si="411"/>
        <v>0</v>
      </c>
      <c r="N1149" s="9">
        <f t="shared" si="411"/>
        <v>0</v>
      </c>
      <c r="O1149" s="268"/>
      <c r="P1149" s="268"/>
    </row>
    <row r="1150" spans="1:16" x14ac:dyDescent="0.25">
      <c r="A1150" s="241"/>
      <c r="B1150" s="190" t="s">
        <v>12</v>
      </c>
      <c r="C1150" s="12"/>
      <c r="D1150" s="12"/>
      <c r="E1150" s="12"/>
      <c r="F1150" s="12"/>
      <c r="G1150" s="12"/>
      <c r="H1150" s="9">
        <f t="shared" ref="H1150:N1150" si="412">H1157+H1164</f>
        <v>0</v>
      </c>
      <c r="I1150" s="9">
        <f t="shared" si="412"/>
        <v>0</v>
      </c>
      <c r="J1150" s="9">
        <f t="shared" si="412"/>
        <v>0</v>
      </c>
      <c r="K1150" s="9">
        <f t="shared" si="412"/>
        <v>0</v>
      </c>
      <c r="L1150" s="9">
        <f t="shared" si="412"/>
        <v>0</v>
      </c>
      <c r="M1150" s="9">
        <f t="shared" si="412"/>
        <v>0</v>
      </c>
      <c r="N1150" s="9">
        <f t="shared" si="412"/>
        <v>0</v>
      </c>
      <c r="O1150" s="268"/>
      <c r="P1150" s="268"/>
    </row>
    <row r="1151" spans="1:16" x14ac:dyDescent="0.25">
      <c r="A1151" s="241" t="s">
        <v>475</v>
      </c>
      <c r="B1151" s="190" t="s">
        <v>213</v>
      </c>
      <c r="C1151" s="4"/>
      <c r="D1151" s="5"/>
      <c r="E1151" s="5"/>
      <c r="F1151" s="5"/>
      <c r="G1151" s="12"/>
      <c r="H1151" s="9" t="s">
        <v>225</v>
      </c>
      <c r="I1151" s="9">
        <v>0</v>
      </c>
      <c r="J1151" s="9">
        <v>0</v>
      </c>
      <c r="K1151" s="9">
        <v>0</v>
      </c>
      <c r="L1151" s="9" t="s">
        <v>225</v>
      </c>
      <c r="M1151" s="9" t="s">
        <v>225</v>
      </c>
      <c r="N1151" s="9" t="s">
        <v>225</v>
      </c>
      <c r="O1151" s="268" t="s">
        <v>160</v>
      </c>
      <c r="P1151" s="268" t="s">
        <v>172</v>
      </c>
    </row>
    <row r="1152" spans="1:16" ht="26.4" x14ac:dyDescent="0.25">
      <c r="A1152" s="241"/>
      <c r="B1152" s="190" t="s">
        <v>87</v>
      </c>
      <c r="C1152" s="4"/>
      <c r="D1152" s="5"/>
      <c r="E1152" s="5"/>
      <c r="F1152" s="5"/>
      <c r="G1152" s="12"/>
      <c r="H1152" s="28" t="s">
        <v>228</v>
      </c>
      <c r="I1152" s="9" t="s">
        <v>229</v>
      </c>
      <c r="J1152" s="9" t="s">
        <v>229</v>
      </c>
      <c r="K1152" s="9" t="s">
        <v>229</v>
      </c>
      <c r="L1152" s="9" t="s">
        <v>229</v>
      </c>
      <c r="M1152" s="28" t="s">
        <v>228</v>
      </c>
      <c r="N1152" s="28" t="s">
        <v>228</v>
      </c>
      <c r="O1152" s="268"/>
      <c r="P1152" s="268"/>
    </row>
    <row r="1153" spans="1:16" x14ac:dyDescent="0.25">
      <c r="A1153" s="241"/>
      <c r="B1153" s="190" t="s">
        <v>74</v>
      </c>
      <c r="C1153" s="4"/>
      <c r="D1153" s="5"/>
      <c r="E1153" s="5"/>
      <c r="F1153" s="5"/>
      <c r="G1153" s="12"/>
      <c r="H1153" s="9">
        <f t="shared" ref="H1153:N1153" si="413">SUM(H1154:H1157)</f>
        <v>3000</v>
      </c>
      <c r="I1153" s="9">
        <f t="shared" si="413"/>
        <v>0</v>
      </c>
      <c r="J1153" s="9">
        <f t="shared" si="413"/>
        <v>0</v>
      </c>
      <c r="K1153" s="9">
        <f t="shared" si="413"/>
        <v>0</v>
      </c>
      <c r="L1153" s="9">
        <f t="shared" si="413"/>
        <v>3000</v>
      </c>
      <c r="M1153" s="9">
        <f t="shared" si="413"/>
        <v>3000</v>
      </c>
      <c r="N1153" s="9">
        <f t="shared" si="413"/>
        <v>3000</v>
      </c>
      <c r="O1153" s="268"/>
      <c r="P1153" s="268"/>
    </row>
    <row r="1154" spans="1:16" x14ac:dyDescent="0.25">
      <c r="A1154" s="241"/>
      <c r="B1154" s="190" t="s">
        <v>16</v>
      </c>
      <c r="C1154" s="6" t="s">
        <v>41</v>
      </c>
      <c r="D1154" s="5" t="s">
        <v>233</v>
      </c>
      <c r="E1154" s="6" t="s">
        <v>235</v>
      </c>
      <c r="F1154" s="6" t="s">
        <v>271</v>
      </c>
      <c r="G1154" s="13" t="s">
        <v>45</v>
      </c>
      <c r="H1154" s="9">
        <f>I1154+J1154+K1154+L1154</f>
        <v>3000</v>
      </c>
      <c r="I1154" s="9">
        <v>0</v>
      </c>
      <c r="J1154" s="9">
        <v>0</v>
      </c>
      <c r="K1154" s="9">
        <v>0</v>
      </c>
      <c r="L1154" s="9">
        <v>3000</v>
      </c>
      <c r="M1154" s="9">
        <v>3000</v>
      </c>
      <c r="N1154" s="9">
        <v>3000</v>
      </c>
      <c r="O1154" s="268"/>
      <c r="P1154" s="268"/>
    </row>
    <row r="1155" spans="1:16" x14ac:dyDescent="0.25">
      <c r="A1155" s="241"/>
      <c r="B1155" s="190" t="s">
        <v>14</v>
      </c>
      <c r="C1155" s="4"/>
      <c r="D1155" s="5"/>
      <c r="E1155" s="5"/>
      <c r="F1155" s="5"/>
      <c r="G1155" s="12"/>
      <c r="H1155" s="9">
        <f>I1155+J1155+K1155+L1155</f>
        <v>0</v>
      </c>
      <c r="I1155" s="9">
        <v>0</v>
      </c>
      <c r="J1155" s="9">
        <v>0</v>
      </c>
      <c r="K1155" s="9">
        <v>0</v>
      </c>
      <c r="L1155" s="9">
        <v>0</v>
      </c>
      <c r="M1155" s="9">
        <v>0</v>
      </c>
      <c r="N1155" s="9">
        <v>0</v>
      </c>
      <c r="O1155" s="268"/>
      <c r="P1155" s="268"/>
    </row>
    <row r="1156" spans="1:16" x14ac:dyDescent="0.25">
      <c r="A1156" s="241"/>
      <c r="B1156" s="190" t="s">
        <v>15</v>
      </c>
      <c r="C1156" s="4"/>
      <c r="D1156" s="5"/>
      <c r="E1156" s="5"/>
      <c r="F1156" s="5"/>
      <c r="G1156" s="12"/>
      <c r="H1156" s="9">
        <f>I1156+J1156+K1156+L1156</f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268"/>
      <c r="P1156" s="268"/>
    </row>
    <row r="1157" spans="1:16" ht="15.75" customHeight="1" x14ac:dyDescent="0.25">
      <c r="A1157" s="241"/>
      <c r="B1157" s="190" t="s">
        <v>12</v>
      </c>
      <c r="C1157" s="4"/>
      <c r="D1157" s="5"/>
      <c r="E1157" s="5"/>
      <c r="F1157" s="5"/>
      <c r="G1157" s="12"/>
      <c r="H1157" s="9">
        <f>I1157+J1157+K1157+L1157</f>
        <v>0</v>
      </c>
      <c r="I1157" s="9">
        <v>0</v>
      </c>
      <c r="J1157" s="9">
        <v>0</v>
      </c>
      <c r="K1157" s="9">
        <v>0</v>
      </c>
      <c r="L1157" s="9">
        <v>0</v>
      </c>
      <c r="M1157" s="9">
        <v>0</v>
      </c>
      <c r="N1157" s="9">
        <v>0</v>
      </c>
      <c r="O1157" s="268"/>
      <c r="P1157" s="268"/>
    </row>
    <row r="1158" spans="1:16" x14ac:dyDescent="0.25">
      <c r="A1158" s="241" t="s">
        <v>476</v>
      </c>
      <c r="B1158" s="190" t="s">
        <v>441</v>
      </c>
      <c r="C1158" s="4"/>
      <c r="D1158" s="5"/>
      <c r="E1158" s="5"/>
      <c r="F1158" s="5"/>
      <c r="G1158" s="12"/>
      <c r="H1158" s="11">
        <v>111</v>
      </c>
      <c r="I1158" s="11">
        <v>33</v>
      </c>
      <c r="J1158" s="11">
        <v>33</v>
      </c>
      <c r="K1158" s="11">
        <v>35</v>
      </c>
      <c r="L1158" s="11">
        <v>10</v>
      </c>
      <c r="M1158" s="11">
        <v>111</v>
      </c>
      <c r="N1158" s="11">
        <v>111</v>
      </c>
      <c r="O1158" s="268" t="s">
        <v>217</v>
      </c>
      <c r="P1158" s="268" t="s">
        <v>330</v>
      </c>
    </row>
    <row r="1159" spans="1:16" ht="26.4" x14ac:dyDescent="0.25">
      <c r="A1159" s="241"/>
      <c r="B1159" s="190" t="s">
        <v>6</v>
      </c>
      <c r="C1159" s="4"/>
      <c r="D1159" s="5"/>
      <c r="E1159" s="5"/>
      <c r="F1159" s="5"/>
      <c r="G1159" s="12"/>
      <c r="H1159" s="9">
        <f>H1160/H1158</f>
        <v>2.9729729729729728</v>
      </c>
      <c r="I1159" s="9" t="s">
        <v>229</v>
      </c>
      <c r="J1159" s="9" t="s">
        <v>229</v>
      </c>
      <c r="K1159" s="9" t="s">
        <v>229</v>
      </c>
      <c r="L1159" s="9" t="s">
        <v>229</v>
      </c>
      <c r="M1159" s="9">
        <f>ROUND(M1160/M1158,1)</f>
        <v>3</v>
      </c>
      <c r="N1159" s="9">
        <f>ROUND(N1160/N1158,1)</f>
        <v>3</v>
      </c>
      <c r="O1159" s="268"/>
      <c r="P1159" s="268"/>
    </row>
    <row r="1160" spans="1:16" ht="27.6" customHeight="1" x14ac:dyDescent="0.25">
      <c r="A1160" s="241"/>
      <c r="B1160" s="190" t="s">
        <v>74</v>
      </c>
      <c r="C1160" s="4"/>
      <c r="D1160" s="5"/>
      <c r="E1160" s="5"/>
      <c r="F1160" s="5"/>
      <c r="G1160" s="12"/>
      <c r="H1160" s="9">
        <f>H1161</f>
        <v>330</v>
      </c>
      <c r="I1160" s="9">
        <f t="shared" ref="I1160:N1160" si="414">SUM(I1161:I1164)</f>
        <v>92.83</v>
      </c>
      <c r="J1160" s="9">
        <f t="shared" si="414"/>
        <v>0</v>
      </c>
      <c r="K1160" s="9">
        <f t="shared" si="414"/>
        <v>0</v>
      </c>
      <c r="L1160" s="9">
        <f t="shared" si="414"/>
        <v>237.17</v>
      </c>
      <c r="M1160" s="9">
        <f t="shared" si="414"/>
        <v>330</v>
      </c>
      <c r="N1160" s="9">
        <f t="shared" si="414"/>
        <v>330</v>
      </c>
      <c r="O1160" s="268"/>
      <c r="P1160" s="268"/>
    </row>
    <row r="1161" spans="1:16" x14ac:dyDescent="0.25">
      <c r="A1161" s="241"/>
      <c r="B1161" s="188" t="s">
        <v>16</v>
      </c>
      <c r="C1161" s="6" t="s">
        <v>41</v>
      </c>
      <c r="D1161" s="5" t="s">
        <v>233</v>
      </c>
      <c r="E1161" s="6" t="s">
        <v>235</v>
      </c>
      <c r="F1161" s="6" t="s">
        <v>271</v>
      </c>
      <c r="G1161" s="13" t="s">
        <v>47</v>
      </c>
      <c r="H1161" s="9">
        <f>I1161+J1161+K1161+L1161</f>
        <v>330</v>
      </c>
      <c r="I1161" s="9">
        <v>92.83</v>
      </c>
      <c r="J1161" s="9">
        <v>0</v>
      </c>
      <c r="K1161" s="9">
        <v>0</v>
      </c>
      <c r="L1161" s="9">
        <v>237.17</v>
      </c>
      <c r="M1161" s="9">
        <v>330</v>
      </c>
      <c r="N1161" s="9">
        <v>330</v>
      </c>
      <c r="O1161" s="268"/>
      <c r="P1161" s="268"/>
    </row>
    <row r="1162" spans="1:16" x14ac:dyDescent="0.25">
      <c r="A1162" s="241"/>
      <c r="B1162" s="190" t="s">
        <v>14</v>
      </c>
      <c r="C1162" s="4"/>
      <c r="D1162" s="5"/>
      <c r="E1162" s="5"/>
      <c r="F1162" s="5"/>
      <c r="G1162" s="12"/>
      <c r="H1162" s="9">
        <f>I1162+J1162+K1162+L1162</f>
        <v>0</v>
      </c>
      <c r="I1162" s="9">
        <v>0</v>
      </c>
      <c r="J1162" s="9">
        <v>0</v>
      </c>
      <c r="K1162" s="9">
        <v>0</v>
      </c>
      <c r="L1162" s="9">
        <v>0</v>
      </c>
      <c r="M1162" s="9">
        <v>0</v>
      </c>
      <c r="N1162" s="9">
        <v>0</v>
      </c>
      <c r="O1162" s="268"/>
      <c r="P1162" s="268"/>
    </row>
    <row r="1163" spans="1:16" x14ac:dyDescent="0.25">
      <c r="A1163" s="241"/>
      <c r="B1163" s="190" t="s">
        <v>15</v>
      </c>
      <c r="C1163" s="4"/>
      <c r="D1163" s="5"/>
      <c r="E1163" s="5"/>
      <c r="F1163" s="5"/>
      <c r="G1163" s="12"/>
      <c r="H1163" s="9">
        <f>I1163+J1163+K1163+L1163</f>
        <v>0</v>
      </c>
      <c r="I1163" s="9">
        <v>0</v>
      </c>
      <c r="J1163" s="9">
        <v>0</v>
      </c>
      <c r="K1163" s="9">
        <v>0</v>
      </c>
      <c r="L1163" s="9">
        <v>0</v>
      </c>
      <c r="M1163" s="9">
        <v>0</v>
      </c>
      <c r="N1163" s="9">
        <v>0</v>
      </c>
      <c r="O1163" s="268"/>
      <c r="P1163" s="268"/>
    </row>
    <row r="1164" spans="1:16" ht="58.5" customHeight="1" x14ac:dyDescent="0.25">
      <c r="A1164" s="241"/>
      <c r="B1164" s="190" t="s">
        <v>12</v>
      </c>
      <c r="C1164" s="4"/>
      <c r="D1164" s="5"/>
      <c r="E1164" s="5"/>
      <c r="F1164" s="5"/>
      <c r="G1164" s="12"/>
      <c r="H1164" s="9">
        <f>I1164+J1164+K1164+L1164</f>
        <v>0</v>
      </c>
      <c r="I1164" s="9">
        <v>0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268"/>
      <c r="P1164" s="268"/>
    </row>
    <row r="1165" spans="1:16" x14ac:dyDescent="0.25">
      <c r="A1165" s="241" t="s">
        <v>477</v>
      </c>
      <c r="B1165" s="190" t="s">
        <v>104</v>
      </c>
      <c r="C1165" s="4"/>
      <c r="D1165" s="5"/>
      <c r="E1165" s="5"/>
      <c r="F1165" s="5"/>
      <c r="G1165" s="12"/>
      <c r="H1165" s="9">
        <f>H1174+H1181+H1188+H1195+H1202</f>
        <v>57</v>
      </c>
      <c r="I1165" s="9">
        <f t="shared" ref="I1165:N1165" si="415">I1174+I1181+I1188+I1195+I1202</f>
        <v>12</v>
      </c>
      <c r="J1165" s="9">
        <f t="shared" si="415"/>
        <v>13</v>
      </c>
      <c r="K1165" s="9">
        <f t="shared" si="415"/>
        <v>16</v>
      </c>
      <c r="L1165" s="9">
        <f t="shared" si="415"/>
        <v>16</v>
      </c>
      <c r="M1165" s="9">
        <f t="shared" si="415"/>
        <v>23</v>
      </c>
      <c r="N1165" s="9">
        <f t="shared" si="415"/>
        <v>23</v>
      </c>
      <c r="O1165" s="268" t="s">
        <v>496</v>
      </c>
      <c r="P1165" s="268" t="s">
        <v>173</v>
      </c>
    </row>
    <row r="1166" spans="1:16" ht="26.4" x14ac:dyDescent="0.25">
      <c r="A1166" s="241"/>
      <c r="B1166" s="190" t="s">
        <v>88</v>
      </c>
      <c r="C1166" s="4"/>
      <c r="D1166" s="5"/>
      <c r="E1166" s="5"/>
      <c r="F1166" s="5"/>
      <c r="G1166" s="12"/>
      <c r="H1166" s="9">
        <f>H1167/H1165</f>
        <v>85.438596491228068</v>
      </c>
      <c r="I1166" s="9" t="s">
        <v>229</v>
      </c>
      <c r="J1166" s="9" t="s">
        <v>229</v>
      </c>
      <c r="K1166" s="9" t="s">
        <v>229</v>
      </c>
      <c r="L1166" s="9" t="s">
        <v>229</v>
      </c>
      <c r="M1166" s="9">
        <f>M1167/M1165</f>
        <v>107.39130434782609</v>
      </c>
      <c r="N1166" s="9">
        <f>N1167/N1165</f>
        <v>107.39130434782609</v>
      </c>
      <c r="O1166" s="268"/>
      <c r="P1166" s="268"/>
    </row>
    <row r="1167" spans="1:16" x14ac:dyDescent="0.25">
      <c r="A1167" s="241"/>
      <c r="B1167" s="190" t="s">
        <v>74</v>
      </c>
      <c r="C1167" s="4"/>
      <c r="D1167" s="5"/>
      <c r="E1167" s="5"/>
      <c r="F1167" s="5"/>
      <c r="G1167" s="12"/>
      <c r="H1167" s="8">
        <f t="shared" ref="H1167:N1167" si="416">SUM(H1168:H1173)</f>
        <v>4870</v>
      </c>
      <c r="I1167" s="9">
        <f t="shared" si="416"/>
        <v>2349</v>
      </c>
      <c r="J1167" s="9">
        <f t="shared" si="416"/>
        <v>571</v>
      </c>
      <c r="K1167" s="9">
        <f t="shared" si="416"/>
        <v>645</v>
      </c>
      <c r="L1167" s="9">
        <f t="shared" si="416"/>
        <v>1305</v>
      </c>
      <c r="M1167" s="9">
        <f>SUM(M1168:M1173)</f>
        <v>2470</v>
      </c>
      <c r="N1167" s="9">
        <f t="shared" si="416"/>
        <v>2470</v>
      </c>
      <c r="O1167" s="268"/>
      <c r="P1167" s="268"/>
    </row>
    <row r="1168" spans="1:16" x14ac:dyDescent="0.25">
      <c r="A1168" s="241"/>
      <c r="B1168" s="238" t="s">
        <v>16</v>
      </c>
      <c r="C1168" s="5" t="str">
        <f t="shared" ref="C1168:H1168" si="417">C1184</f>
        <v>131</v>
      </c>
      <c r="D1168" s="5" t="str">
        <f t="shared" si="417"/>
        <v>08</v>
      </c>
      <c r="E1168" s="5" t="str">
        <f t="shared" si="417"/>
        <v>01</v>
      </c>
      <c r="F1168" s="5" t="str">
        <f t="shared" si="417"/>
        <v>0730603679</v>
      </c>
      <c r="G1168" s="12" t="str">
        <f t="shared" si="417"/>
        <v>622</v>
      </c>
      <c r="H1168" s="9">
        <f t="shared" si="417"/>
        <v>100</v>
      </c>
      <c r="I1168" s="9">
        <f t="shared" ref="I1168:N1168" si="418">I1184</f>
        <v>0</v>
      </c>
      <c r="J1168" s="9">
        <f t="shared" si="418"/>
        <v>20</v>
      </c>
      <c r="K1168" s="9">
        <f t="shared" si="418"/>
        <v>60</v>
      </c>
      <c r="L1168" s="9">
        <f t="shared" si="418"/>
        <v>20</v>
      </c>
      <c r="M1168" s="9">
        <f t="shared" si="418"/>
        <v>100</v>
      </c>
      <c r="N1168" s="9">
        <f t="shared" si="418"/>
        <v>100</v>
      </c>
      <c r="O1168" s="268"/>
      <c r="P1168" s="268"/>
    </row>
    <row r="1169" spans="1:16" x14ac:dyDescent="0.25">
      <c r="A1169" s="241"/>
      <c r="B1169" s="239"/>
      <c r="C1169" s="12" t="str">
        <f>C1177</f>
        <v>136</v>
      </c>
      <c r="D1169" s="12" t="str">
        <f>D1177</f>
        <v>07</v>
      </c>
      <c r="E1169" s="12" t="str">
        <f>E1177</f>
        <v>09</v>
      </c>
      <c r="F1169" s="12" t="str">
        <f>F1177</f>
        <v>0730603550</v>
      </c>
      <c r="G1169" s="12">
        <v>612</v>
      </c>
      <c r="H1169" s="9">
        <f>H1198</f>
        <v>0</v>
      </c>
      <c r="I1169" s="9">
        <f>I1198</f>
        <v>0</v>
      </c>
      <c r="J1169" s="9">
        <f>J1198</f>
        <v>0</v>
      </c>
      <c r="K1169" s="9">
        <f>K1198</f>
        <v>0</v>
      </c>
      <c r="L1169" s="9">
        <f>L1198</f>
        <v>0</v>
      </c>
      <c r="M1169" s="9">
        <f>M1177+M1198</f>
        <v>300</v>
      </c>
      <c r="N1169" s="9">
        <f>N1177+N1198</f>
        <v>300</v>
      </c>
      <c r="O1169" s="268"/>
      <c r="P1169" s="268"/>
    </row>
    <row r="1170" spans="1:16" x14ac:dyDescent="0.25">
      <c r="A1170" s="241"/>
      <c r="B1170" s="239"/>
      <c r="C1170" s="12" t="s">
        <v>41</v>
      </c>
      <c r="D1170" s="12" t="s">
        <v>233</v>
      </c>
      <c r="E1170" s="12" t="s">
        <v>235</v>
      </c>
      <c r="F1170" s="12" t="s">
        <v>272</v>
      </c>
      <c r="G1170" s="12" t="s">
        <v>45</v>
      </c>
      <c r="H1170" s="9">
        <f>I1170+J1170+K1170+L1170</f>
        <v>4770</v>
      </c>
      <c r="I1170" s="9">
        <f t="shared" ref="I1170:N1170" si="419">I1177+I1191+I1205</f>
        <v>2349</v>
      </c>
      <c r="J1170" s="9">
        <f t="shared" si="419"/>
        <v>551</v>
      </c>
      <c r="K1170" s="9">
        <f t="shared" si="419"/>
        <v>585</v>
      </c>
      <c r="L1170" s="9">
        <f t="shared" si="419"/>
        <v>1285</v>
      </c>
      <c r="M1170" s="9">
        <f t="shared" si="419"/>
        <v>2070</v>
      </c>
      <c r="N1170" s="9">
        <f t="shared" si="419"/>
        <v>2070</v>
      </c>
      <c r="O1170" s="268"/>
      <c r="P1170" s="268"/>
    </row>
    <row r="1171" spans="1:16" x14ac:dyDescent="0.25">
      <c r="A1171" s="241"/>
      <c r="B1171" s="190" t="s">
        <v>14</v>
      </c>
      <c r="C1171" s="12"/>
      <c r="D1171" s="12"/>
      <c r="E1171" s="12"/>
      <c r="F1171" s="12"/>
      <c r="G1171" s="12"/>
      <c r="H1171" s="9">
        <f>I1171+J1171+K1171+L1171</f>
        <v>0</v>
      </c>
      <c r="I1171" s="9">
        <f t="shared" ref="I1171:N1173" si="420">I1178+I1185+I1192+I1206</f>
        <v>0</v>
      </c>
      <c r="J1171" s="9">
        <f t="shared" si="420"/>
        <v>0</v>
      </c>
      <c r="K1171" s="9">
        <f t="shared" si="420"/>
        <v>0</v>
      </c>
      <c r="L1171" s="9">
        <f t="shared" si="420"/>
        <v>0</v>
      </c>
      <c r="M1171" s="9">
        <f t="shared" si="420"/>
        <v>0</v>
      </c>
      <c r="N1171" s="9">
        <f t="shared" si="420"/>
        <v>0</v>
      </c>
      <c r="O1171" s="268"/>
      <c r="P1171" s="268"/>
    </row>
    <row r="1172" spans="1:16" x14ac:dyDescent="0.25">
      <c r="A1172" s="241"/>
      <c r="B1172" s="190" t="s">
        <v>15</v>
      </c>
      <c r="C1172" s="12"/>
      <c r="D1172" s="12"/>
      <c r="E1172" s="12"/>
      <c r="F1172" s="12"/>
      <c r="G1172" s="12"/>
      <c r="H1172" s="9">
        <f>I1172+J1172+K1172+L1172</f>
        <v>0</v>
      </c>
      <c r="I1172" s="9">
        <f t="shared" si="420"/>
        <v>0</v>
      </c>
      <c r="J1172" s="9">
        <f t="shared" si="420"/>
        <v>0</v>
      </c>
      <c r="K1172" s="9">
        <f t="shared" si="420"/>
        <v>0</v>
      </c>
      <c r="L1172" s="9">
        <f t="shared" si="420"/>
        <v>0</v>
      </c>
      <c r="M1172" s="9">
        <f t="shared" si="420"/>
        <v>0</v>
      </c>
      <c r="N1172" s="9">
        <f t="shared" si="420"/>
        <v>0</v>
      </c>
      <c r="O1172" s="268"/>
      <c r="P1172" s="268"/>
    </row>
    <row r="1173" spans="1:16" ht="20.25" customHeight="1" x14ac:dyDescent="0.25">
      <c r="A1173" s="241"/>
      <c r="B1173" s="190" t="s">
        <v>12</v>
      </c>
      <c r="C1173" s="12"/>
      <c r="D1173" s="12"/>
      <c r="E1173" s="12"/>
      <c r="F1173" s="12"/>
      <c r="G1173" s="12"/>
      <c r="H1173" s="9">
        <f>I1173+J1173+K1173+L1173</f>
        <v>0</v>
      </c>
      <c r="I1173" s="9">
        <f t="shared" si="420"/>
        <v>0</v>
      </c>
      <c r="J1173" s="9">
        <f t="shared" si="420"/>
        <v>0</v>
      </c>
      <c r="K1173" s="9">
        <f t="shared" si="420"/>
        <v>0</v>
      </c>
      <c r="L1173" s="9">
        <f t="shared" si="420"/>
        <v>0</v>
      </c>
      <c r="M1173" s="9">
        <f t="shared" si="420"/>
        <v>0</v>
      </c>
      <c r="N1173" s="9">
        <f t="shared" si="420"/>
        <v>0</v>
      </c>
      <c r="O1173" s="268"/>
      <c r="P1173" s="268"/>
    </row>
    <row r="1174" spans="1:16" x14ac:dyDescent="0.25">
      <c r="A1174" s="238" t="s">
        <v>653</v>
      </c>
      <c r="B1174" s="190" t="s">
        <v>66</v>
      </c>
      <c r="C1174" s="4"/>
      <c r="D1174" s="5"/>
      <c r="E1174" s="5"/>
      <c r="F1174" s="5"/>
      <c r="G1174" s="12"/>
      <c r="H1174" s="9">
        <f>SUM(I1174:L1174)</f>
        <v>34</v>
      </c>
      <c r="I1174" s="9">
        <v>10</v>
      </c>
      <c r="J1174" s="9">
        <v>8</v>
      </c>
      <c r="K1174" s="9">
        <v>8</v>
      </c>
      <c r="L1174" s="9">
        <v>8</v>
      </c>
      <c r="M1174" s="9">
        <v>0</v>
      </c>
      <c r="N1174" s="9">
        <v>0</v>
      </c>
      <c r="O1174" s="268" t="s">
        <v>223</v>
      </c>
      <c r="P1174" s="242" t="s">
        <v>654</v>
      </c>
    </row>
    <row r="1175" spans="1:16" ht="26.4" x14ac:dyDescent="0.25">
      <c r="A1175" s="239"/>
      <c r="B1175" s="190" t="s">
        <v>86</v>
      </c>
      <c r="C1175" s="4"/>
      <c r="D1175" s="5"/>
      <c r="E1175" s="5"/>
      <c r="F1175" s="5"/>
      <c r="G1175" s="12"/>
      <c r="H1175" s="9">
        <f>ROUND(H1176/H1174,1)</f>
        <v>79.400000000000006</v>
      </c>
      <c r="I1175" s="9" t="s">
        <v>229</v>
      </c>
      <c r="J1175" s="9" t="s">
        <v>229</v>
      </c>
      <c r="K1175" s="9" t="s">
        <v>229</v>
      </c>
      <c r="L1175" s="9" t="s">
        <v>229</v>
      </c>
      <c r="M1175" s="9">
        <v>0</v>
      </c>
      <c r="N1175" s="9">
        <v>0</v>
      </c>
      <c r="O1175" s="268"/>
      <c r="P1175" s="243"/>
    </row>
    <row r="1176" spans="1:16" ht="13.35" customHeight="1" x14ac:dyDescent="0.25">
      <c r="A1176" s="239"/>
      <c r="B1176" s="190" t="s">
        <v>74</v>
      </c>
      <c r="C1176" s="4"/>
      <c r="D1176" s="5"/>
      <c r="E1176" s="5"/>
      <c r="F1176" s="5"/>
      <c r="G1176" s="12"/>
      <c r="H1176" s="9">
        <f t="shared" ref="H1176:N1176" si="421">SUM(H1177:H1180)</f>
        <v>2700</v>
      </c>
      <c r="I1176" s="9">
        <f t="shared" si="421"/>
        <v>979</v>
      </c>
      <c r="J1176" s="9">
        <f t="shared" si="421"/>
        <v>551</v>
      </c>
      <c r="K1176" s="9">
        <f t="shared" si="421"/>
        <v>585</v>
      </c>
      <c r="L1176" s="9">
        <f t="shared" si="421"/>
        <v>585</v>
      </c>
      <c r="M1176" s="9">
        <f t="shared" si="421"/>
        <v>0</v>
      </c>
      <c r="N1176" s="9">
        <f t="shared" si="421"/>
        <v>0</v>
      </c>
      <c r="O1176" s="268"/>
      <c r="P1176" s="243"/>
    </row>
    <row r="1177" spans="1:16" x14ac:dyDescent="0.25">
      <c r="A1177" s="239"/>
      <c r="B1177" s="188" t="s">
        <v>16</v>
      </c>
      <c r="C1177" s="6" t="s">
        <v>41</v>
      </c>
      <c r="D1177" s="5" t="s">
        <v>233</v>
      </c>
      <c r="E1177" s="6" t="s">
        <v>235</v>
      </c>
      <c r="F1177" s="6" t="s">
        <v>272</v>
      </c>
      <c r="G1177" s="13" t="s">
        <v>45</v>
      </c>
      <c r="H1177" s="9">
        <f>I1177+J1177+K1177+L1177</f>
        <v>2700</v>
      </c>
      <c r="I1177" s="9">
        <v>979</v>
      </c>
      <c r="J1177" s="9">
        <v>551</v>
      </c>
      <c r="K1177" s="9">
        <v>585</v>
      </c>
      <c r="L1177" s="9">
        <v>585</v>
      </c>
      <c r="M1177" s="9">
        <v>0</v>
      </c>
      <c r="N1177" s="9">
        <v>0</v>
      </c>
      <c r="O1177" s="268"/>
      <c r="P1177" s="243"/>
    </row>
    <row r="1178" spans="1:16" x14ac:dyDescent="0.25">
      <c r="A1178" s="239"/>
      <c r="B1178" s="190" t="s">
        <v>14</v>
      </c>
      <c r="C1178" s="4"/>
      <c r="D1178" s="5"/>
      <c r="E1178" s="5"/>
      <c r="F1178" s="5"/>
      <c r="G1178" s="12"/>
      <c r="H1178" s="9">
        <f>I1178+J1178+K1178+L1178</f>
        <v>0</v>
      </c>
      <c r="I1178" s="9">
        <v>0</v>
      </c>
      <c r="J1178" s="9">
        <v>0</v>
      </c>
      <c r="K1178" s="9">
        <v>0</v>
      </c>
      <c r="L1178" s="9">
        <v>0</v>
      </c>
      <c r="M1178" s="9">
        <v>0</v>
      </c>
      <c r="N1178" s="9">
        <v>0</v>
      </c>
      <c r="O1178" s="268"/>
      <c r="P1178" s="243"/>
    </row>
    <row r="1179" spans="1:16" x14ac:dyDescent="0.25">
      <c r="A1179" s="239"/>
      <c r="B1179" s="190" t="s">
        <v>15</v>
      </c>
      <c r="C1179" s="4"/>
      <c r="D1179" s="5"/>
      <c r="E1179" s="5"/>
      <c r="F1179" s="5"/>
      <c r="G1179" s="12"/>
      <c r="H1179" s="9">
        <f>I1179+J1179+K1179+L1179</f>
        <v>0</v>
      </c>
      <c r="I1179" s="9">
        <v>0</v>
      </c>
      <c r="J1179" s="9">
        <v>0</v>
      </c>
      <c r="K1179" s="9">
        <v>0</v>
      </c>
      <c r="L1179" s="9">
        <v>0</v>
      </c>
      <c r="M1179" s="9">
        <v>0</v>
      </c>
      <c r="N1179" s="9">
        <v>0</v>
      </c>
      <c r="O1179" s="268"/>
      <c r="P1179" s="243"/>
    </row>
    <row r="1180" spans="1:16" ht="81" customHeight="1" x14ac:dyDescent="0.25">
      <c r="A1180" s="240"/>
      <c r="B1180" s="190" t="s">
        <v>12</v>
      </c>
      <c r="C1180" s="4"/>
      <c r="D1180" s="5"/>
      <c r="E1180" s="5"/>
      <c r="F1180" s="5"/>
      <c r="G1180" s="12"/>
      <c r="H1180" s="9">
        <f>I1180+J1180+K1180+L1180</f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268"/>
      <c r="P1180" s="244"/>
    </row>
    <row r="1181" spans="1:16" x14ac:dyDescent="0.25">
      <c r="A1181" s="241" t="s">
        <v>478</v>
      </c>
      <c r="B1181" s="190" t="s">
        <v>104</v>
      </c>
      <c r="C1181" s="4"/>
      <c r="D1181" s="5"/>
      <c r="E1181" s="5"/>
      <c r="F1181" s="5"/>
      <c r="G1181" s="12"/>
      <c r="H1181" s="9">
        <v>16</v>
      </c>
      <c r="I1181" s="9">
        <v>0</v>
      </c>
      <c r="J1181" s="9">
        <v>4</v>
      </c>
      <c r="K1181" s="9">
        <v>8</v>
      </c>
      <c r="L1181" s="9">
        <v>4</v>
      </c>
      <c r="M1181" s="9">
        <v>16</v>
      </c>
      <c r="N1181" s="9">
        <v>16</v>
      </c>
      <c r="O1181" s="268" t="s">
        <v>376</v>
      </c>
      <c r="P1181" s="242" t="s">
        <v>205</v>
      </c>
    </row>
    <row r="1182" spans="1:16" ht="26.4" x14ac:dyDescent="0.25">
      <c r="A1182" s="241"/>
      <c r="B1182" s="190" t="s">
        <v>87</v>
      </c>
      <c r="C1182" s="4"/>
      <c r="D1182" s="5"/>
      <c r="E1182" s="5"/>
      <c r="F1182" s="5"/>
      <c r="G1182" s="12"/>
      <c r="H1182" s="9">
        <f>ROUND(H1183/H1181,1)</f>
        <v>6.3</v>
      </c>
      <c r="I1182" s="9" t="s">
        <v>229</v>
      </c>
      <c r="J1182" s="9" t="s">
        <v>229</v>
      </c>
      <c r="K1182" s="9" t="s">
        <v>229</v>
      </c>
      <c r="L1182" s="9" t="s">
        <v>229</v>
      </c>
      <c r="M1182" s="9">
        <f>ROUND(M1183/M1181,1)</f>
        <v>6.3</v>
      </c>
      <c r="N1182" s="9">
        <f>ROUND(N1183/N1181,1)</f>
        <v>6.3</v>
      </c>
      <c r="O1182" s="268"/>
      <c r="P1182" s="243"/>
    </row>
    <row r="1183" spans="1:16" x14ac:dyDescent="0.25">
      <c r="A1183" s="241"/>
      <c r="B1183" s="190" t="s">
        <v>74</v>
      </c>
      <c r="C1183" s="4"/>
      <c r="D1183" s="5"/>
      <c r="E1183" s="5"/>
      <c r="F1183" s="5"/>
      <c r="G1183" s="12"/>
      <c r="H1183" s="9">
        <f t="shared" ref="H1183:N1183" si="422">SUM(H1184:H1187)</f>
        <v>100</v>
      </c>
      <c r="I1183" s="9">
        <f t="shared" si="422"/>
        <v>0</v>
      </c>
      <c r="J1183" s="9">
        <f t="shared" si="422"/>
        <v>20</v>
      </c>
      <c r="K1183" s="9">
        <f t="shared" si="422"/>
        <v>60</v>
      </c>
      <c r="L1183" s="9">
        <f t="shared" si="422"/>
        <v>20</v>
      </c>
      <c r="M1183" s="9">
        <f t="shared" si="422"/>
        <v>100</v>
      </c>
      <c r="N1183" s="9">
        <f t="shared" si="422"/>
        <v>100</v>
      </c>
      <c r="O1183" s="268"/>
      <c r="P1183" s="243"/>
    </row>
    <row r="1184" spans="1:16" ht="15.75" customHeight="1" x14ac:dyDescent="0.25">
      <c r="A1184" s="241"/>
      <c r="B1184" s="190" t="s">
        <v>16</v>
      </c>
      <c r="C1184" s="6" t="s">
        <v>43</v>
      </c>
      <c r="D1184" s="5" t="s">
        <v>241</v>
      </c>
      <c r="E1184" s="6" t="s">
        <v>232</v>
      </c>
      <c r="F1184" s="6" t="s">
        <v>274</v>
      </c>
      <c r="G1184" s="13" t="s">
        <v>45</v>
      </c>
      <c r="H1184" s="9">
        <f>I1184+J1184+K1184+L1184</f>
        <v>100</v>
      </c>
      <c r="I1184" s="97">
        <v>0</v>
      </c>
      <c r="J1184" s="97">
        <v>20</v>
      </c>
      <c r="K1184" s="97">
        <v>60</v>
      </c>
      <c r="L1184" s="97">
        <v>20</v>
      </c>
      <c r="M1184" s="9">
        <v>100</v>
      </c>
      <c r="N1184" s="9">
        <v>100</v>
      </c>
      <c r="O1184" s="268"/>
      <c r="P1184" s="243"/>
    </row>
    <row r="1185" spans="1:16" ht="13.35" customHeight="1" x14ac:dyDescent="0.25">
      <c r="A1185" s="241"/>
      <c r="B1185" s="190" t="s">
        <v>14</v>
      </c>
      <c r="C1185" s="4"/>
      <c r="D1185" s="5"/>
      <c r="E1185" s="5"/>
      <c r="F1185" s="5"/>
      <c r="G1185" s="12"/>
      <c r="H1185" s="9">
        <f>I1185+J1185+K1185+L1185</f>
        <v>0</v>
      </c>
      <c r="I1185" s="9">
        <v>0</v>
      </c>
      <c r="J1185" s="9">
        <v>0</v>
      </c>
      <c r="K1185" s="9">
        <v>0</v>
      </c>
      <c r="L1185" s="9">
        <v>0</v>
      </c>
      <c r="M1185" s="9">
        <v>0</v>
      </c>
      <c r="N1185" s="9">
        <v>0</v>
      </c>
      <c r="O1185" s="268"/>
      <c r="P1185" s="243"/>
    </row>
    <row r="1186" spans="1:16" ht="13.35" customHeight="1" x14ac:dyDescent="0.25">
      <c r="A1186" s="241"/>
      <c r="B1186" s="190" t="s">
        <v>15</v>
      </c>
      <c r="C1186" s="4"/>
      <c r="D1186" s="5"/>
      <c r="E1186" s="5"/>
      <c r="F1186" s="5"/>
      <c r="G1186" s="12"/>
      <c r="H1186" s="9">
        <f>I1186+J1186+K1186+L1186</f>
        <v>0</v>
      </c>
      <c r="I1186" s="9">
        <v>0</v>
      </c>
      <c r="J1186" s="9">
        <v>0</v>
      </c>
      <c r="K1186" s="9">
        <v>0</v>
      </c>
      <c r="L1186" s="9">
        <v>0</v>
      </c>
      <c r="M1186" s="9">
        <v>0</v>
      </c>
      <c r="N1186" s="9">
        <v>0</v>
      </c>
      <c r="O1186" s="268"/>
      <c r="P1186" s="243"/>
    </row>
    <row r="1187" spans="1:16" ht="13.35" customHeight="1" x14ac:dyDescent="0.25">
      <c r="A1187" s="241"/>
      <c r="B1187" s="190" t="s">
        <v>12</v>
      </c>
      <c r="C1187" s="4"/>
      <c r="D1187" s="5"/>
      <c r="E1187" s="5"/>
      <c r="F1187" s="5"/>
      <c r="G1187" s="12"/>
      <c r="H1187" s="9">
        <f>I1187+J1187+K1187+L1187</f>
        <v>0</v>
      </c>
      <c r="I1187" s="9">
        <v>0</v>
      </c>
      <c r="J1187" s="9">
        <v>0</v>
      </c>
      <c r="K1187" s="9">
        <v>0</v>
      </c>
      <c r="L1187" s="9">
        <v>0</v>
      </c>
      <c r="M1187" s="9">
        <v>0</v>
      </c>
      <c r="N1187" s="9">
        <v>0</v>
      </c>
      <c r="O1187" s="268"/>
      <c r="P1187" s="244"/>
    </row>
    <row r="1188" spans="1:16" ht="13.35" customHeight="1" x14ac:dyDescent="0.25">
      <c r="A1188" s="241" t="s">
        <v>479</v>
      </c>
      <c r="B1188" s="190" t="s">
        <v>104</v>
      </c>
      <c r="C1188" s="4"/>
      <c r="D1188" s="5"/>
      <c r="E1188" s="5"/>
      <c r="F1188" s="5"/>
      <c r="G1188" s="12"/>
      <c r="H1188" s="11">
        <v>2</v>
      </c>
      <c r="I1188" s="11">
        <v>1</v>
      </c>
      <c r="J1188" s="11">
        <v>0</v>
      </c>
      <c r="K1188" s="11">
        <v>0</v>
      </c>
      <c r="L1188" s="11">
        <v>1</v>
      </c>
      <c r="M1188" s="11">
        <v>2</v>
      </c>
      <c r="N1188" s="11">
        <v>2</v>
      </c>
      <c r="O1188" s="268" t="s">
        <v>160</v>
      </c>
      <c r="P1188" s="242" t="s">
        <v>174</v>
      </c>
    </row>
    <row r="1189" spans="1:16" ht="13.35" customHeight="1" x14ac:dyDescent="0.25">
      <c r="A1189" s="241"/>
      <c r="B1189" s="190" t="s">
        <v>88</v>
      </c>
      <c r="C1189" s="4"/>
      <c r="D1189" s="5"/>
      <c r="E1189" s="5"/>
      <c r="F1189" s="5"/>
      <c r="G1189" s="12"/>
      <c r="H1189" s="9">
        <f t="shared" ref="H1189:N1189" si="423">ROUND(H1190/H1188,1)</f>
        <v>1000</v>
      </c>
      <c r="I1189" s="9" t="s">
        <v>229</v>
      </c>
      <c r="J1189" s="9" t="s">
        <v>229</v>
      </c>
      <c r="K1189" s="9" t="s">
        <v>229</v>
      </c>
      <c r="L1189" s="9" t="s">
        <v>229</v>
      </c>
      <c r="M1189" s="9">
        <f t="shared" si="423"/>
        <v>1000</v>
      </c>
      <c r="N1189" s="9">
        <f t="shared" si="423"/>
        <v>1000</v>
      </c>
      <c r="O1189" s="268"/>
      <c r="P1189" s="243"/>
    </row>
    <row r="1190" spans="1:16" ht="13.35" customHeight="1" x14ac:dyDescent="0.25">
      <c r="A1190" s="241"/>
      <c r="B1190" s="190" t="s">
        <v>74</v>
      </c>
      <c r="C1190" s="4"/>
      <c r="D1190" s="5"/>
      <c r="E1190" s="5"/>
      <c r="F1190" s="5"/>
      <c r="G1190" s="12"/>
      <c r="H1190" s="9">
        <f t="shared" ref="H1190:N1190" si="424">SUM(H1191:H1194)</f>
        <v>2000</v>
      </c>
      <c r="I1190" s="9">
        <v>1370</v>
      </c>
      <c r="J1190" s="9">
        <f t="shared" si="424"/>
        <v>0</v>
      </c>
      <c r="K1190" s="9">
        <f t="shared" si="424"/>
        <v>0</v>
      </c>
      <c r="L1190" s="9">
        <f t="shared" si="424"/>
        <v>630</v>
      </c>
      <c r="M1190" s="9">
        <f t="shared" si="424"/>
        <v>2000</v>
      </c>
      <c r="N1190" s="9">
        <f t="shared" si="424"/>
        <v>2000</v>
      </c>
      <c r="O1190" s="268"/>
      <c r="P1190" s="243"/>
    </row>
    <row r="1191" spans="1:16" ht="13.35" customHeight="1" x14ac:dyDescent="0.25">
      <c r="A1191" s="241"/>
      <c r="B1191" s="190" t="s">
        <v>16</v>
      </c>
      <c r="C1191" s="6" t="s">
        <v>41</v>
      </c>
      <c r="D1191" s="5" t="s">
        <v>233</v>
      </c>
      <c r="E1191" s="6" t="s">
        <v>235</v>
      </c>
      <c r="F1191" s="6" t="s">
        <v>272</v>
      </c>
      <c r="G1191" s="13" t="s">
        <v>45</v>
      </c>
      <c r="H1191" s="9">
        <f>I1191+J1191+K1191+L1191</f>
        <v>2000</v>
      </c>
      <c r="I1191" s="97">
        <v>1370</v>
      </c>
      <c r="J1191" s="97">
        <v>0</v>
      </c>
      <c r="K1191" s="97">
        <v>0</v>
      </c>
      <c r="L1191" s="97">
        <v>630</v>
      </c>
      <c r="M1191" s="9">
        <v>2000</v>
      </c>
      <c r="N1191" s="9">
        <v>2000</v>
      </c>
      <c r="O1191" s="268"/>
      <c r="P1191" s="243"/>
    </row>
    <row r="1192" spans="1:16" ht="13.35" customHeight="1" x14ac:dyDescent="0.25">
      <c r="A1192" s="241"/>
      <c r="B1192" s="190" t="s">
        <v>14</v>
      </c>
      <c r="C1192" s="4"/>
      <c r="D1192" s="5"/>
      <c r="E1192" s="5"/>
      <c r="F1192" s="5"/>
      <c r="G1192" s="12"/>
      <c r="H1192" s="9">
        <f>I1192+J1192+K1192+L1192</f>
        <v>0</v>
      </c>
      <c r="I1192" s="9">
        <v>0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268"/>
      <c r="P1192" s="243"/>
    </row>
    <row r="1193" spans="1:16" ht="13.35" customHeight="1" x14ac:dyDescent="0.25">
      <c r="A1193" s="241"/>
      <c r="B1193" s="190" t="s">
        <v>15</v>
      </c>
      <c r="C1193" s="4"/>
      <c r="D1193" s="5"/>
      <c r="E1193" s="5"/>
      <c r="F1193" s="5"/>
      <c r="G1193" s="12"/>
      <c r="H1193" s="9">
        <f>I1193+J1193+K1193+L1193</f>
        <v>0</v>
      </c>
      <c r="I1193" s="9">
        <v>0</v>
      </c>
      <c r="J1193" s="9">
        <v>0</v>
      </c>
      <c r="K1193" s="9">
        <v>0</v>
      </c>
      <c r="L1193" s="9">
        <v>0</v>
      </c>
      <c r="M1193" s="9">
        <v>0</v>
      </c>
      <c r="N1193" s="9">
        <v>0</v>
      </c>
      <c r="O1193" s="268"/>
      <c r="P1193" s="243"/>
    </row>
    <row r="1194" spans="1:16" x14ac:dyDescent="0.25">
      <c r="A1194" s="241"/>
      <c r="B1194" s="190" t="s">
        <v>12</v>
      </c>
      <c r="C1194" s="4"/>
      <c r="D1194" s="5"/>
      <c r="E1194" s="5"/>
      <c r="F1194" s="5"/>
      <c r="G1194" s="12"/>
      <c r="H1194" s="9">
        <f>I1194+J1194+K1194+L1194</f>
        <v>0</v>
      </c>
      <c r="I1194" s="9">
        <v>0</v>
      </c>
      <c r="J1194" s="9">
        <v>0</v>
      </c>
      <c r="K1194" s="9">
        <v>0</v>
      </c>
      <c r="L1194" s="9">
        <v>0</v>
      </c>
      <c r="M1194" s="9">
        <v>0</v>
      </c>
      <c r="N1194" s="9">
        <v>0</v>
      </c>
      <c r="O1194" s="268"/>
      <c r="P1194" s="244"/>
    </row>
    <row r="1195" spans="1:16" ht="18.600000000000001" customHeight="1" x14ac:dyDescent="0.25">
      <c r="A1195" s="241" t="s">
        <v>480</v>
      </c>
      <c r="B1195" s="190" t="s">
        <v>104</v>
      </c>
      <c r="C1195" s="4"/>
      <c r="D1195" s="5"/>
      <c r="E1195" s="5"/>
      <c r="F1195" s="5"/>
      <c r="G1195" s="12"/>
      <c r="H1195" s="9">
        <v>3</v>
      </c>
      <c r="I1195" s="9">
        <v>1</v>
      </c>
      <c r="J1195" s="9">
        <v>1</v>
      </c>
      <c r="K1195" s="9">
        <v>0</v>
      </c>
      <c r="L1195" s="9">
        <v>1</v>
      </c>
      <c r="M1195" s="9">
        <v>3</v>
      </c>
      <c r="N1195" s="9">
        <v>3</v>
      </c>
      <c r="O1195" s="242" t="s">
        <v>189</v>
      </c>
      <c r="P1195" s="242" t="s">
        <v>175</v>
      </c>
    </row>
    <row r="1196" spans="1:16" ht="43.5" customHeight="1" x14ac:dyDescent="0.25">
      <c r="A1196" s="241"/>
      <c r="B1196" s="190" t="s">
        <v>86</v>
      </c>
      <c r="C1196" s="4"/>
      <c r="D1196" s="5"/>
      <c r="E1196" s="5"/>
      <c r="F1196" s="5"/>
      <c r="G1196" s="12"/>
      <c r="H1196" s="9">
        <f t="shared" ref="H1196:N1196" si="425">ROUND(H1197/H1195,1)</f>
        <v>0</v>
      </c>
      <c r="I1196" s="9" t="s">
        <v>229</v>
      </c>
      <c r="J1196" s="9" t="s">
        <v>229</v>
      </c>
      <c r="K1196" s="9" t="s">
        <v>229</v>
      </c>
      <c r="L1196" s="9" t="s">
        <v>229</v>
      </c>
      <c r="M1196" s="9">
        <f t="shared" si="425"/>
        <v>100</v>
      </c>
      <c r="N1196" s="9">
        <f t="shared" si="425"/>
        <v>100</v>
      </c>
      <c r="O1196" s="243"/>
      <c r="P1196" s="243"/>
    </row>
    <row r="1197" spans="1:16" ht="12.75" customHeight="1" x14ac:dyDescent="0.25">
      <c r="A1197" s="241"/>
      <c r="B1197" s="190" t="s">
        <v>74</v>
      </c>
      <c r="C1197" s="4"/>
      <c r="D1197" s="5"/>
      <c r="E1197" s="5"/>
      <c r="F1197" s="5"/>
      <c r="G1197" s="12"/>
      <c r="H1197" s="9">
        <f t="shared" ref="H1197:N1197" si="426">SUM(H1198:H1201)</f>
        <v>0</v>
      </c>
      <c r="I1197" s="9">
        <f t="shared" si="426"/>
        <v>0</v>
      </c>
      <c r="J1197" s="9">
        <f t="shared" si="426"/>
        <v>0</v>
      </c>
      <c r="K1197" s="9">
        <f t="shared" si="426"/>
        <v>0</v>
      </c>
      <c r="L1197" s="9">
        <f t="shared" si="426"/>
        <v>0</v>
      </c>
      <c r="M1197" s="9">
        <f t="shared" si="426"/>
        <v>300</v>
      </c>
      <c r="N1197" s="9">
        <f t="shared" si="426"/>
        <v>300</v>
      </c>
      <c r="O1197" s="243"/>
      <c r="P1197" s="243"/>
    </row>
    <row r="1198" spans="1:16" ht="29.4" customHeight="1" x14ac:dyDescent="0.25">
      <c r="A1198" s="241"/>
      <c r="B1198" s="190" t="s">
        <v>16</v>
      </c>
      <c r="C1198" s="6" t="s">
        <v>41</v>
      </c>
      <c r="D1198" s="5" t="s">
        <v>233</v>
      </c>
      <c r="E1198" s="6" t="s">
        <v>235</v>
      </c>
      <c r="F1198" s="6" t="s">
        <v>272</v>
      </c>
      <c r="G1198" s="13" t="s">
        <v>46</v>
      </c>
      <c r="H1198" s="9">
        <f>I1198+J1198+K1198+L1198</f>
        <v>0</v>
      </c>
      <c r="I1198" s="97">
        <f>100-100</f>
        <v>0</v>
      </c>
      <c r="J1198" s="97">
        <f>100-100</f>
        <v>0</v>
      </c>
      <c r="K1198" s="97">
        <v>0</v>
      </c>
      <c r="L1198" s="97">
        <f>100-100</f>
        <v>0</v>
      </c>
      <c r="M1198" s="9">
        <v>300</v>
      </c>
      <c r="N1198" s="9">
        <v>300</v>
      </c>
      <c r="O1198" s="243"/>
      <c r="P1198" s="243"/>
    </row>
    <row r="1199" spans="1:16" x14ac:dyDescent="0.25">
      <c r="A1199" s="241"/>
      <c r="B1199" s="190" t="s">
        <v>14</v>
      </c>
      <c r="C1199" s="4"/>
      <c r="D1199" s="5"/>
      <c r="E1199" s="5"/>
      <c r="F1199" s="5"/>
      <c r="G1199" s="12"/>
      <c r="H1199" s="9">
        <f>I1199+J1199+K1199+L1199</f>
        <v>0</v>
      </c>
      <c r="I1199" s="9">
        <v>0</v>
      </c>
      <c r="J1199" s="9">
        <v>0</v>
      </c>
      <c r="K1199" s="9">
        <v>0</v>
      </c>
      <c r="L1199" s="9">
        <v>0</v>
      </c>
      <c r="M1199" s="9">
        <v>0</v>
      </c>
      <c r="N1199" s="9">
        <v>0</v>
      </c>
      <c r="O1199" s="243"/>
      <c r="P1199" s="243"/>
    </row>
    <row r="1200" spans="1:16" ht="23.25" customHeight="1" x14ac:dyDescent="0.25">
      <c r="A1200" s="241"/>
      <c r="B1200" s="190" t="s">
        <v>15</v>
      </c>
      <c r="C1200" s="4"/>
      <c r="D1200" s="5"/>
      <c r="E1200" s="5"/>
      <c r="F1200" s="5"/>
      <c r="G1200" s="12"/>
      <c r="H1200" s="9">
        <f>I1200+J1200+K1200+L1200</f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243"/>
      <c r="P1200" s="243"/>
    </row>
    <row r="1201" spans="1:16" ht="13.35" customHeight="1" x14ac:dyDescent="0.25">
      <c r="A1201" s="241"/>
      <c r="B1201" s="190" t="s">
        <v>12</v>
      </c>
      <c r="C1201" s="4"/>
      <c r="D1201" s="5"/>
      <c r="E1201" s="5"/>
      <c r="F1201" s="5"/>
      <c r="G1201" s="12"/>
      <c r="H1201" s="9">
        <f>I1201+J1201+K1201+L1201</f>
        <v>0</v>
      </c>
      <c r="I1201" s="9">
        <v>0</v>
      </c>
      <c r="J1201" s="9">
        <v>0</v>
      </c>
      <c r="K1201" s="9">
        <v>0</v>
      </c>
      <c r="L1201" s="9">
        <v>0</v>
      </c>
      <c r="M1201" s="9">
        <v>0</v>
      </c>
      <c r="N1201" s="9">
        <v>0</v>
      </c>
      <c r="O1201" s="244"/>
      <c r="P1201" s="244"/>
    </row>
    <row r="1202" spans="1:16" ht="13.35" customHeight="1" x14ac:dyDescent="0.25">
      <c r="A1202" s="241" t="s">
        <v>481</v>
      </c>
      <c r="B1202" s="71" t="s">
        <v>104</v>
      </c>
      <c r="C1202" s="4"/>
      <c r="D1202" s="5"/>
      <c r="E1202" s="5"/>
      <c r="F1202" s="5"/>
      <c r="G1202" s="12"/>
      <c r="H1202" s="9">
        <v>2</v>
      </c>
      <c r="I1202" s="9">
        <v>0</v>
      </c>
      <c r="J1202" s="9">
        <v>0</v>
      </c>
      <c r="K1202" s="9">
        <v>0</v>
      </c>
      <c r="L1202" s="9">
        <v>2</v>
      </c>
      <c r="M1202" s="56">
        <v>2</v>
      </c>
      <c r="N1202" s="56">
        <v>2</v>
      </c>
      <c r="O1202" s="268" t="s">
        <v>161</v>
      </c>
      <c r="P1202" s="242" t="s">
        <v>244</v>
      </c>
    </row>
    <row r="1203" spans="1:16" ht="13.35" customHeight="1" x14ac:dyDescent="0.25">
      <c r="A1203" s="241"/>
      <c r="B1203" s="71" t="s">
        <v>86</v>
      </c>
      <c r="C1203" s="4"/>
      <c r="D1203" s="5"/>
      <c r="E1203" s="5"/>
      <c r="F1203" s="5"/>
      <c r="G1203" s="12"/>
      <c r="H1203" s="9">
        <f t="shared" ref="H1203:N1203" si="427">ROUND(H1204/H1202,1)</f>
        <v>35</v>
      </c>
      <c r="I1203" s="9" t="s">
        <v>229</v>
      </c>
      <c r="J1203" s="9" t="s">
        <v>229</v>
      </c>
      <c r="K1203" s="9" t="s">
        <v>229</v>
      </c>
      <c r="L1203" s="9" t="s">
        <v>229</v>
      </c>
      <c r="M1203" s="56">
        <f t="shared" si="427"/>
        <v>35</v>
      </c>
      <c r="N1203" s="56">
        <f t="shared" si="427"/>
        <v>35</v>
      </c>
      <c r="O1203" s="268"/>
      <c r="P1203" s="243"/>
    </row>
    <row r="1204" spans="1:16" ht="13.35" customHeight="1" x14ac:dyDescent="0.25">
      <c r="A1204" s="241"/>
      <c r="B1204" s="71" t="s">
        <v>74</v>
      </c>
      <c r="C1204" s="4"/>
      <c r="D1204" s="5"/>
      <c r="E1204" s="5"/>
      <c r="F1204" s="5"/>
      <c r="G1204" s="12"/>
      <c r="H1204" s="9">
        <f t="shared" ref="H1204:N1204" si="428">SUM(H1205:H1208)</f>
        <v>70</v>
      </c>
      <c r="I1204" s="9">
        <f t="shared" si="428"/>
        <v>0</v>
      </c>
      <c r="J1204" s="9">
        <f t="shared" si="428"/>
        <v>0</v>
      </c>
      <c r="K1204" s="9">
        <f t="shared" si="428"/>
        <v>0</v>
      </c>
      <c r="L1204" s="9">
        <f t="shared" si="428"/>
        <v>70</v>
      </c>
      <c r="M1204" s="56">
        <f t="shared" si="428"/>
        <v>70</v>
      </c>
      <c r="N1204" s="56">
        <f t="shared" si="428"/>
        <v>70</v>
      </c>
      <c r="O1204" s="268"/>
      <c r="P1204" s="243"/>
    </row>
    <row r="1205" spans="1:16" ht="13.35" customHeight="1" x14ac:dyDescent="0.25">
      <c r="A1205" s="241"/>
      <c r="B1205" s="71" t="s">
        <v>16</v>
      </c>
      <c r="C1205" s="6" t="s">
        <v>41</v>
      </c>
      <c r="D1205" s="5" t="s">
        <v>233</v>
      </c>
      <c r="E1205" s="6" t="s">
        <v>235</v>
      </c>
      <c r="F1205" s="6" t="s">
        <v>272</v>
      </c>
      <c r="G1205" s="13" t="s">
        <v>45</v>
      </c>
      <c r="H1205" s="9">
        <f>I1205+J1205+K1205+L1205</f>
        <v>70</v>
      </c>
      <c r="I1205" s="97">
        <v>0</v>
      </c>
      <c r="J1205" s="97">
        <v>0</v>
      </c>
      <c r="K1205" s="97">
        <v>0</v>
      </c>
      <c r="L1205" s="97">
        <v>70</v>
      </c>
      <c r="M1205" s="56">
        <v>70</v>
      </c>
      <c r="N1205" s="56">
        <v>70</v>
      </c>
      <c r="O1205" s="268"/>
      <c r="P1205" s="243"/>
    </row>
    <row r="1206" spans="1:16" ht="13.35" customHeight="1" x14ac:dyDescent="0.25">
      <c r="A1206" s="241"/>
      <c r="B1206" s="71" t="s">
        <v>14</v>
      </c>
      <c r="C1206" s="4"/>
      <c r="D1206" s="5"/>
      <c r="E1206" s="5"/>
      <c r="F1206" s="5"/>
      <c r="G1206" s="12"/>
      <c r="H1206" s="9">
        <f>I1206+J1206+K1206+L1206</f>
        <v>0</v>
      </c>
      <c r="I1206" s="9">
        <v>0</v>
      </c>
      <c r="J1206" s="9">
        <v>0</v>
      </c>
      <c r="K1206" s="9">
        <v>0</v>
      </c>
      <c r="L1206" s="9">
        <v>0</v>
      </c>
      <c r="M1206" s="9">
        <v>0</v>
      </c>
      <c r="N1206" s="9">
        <v>0</v>
      </c>
      <c r="O1206" s="268"/>
      <c r="P1206" s="243"/>
    </row>
    <row r="1207" spans="1:16" x14ac:dyDescent="0.25">
      <c r="A1207" s="241"/>
      <c r="B1207" s="71" t="s">
        <v>15</v>
      </c>
      <c r="C1207" s="4"/>
      <c r="D1207" s="5"/>
      <c r="E1207" s="5"/>
      <c r="F1207" s="5"/>
      <c r="G1207" s="12"/>
      <c r="H1207" s="9">
        <f>I1207+J1207+K1207+L1207</f>
        <v>0</v>
      </c>
      <c r="I1207" s="9">
        <v>0</v>
      </c>
      <c r="J1207" s="9">
        <v>0</v>
      </c>
      <c r="K1207" s="9">
        <v>0</v>
      </c>
      <c r="L1207" s="9">
        <v>0</v>
      </c>
      <c r="M1207" s="9">
        <v>0</v>
      </c>
      <c r="N1207" s="9">
        <v>0</v>
      </c>
      <c r="O1207" s="268"/>
      <c r="P1207" s="243"/>
    </row>
    <row r="1208" spans="1:16" ht="15" customHeight="1" x14ac:dyDescent="0.25">
      <c r="A1208" s="241"/>
      <c r="B1208" s="71" t="s">
        <v>12</v>
      </c>
      <c r="C1208" s="4"/>
      <c r="D1208" s="5"/>
      <c r="E1208" s="5"/>
      <c r="F1208" s="5"/>
      <c r="G1208" s="12"/>
      <c r="H1208" s="9">
        <f>I1208+J1208+K1208+L1208</f>
        <v>0</v>
      </c>
      <c r="I1208" s="9">
        <v>0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268"/>
      <c r="P1208" s="244"/>
    </row>
    <row r="1209" spans="1:16" x14ac:dyDescent="0.25">
      <c r="A1209" s="238" t="s">
        <v>482</v>
      </c>
      <c r="B1209" s="117" t="s">
        <v>440</v>
      </c>
      <c r="C1209" s="4"/>
      <c r="D1209" s="5"/>
      <c r="E1209" s="5"/>
      <c r="F1209" s="5"/>
      <c r="G1209" s="12"/>
      <c r="H1209" s="9">
        <v>7</v>
      </c>
      <c r="I1209" s="9">
        <v>0</v>
      </c>
      <c r="J1209" s="9">
        <v>0</v>
      </c>
      <c r="K1209" s="9">
        <v>0</v>
      </c>
      <c r="L1209" s="9">
        <v>7</v>
      </c>
      <c r="M1209" s="9">
        <v>7</v>
      </c>
      <c r="N1209" s="9">
        <v>7</v>
      </c>
      <c r="O1209" s="242" t="s">
        <v>217</v>
      </c>
      <c r="P1209" s="242" t="s">
        <v>600</v>
      </c>
    </row>
    <row r="1210" spans="1:16" ht="26.4" x14ac:dyDescent="0.25">
      <c r="A1210" s="239"/>
      <c r="B1210" s="81" t="s">
        <v>86</v>
      </c>
      <c r="C1210" s="4"/>
      <c r="D1210" s="5"/>
      <c r="E1210" s="5"/>
      <c r="F1210" s="5"/>
      <c r="G1210" s="12"/>
      <c r="H1210" s="9">
        <v>50</v>
      </c>
      <c r="I1210" s="9" t="s">
        <v>229</v>
      </c>
      <c r="J1210" s="9" t="s">
        <v>229</v>
      </c>
      <c r="K1210" s="9" t="s">
        <v>229</v>
      </c>
      <c r="L1210" s="9" t="s">
        <v>229</v>
      </c>
      <c r="M1210" s="9">
        <v>50</v>
      </c>
      <c r="N1210" s="9">
        <v>50</v>
      </c>
      <c r="O1210" s="243"/>
      <c r="P1210" s="243"/>
    </row>
    <row r="1211" spans="1:16" x14ac:dyDescent="0.25">
      <c r="A1211" s="239"/>
      <c r="B1211" s="81" t="s">
        <v>74</v>
      </c>
      <c r="C1211" s="54"/>
      <c r="D1211" s="55"/>
      <c r="E1211" s="55"/>
      <c r="F1211" s="55"/>
      <c r="G1211" s="91"/>
      <c r="H1211" s="9">
        <f>H1212+H1213+H1214+H1215</f>
        <v>350</v>
      </c>
      <c r="I1211" s="9">
        <f t="shared" ref="I1211:N1211" si="429">I1212+I1213+I1214+I1215</f>
        <v>0</v>
      </c>
      <c r="J1211" s="9">
        <f t="shared" si="429"/>
        <v>350</v>
      </c>
      <c r="K1211" s="9">
        <f t="shared" si="429"/>
        <v>0</v>
      </c>
      <c r="L1211" s="9">
        <f t="shared" si="429"/>
        <v>0</v>
      </c>
      <c r="M1211" s="9">
        <f t="shared" si="429"/>
        <v>350</v>
      </c>
      <c r="N1211" s="9">
        <f t="shared" si="429"/>
        <v>350</v>
      </c>
      <c r="O1211" s="243"/>
      <c r="P1211" s="243"/>
    </row>
    <row r="1212" spans="1:16" x14ac:dyDescent="0.25">
      <c r="A1212" s="239"/>
      <c r="B1212" s="113" t="s">
        <v>16</v>
      </c>
      <c r="C1212" s="60" t="s">
        <v>41</v>
      </c>
      <c r="D1212" s="60" t="s">
        <v>233</v>
      </c>
      <c r="E1212" s="60" t="s">
        <v>235</v>
      </c>
      <c r="F1212" s="60" t="str">
        <f t="shared" ref="F1212:L1212" si="430">F1219</f>
        <v>073Е603210</v>
      </c>
      <c r="G1212" s="60">
        <f t="shared" si="430"/>
        <v>350</v>
      </c>
      <c r="H1212" s="9">
        <f t="shared" si="430"/>
        <v>350</v>
      </c>
      <c r="I1212" s="9">
        <f t="shared" si="430"/>
        <v>0</v>
      </c>
      <c r="J1212" s="9">
        <f t="shared" si="430"/>
        <v>350</v>
      </c>
      <c r="K1212" s="9">
        <f t="shared" si="430"/>
        <v>0</v>
      </c>
      <c r="L1212" s="9">
        <f t="shared" si="430"/>
        <v>0</v>
      </c>
      <c r="M1212" s="9">
        <f>M1219</f>
        <v>350</v>
      </c>
      <c r="N1212" s="9">
        <f>N1219</f>
        <v>350</v>
      </c>
      <c r="O1212" s="243"/>
      <c r="P1212" s="243"/>
    </row>
    <row r="1213" spans="1:16" x14ac:dyDescent="0.25">
      <c r="A1213" s="239"/>
      <c r="B1213" s="81" t="s">
        <v>14</v>
      </c>
      <c r="C1213" s="54"/>
      <c r="D1213" s="55"/>
      <c r="E1213" s="55"/>
      <c r="F1213" s="55"/>
      <c r="G1213" s="91"/>
      <c r="H1213" s="9">
        <v>0</v>
      </c>
      <c r="I1213" s="9">
        <v>0</v>
      </c>
      <c r="J1213" s="9">
        <v>0</v>
      </c>
      <c r="K1213" s="9">
        <v>0</v>
      </c>
      <c r="L1213" s="9">
        <v>0</v>
      </c>
      <c r="M1213" s="9">
        <v>0</v>
      </c>
      <c r="N1213" s="9">
        <v>0</v>
      </c>
      <c r="O1213" s="243"/>
      <c r="P1213" s="243"/>
    </row>
    <row r="1214" spans="1:16" x14ac:dyDescent="0.25">
      <c r="A1214" s="239"/>
      <c r="B1214" s="81" t="s">
        <v>15</v>
      </c>
      <c r="C1214" s="54"/>
      <c r="D1214" s="55"/>
      <c r="E1214" s="55"/>
      <c r="F1214" s="55"/>
      <c r="G1214" s="91"/>
      <c r="H1214" s="9">
        <v>0</v>
      </c>
      <c r="I1214" s="9">
        <v>0</v>
      </c>
      <c r="J1214" s="9">
        <v>0</v>
      </c>
      <c r="K1214" s="9">
        <v>0</v>
      </c>
      <c r="L1214" s="9">
        <v>0</v>
      </c>
      <c r="M1214" s="9">
        <v>0</v>
      </c>
      <c r="N1214" s="9">
        <v>0</v>
      </c>
      <c r="O1214" s="243"/>
      <c r="P1214" s="243"/>
    </row>
    <row r="1215" spans="1:16" ht="15.75" customHeight="1" x14ac:dyDescent="0.25">
      <c r="A1215" s="239"/>
      <c r="B1215" s="81" t="s">
        <v>12</v>
      </c>
      <c r="C1215" s="54"/>
      <c r="D1215" s="55"/>
      <c r="E1215" s="55"/>
      <c r="F1215" s="55"/>
      <c r="G1215" s="91"/>
      <c r="H1215" s="9">
        <v>0</v>
      </c>
      <c r="I1215" s="9">
        <v>0</v>
      </c>
      <c r="J1215" s="9">
        <v>0</v>
      </c>
      <c r="K1215" s="9">
        <v>0</v>
      </c>
      <c r="L1215" s="9">
        <v>0</v>
      </c>
      <c r="M1215" s="9">
        <v>0</v>
      </c>
      <c r="N1215" s="9">
        <v>0</v>
      </c>
      <c r="O1215" s="244"/>
      <c r="P1215" s="244"/>
    </row>
    <row r="1216" spans="1:16" ht="15" customHeight="1" x14ac:dyDescent="0.25">
      <c r="A1216" s="241" t="s">
        <v>483</v>
      </c>
      <c r="B1216" s="117" t="s">
        <v>440</v>
      </c>
      <c r="C1216" s="4"/>
      <c r="D1216" s="5"/>
      <c r="E1216" s="5"/>
      <c r="F1216" s="5"/>
      <c r="G1216" s="12"/>
      <c r="H1216" s="9">
        <v>7</v>
      </c>
      <c r="I1216" s="9">
        <v>0</v>
      </c>
      <c r="J1216" s="9">
        <v>0</v>
      </c>
      <c r="K1216" s="9">
        <v>0</v>
      </c>
      <c r="L1216" s="9">
        <v>7</v>
      </c>
      <c r="M1216" s="9">
        <v>7</v>
      </c>
      <c r="N1216" s="9">
        <v>7</v>
      </c>
      <c r="O1216" s="242" t="s">
        <v>217</v>
      </c>
      <c r="P1216" s="242" t="s">
        <v>599</v>
      </c>
    </row>
    <row r="1217" spans="1:16" ht="26.4" x14ac:dyDescent="0.25">
      <c r="A1217" s="241"/>
      <c r="B1217" s="117" t="s">
        <v>86</v>
      </c>
      <c r="C1217" s="4"/>
      <c r="D1217" s="5"/>
      <c r="E1217" s="5"/>
      <c r="F1217" s="5"/>
      <c r="G1217" s="12"/>
      <c r="H1217" s="9">
        <v>50</v>
      </c>
      <c r="I1217" s="9" t="s">
        <v>229</v>
      </c>
      <c r="J1217" s="9" t="s">
        <v>229</v>
      </c>
      <c r="K1217" s="9" t="s">
        <v>229</v>
      </c>
      <c r="L1217" s="9" t="s">
        <v>229</v>
      </c>
      <c r="M1217" s="9">
        <v>50</v>
      </c>
      <c r="N1217" s="9">
        <v>50</v>
      </c>
      <c r="O1217" s="243"/>
      <c r="P1217" s="243"/>
    </row>
    <row r="1218" spans="1:16" x14ac:dyDescent="0.25">
      <c r="A1218" s="241"/>
      <c r="B1218" s="81" t="s">
        <v>74</v>
      </c>
      <c r="C1218" s="54"/>
      <c r="D1218" s="55"/>
      <c r="E1218" s="55"/>
      <c r="F1218" s="55"/>
      <c r="G1218" s="91"/>
      <c r="H1218" s="9">
        <f>H1219</f>
        <v>350</v>
      </c>
      <c r="I1218" s="9">
        <f t="shared" ref="I1218:N1218" si="431">I1219</f>
        <v>0</v>
      </c>
      <c r="J1218" s="9">
        <f t="shared" si="431"/>
        <v>350</v>
      </c>
      <c r="K1218" s="9">
        <f t="shared" si="431"/>
        <v>0</v>
      </c>
      <c r="L1218" s="9">
        <f t="shared" si="431"/>
        <v>0</v>
      </c>
      <c r="M1218" s="9">
        <f t="shared" si="431"/>
        <v>350</v>
      </c>
      <c r="N1218" s="9">
        <f t="shared" si="431"/>
        <v>350</v>
      </c>
      <c r="O1218" s="243"/>
      <c r="P1218" s="243"/>
    </row>
    <row r="1219" spans="1:16" x14ac:dyDescent="0.25">
      <c r="A1219" s="241"/>
      <c r="B1219" s="113" t="s">
        <v>16</v>
      </c>
      <c r="C1219" s="60" t="s">
        <v>41</v>
      </c>
      <c r="D1219" s="60" t="s">
        <v>233</v>
      </c>
      <c r="E1219" s="60" t="s">
        <v>235</v>
      </c>
      <c r="F1219" s="60" t="s">
        <v>442</v>
      </c>
      <c r="G1219" s="60">
        <v>350</v>
      </c>
      <c r="H1219" s="56">
        <f>I1219+J1219+K1219+L1219</f>
        <v>350</v>
      </c>
      <c r="I1219" s="56">
        <v>0</v>
      </c>
      <c r="J1219" s="56">
        <v>350</v>
      </c>
      <c r="K1219" s="56">
        <v>0</v>
      </c>
      <c r="L1219" s="56">
        <v>0</v>
      </c>
      <c r="M1219" s="56">
        <v>350</v>
      </c>
      <c r="N1219" s="56">
        <v>350</v>
      </c>
      <c r="O1219" s="243"/>
      <c r="P1219" s="243"/>
    </row>
    <row r="1220" spans="1:16" x14ac:dyDescent="0.25">
      <c r="A1220" s="241"/>
      <c r="B1220" s="81" t="s">
        <v>14</v>
      </c>
      <c r="C1220" s="54"/>
      <c r="D1220" s="55"/>
      <c r="E1220" s="55"/>
      <c r="F1220" s="55"/>
      <c r="G1220" s="91"/>
      <c r="H1220" s="56">
        <v>0</v>
      </c>
      <c r="I1220" s="56">
        <v>0</v>
      </c>
      <c r="J1220" s="56">
        <v>0</v>
      </c>
      <c r="K1220" s="56">
        <v>0</v>
      </c>
      <c r="L1220" s="56">
        <v>0</v>
      </c>
      <c r="M1220" s="56">
        <v>0</v>
      </c>
      <c r="N1220" s="56">
        <v>0</v>
      </c>
      <c r="O1220" s="243"/>
      <c r="P1220" s="243"/>
    </row>
    <row r="1221" spans="1:16" x14ac:dyDescent="0.25">
      <c r="A1221" s="241"/>
      <c r="B1221" s="81" t="s">
        <v>15</v>
      </c>
      <c r="C1221" s="54"/>
      <c r="D1221" s="55"/>
      <c r="E1221" s="55"/>
      <c r="F1221" s="55"/>
      <c r="G1221" s="91"/>
      <c r="H1221" s="56">
        <v>0</v>
      </c>
      <c r="I1221" s="56">
        <v>0</v>
      </c>
      <c r="J1221" s="56">
        <v>0</v>
      </c>
      <c r="K1221" s="56">
        <v>0</v>
      </c>
      <c r="L1221" s="56">
        <v>0</v>
      </c>
      <c r="M1221" s="56">
        <v>0</v>
      </c>
      <c r="N1221" s="56">
        <v>0</v>
      </c>
      <c r="O1221" s="243"/>
      <c r="P1221" s="243"/>
    </row>
    <row r="1222" spans="1:16" ht="33.75" customHeight="1" x14ac:dyDescent="0.25">
      <c r="A1222" s="241"/>
      <c r="B1222" s="81" t="s">
        <v>12</v>
      </c>
      <c r="C1222" s="54"/>
      <c r="D1222" s="55"/>
      <c r="E1222" s="55"/>
      <c r="F1222" s="55"/>
      <c r="G1222" s="91"/>
      <c r="H1222" s="56">
        <v>0</v>
      </c>
      <c r="I1222" s="56">
        <v>0</v>
      </c>
      <c r="J1222" s="56">
        <v>0</v>
      </c>
      <c r="K1222" s="56">
        <v>0</v>
      </c>
      <c r="L1222" s="56">
        <v>0</v>
      </c>
      <c r="M1222" s="56">
        <v>0</v>
      </c>
      <c r="N1222" s="56">
        <v>0</v>
      </c>
      <c r="O1222" s="244"/>
      <c r="P1222" s="244"/>
    </row>
    <row r="1223" spans="1:16" x14ac:dyDescent="0.25">
      <c r="A1223" s="286" t="s">
        <v>27</v>
      </c>
      <c r="B1223" s="93" t="s">
        <v>242</v>
      </c>
      <c r="C1223" s="98"/>
      <c r="D1223" s="99"/>
      <c r="E1223" s="99"/>
      <c r="F1223" s="99"/>
      <c r="G1223" s="211"/>
      <c r="H1223" s="121">
        <f t="shared" ref="H1223:N1223" si="432">H1224+H1225+H1226+H1227</f>
        <v>8550</v>
      </c>
      <c r="I1223" s="121">
        <f t="shared" si="432"/>
        <v>2441.83</v>
      </c>
      <c r="J1223" s="121">
        <f t="shared" si="432"/>
        <v>921</v>
      </c>
      <c r="K1223" s="121">
        <f t="shared" si="432"/>
        <v>645</v>
      </c>
      <c r="L1223" s="121">
        <f t="shared" si="432"/>
        <v>4542.17</v>
      </c>
      <c r="M1223" s="96">
        <f t="shared" si="432"/>
        <v>6150</v>
      </c>
      <c r="N1223" s="96">
        <f t="shared" si="432"/>
        <v>6150</v>
      </c>
      <c r="O1223" s="286"/>
      <c r="P1223" s="286"/>
    </row>
    <row r="1224" spans="1:16" ht="13.35" customHeight="1" x14ac:dyDescent="0.25">
      <c r="A1224" s="287"/>
      <c r="B1224" s="93" t="s">
        <v>7</v>
      </c>
      <c r="C1224" s="94"/>
      <c r="D1224" s="95"/>
      <c r="E1224" s="95"/>
      <c r="F1224" s="95"/>
      <c r="G1224" s="212"/>
      <c r="H1224" s="96">
        <f>H1154+H1161+H1177+H1184+H1191+H1198+H1205+H1219</f>
        <v>8550</v>
      </c>
      <c r="I1224" s="96">
        <f t="shared" ref="I1224:N1224" si="433">I1154+I1161+I1177+I1184+I1191+I1198+I1205+I1219</f>
        <v>2441.83</v>
      </c>
      <c r="J1224" s="96">
        <f t="shared" si="433"/>
        <v>921</v>
      </c>
      <c r="K1224" s="96">
        <f t="shared" si="433"/>
        <v>645</v>
      </c>
      <c r="L1224" s="96">
        <f t="shared" si="433"/>
        <v>4542.17</v>
      </c>
      <c r="M1224" s="96">
        <f t="shared" si="433"/>
        <v>6150</v>
      </c>
      <c r="N1224" s="96">
        <f t="shared" si="433"/>
        <v>6150</v>
      </c>
      <c r="O1224" s="287"/>
      <c r="P1224" s="287"/>
    </row>
    <row r="1225" spans="1:16" ht="13.35" customHeight="1" x14ac:dyDescent="0.25">
      <c r="A1225" s="287"/>
      <c r="B1225" s="93" t="s">
        <v>14</v>
      </c>
      <c r="C1225" s="94"/>
      <c r="D1225" s="95"/>
      <c r="E1225" s="95"/>
      <c r="F1225" s="95"/>
      <c r="G1225" s="212"/>
      <c r="H1225" s="96">
        <f t="shared" ref="H1225:N1227" si="434">H1148+H1171+H1213</f>
        <v>0</v>
      </c>
      <c r="I1225" s="96">
        <f t="shared" si="434"/>
        <v>0</v>
      </c>
      <c r="J1225" s="96">
        <f t="shared" si="434"/>
        <v>0</v>
      </c>
      <c r="K1225" s="96">
        <f t="shared" si="434"/>
        <v>0</v>
      </c>
      <c r="L1225" s="96">
        <f t="shared" si="434"/>
        <v>0</v>
      </c>
      <c r="M1225" s="96">
        <f t="shared" si="434"/>
        <v>0</v>
      </c>
      <c r="N1225" s="96">
        <f t="shared" si="434"/>
        <v>0</v>
      </c>
      <c r="O1225" s="287"/>
      <c r="P1225" s="287"/>
    </row>
    <row r="1226" spans="1:16" ht="15" customHeight="1" x14ac:dyDescent="0.25">
      <c r="A1226" s="287"/>
      <c r="B1226" s="93" t="s">
        <v>15</v>
      </c>
      <c r="C1226" s="94"/>
      <c r="D1226" s="95"/>
      <c r="E1226" s="95"/>
      <c r="F1226" s="95"/>
      <c r="G1226" s="212"/>
      <c r="H1226" s="96">
        <f t="shared" si="434"/>
        <v>0</v>
      </c>
      <c r="I1226" s="96">
        <f t="shared" si="434"/>
        <v>0</v>
      </c>
      <c r="J1226" s="96">
        <f t="shared" si="434"/>
        <v>0</v>
      </c>
      <c r="K1226" s="96">
        <f t="shared" si="434"/>
        <v>0</v>
      </c>
      <c r="L1226" s="96">
        <f t="shared" si="434"/>
        <v>0</v>
      </c>
      <c r="M1226" s="96">
        <f t="shared" si="434"/>
        <v>0</v>
      </c>
      <c r="N1226" s="96">
        <f t="shared" si="434"/>
        <v>0</v>
      </c>
      <c r="O1226" s="287"/>
      <c r="P1226" s="287"/>
    </row>
    <row r="1227" spans="1:16" x14ac:dyDescent="0.25">
      <c r="A1227" s="288"/>
      <c r="B1227" s="93" t="s">
        <v>10</v>
      </c>
      <c r="C1227" s="94"/>
      <c r="D1227" s="95"/>
      <c r="E1227" s="95"/>
      <c r="F1227" s="95"/>
      <c r="G1227" s="212"/>
      <c r="H1227" s="96">
        <f t="shared" si="434"/>
        <v>0</v>
      </c>
      <c r="I1227" s="96">
        <f t="shared" si="434"/>
        <v>0</v>
      </c>
      <c r="J1227" s="96">
        <f t="shared" si="434"/>
        <v>0</v>
      </c>
      <c r="K1227" s="96">
        <f t="shared" si="434"/>
        <v>0</v>
      </c>
      <c r="L1227" s="96">
        <f t="shared" si="434"/>
        <v>0</v>
      </c>
      <c r="M1227" s="96">
        <f t="shared" si="434"/>
        <v>0</v>
      </c>
      <c r="N1227" s="96">
        <f t="shared" si="434"/>
        <v>0</v>
      </c>
      <c r="O1227" s="287"/>
      <c r="P1227" s="287"/>
    </row>
    <row r="1228" spans="1:16" ht="24" customHeight="1" x14ac:dyDescent="0.25">
      <c r="A1228" s="303" t="s">
        <v>28</v>
      </c>
      <c r="B1228" s="120" t="s">
        <v>242</v>
      </c>
      <c r="C1228" s="98"/>
      <c r="D1228" s="99"/>
      <c r="E1228" s="99"/>
      <c r="F1228" s="99"/>
      <c r="G1228" s="211"/>
      <c r="H1228" s="121">
        <f t="shared" ref="H1228:N1228" si="435">SUM(H1229:H1232)</f>
        <v>108314.5</v>
      </c>
      <c r="I1228" s="121">
        <f t="shared" si="435"/>
        <v>22238.53</v>
      </c>
      <c r="J1228" s="121">
        <f t="shared" si="435"/>
        <v>30411.149999999998</v>
      </c>
      <c r="K1228" s="121">
        <f t="shared" si="435"/>
        <v>26618.45</v>
      </c>
      <c r="L1228" s="121">
        <f t="shared" si="435"/>
        <v>29046.370000000003</v>
      </c>
      <c r="M1228" s="121">
        <f t="shared" si="435"/>
        <v>129651.9</v>
      </c>
      <c r="N1228" s="121">
        <f t="shared" si="435"/>
        <v>129551.9</v>
      </c>
      <c r="O1228" s="352"/>
      <c r="P1228" s="245"/>
    </row>
    <row r="1229" spans="1:16" x14ac:dyDescent="0.25">
      <c r="A1229" s="304"/>
      <c r="B1229" s="120" t="s">
        <v>13</v>
      </c>
      <c r="C1229" s="98"/>
      <c r="D1229" s="99"/>
      <c r="E1229" s="99"/>
      <c r="F1229" s="99"/>
      <c r="G1229" s="211"/>
      <c r="H1229" s="121">
        <f t="shared" ref="H1229:N1232" si="436">H990+H1138+H1224</f>
        <v>108064.5</v>
      </c>
      <c r="I1229" s="121">
        <f t="shared" si="436"/>
        <v>22238.53</v>
      </c>
      <c r="J1229" s="121">
        <f t="shared" si="436"/>
        <v>30411.149999999998</v>
      </c>
      <c r="K1229" s="121">
        <f t="shared" si="436"/>
        <v>26368.45</v>
      </c>
      <c r="L1229" s="121">
        <f t="shared" si="436"/>
        <v>29046.370000000003</v>
      </c>
      <c r="M1229" s="121">
        <f t="shared" si="436"/>
        <v>129551.9</v>
      </c>
      <c r="N1229" s="121">
        <f t="shared" si="436"/>
        <v>129551.9</v>
      </c>
      <c r="O1229" s="352"/>
      <c r="P1229" s="246"/>
    </row>
    <row r="1230" spans="1:16" x14ac:dyDescent="0.25">
      <c r="A1230" s="304"/>
      <c r="B1230" s="120" t="s">
        <v>14</v>
      </c>
      <c r="C1230" s="98"/>
      <c r="D1230" s="99"/>
      <c r="E1230" s="99"/>
      <c r="F1230" s="99"/>
      <c r="G1230" s="211"/>
      <c r="H1230" s="121">
        <f t="shared" si="436"/>
        <v>0</v>
      </c>
      <c r="I1230" s="121">
        <f t="shared" si="436"/>
        <v>0</v>
      </c>
      <c r="J1230" s="121">
        <f t="shared" si="436"/>
        <v>0</v>
      </c>
      <c r="K1230" s="121">
        <f t="shared" si="436"/>
        <v>0</v>
      </c>
      <c r="L1230" s="121">
        <f t="shared" si="436"/>
        <v>0</v>
      </c>
      <c r="M1230" s="121">
        <f t="shared" si="436"/>
        <v>0</v>
      </c>
      <c r="N1230" s="121">
        <f t="shared" si="436"/>
        <v>0</v>
      </c>
      <c r="O1230" s="352"/>
      <c r="P1230" s="246"/>
    </row>
    <row r="1231" spans="1:16" x14ac:dyDescent="0.25">
      <c r="A1231" s="304"/>
      <c r="B1231" s="120" t="s">
        <v>15</v>
      </c>
      <c r="C1231" s="98"/>
      <c r="D1231" s="99"/>
      <c r="E1231" s="99"/>
      <c r="F1231" s="99"/>
      <c r="G1231" s="211"/>
      <c r="H1231" s="121">
        <f t="shared" si="436"/>
        <v>250</v>
      </c>
      <c r="I1231" s="121">
        <f t="shared" si="436"/>
        <v>0</v>
      </c>
      <c r="J1231" s="121">
        <f t="shared" si="436"/>
        <v>0</v>
      </c>
      <c r="K1231" s="121">
        <f t="shared" si="436"/>
        <v>250</v>
      </c>
      <c r="L1231" s="121">
        <f t="shared" si="436"/>
        <v>0</v>
      </c>
      <c r="M1231" s="121">
        <f t="shared" si="436"/>
        <v>100</v>
      </c>
      <c r="N1231" s="121">
        <f t="shared" si="436"/>
        <v>0</v>
      </c>
      <c r="O1231" s="352"/>
      <c r="P1231" s="246"/>
    </row>
    <row r="1232" spans="1:16" x14ac:dyDescent="0.25">
      <c r="A1232" s="305"/>
      <c r="B1232" s="120" t="s">
        <v>12</v>
      </c>
      <c r="C1232" s="98"/>
      <c r="D1232" s="99"/>
      <c r="E1232" s="99"/>
      <c r="F1232" s="99"/>
      <c r="G1232" s="211"/>
      <c r="H1232" s="121">
        <f t="shared" si="436"/>
        <v>0</v>
      </c>
      <c r="I1232" s="121">
        <f t="shared" si="436"/>
        <v>0</v>
      </c>
      <c r="J1232" s="121">
        <f t="shared" si="436"/>
        <v>0</v>
      </c>
      <c r="K1232" s="121">
        <f t="shared" si="436"/>
        <v>0</v>
      </c>
      <c r="L1232" s="121">
        <f t="shared" si="436"/>
        <v>0</v>
      </c>
      <c r="M1232" s="121">
        <f t="shared" si="436"/>
        <v>0</v>
      </c>
      <c r="N1232" s="121">
        <f t="shared" si="436"/>
        <v>0</v>
      </c>
      <c r="O1232" s="352"/>
      <c r="P1232" s="247"/>
    </row>
    <row r="1233" spans="1:16" ht="13.35" customHeight="1" x14ac:dyDescent="0.25">
      <c r="A1233" s="318" t="s">
        <v>144</v>
      </c>
      <c r="B1233" s="319"/>
      <c r="C1233" s="319"/>
      <c r="D1233" s="319"/>
      <c r="E1233" s="319"/>
      <c r="F1233" s="319"/>
      <c r="G1233" s="319"/>
      <c r="H1233" s="319"/>
      <c r="I1233" s="319"/>
      <c r="J1233" s="319"/>
      <c r="K1233" s="319"/>
      <c r="L1233" s="319"/>
      <c r="M1233" s="319"/>
      <c r="N1233" s="319"/>
      <c r="O1233" s="319"/>
      <c r="P1233" s="320"/>
    </row>
    <row r="1234" spans="1:16" ht="13.35" customHeight="1" x14ac:dyDescent="0.25">
      <c r="A1234" s="318" t="s">
        <v>145</v>
      </c>
      <c r="B1234" s="319"/>
      <c r="C1234" s="319"/>
      <c r="D1234" s="319"/>
      <c r="E1234" s="319"/>
      <c r="F1234" s="319"/>
      <c r="G1234" s="319"/>
      <c r="H1234" s="319"/>
      <c r="I1234" s="319"/>
      <c r="J1234" s="319"/>
      <c r="K1234" s="319"/>
      <c r="L1234" s="319"/>
      <c r="M1234" s="319"/>
      <c r="N1234" s="319"/>
      <c r="O1234" s="319"/>
      <c r="P1234" s="320"/>
    </row>
    <row r="1235" spans="1:16" ht="13.35" customHeight="1" x14ac:dyDescent="0.25">
      <c r="A1235" s="318" t="s">
        <v>146</v>
      </c>
      <c r="B1235" s="319"/>
      <c r="C1235" s="319"/>
      <c r="D1235" s="319"/>
      <c r="E1235" s="319"/>
      <c r="F1235" s="319"/>
      <c r="G1235" s="319"/>
      <c r="H1235" s="319"/>
      <c r="I1235" s="319"/>
      <c r="J1235" s="319"/>
      <c r="K1235" s="319"/>
      <c r="L1235" s="319"/>
      <c r="M1235" s="319"/>
      <c r="N1235" s="319"/>
      <c r="O1235" s="319"/>
      <c r="P1235" s="320"/>
    </row>
    <row r="1236" spans="1:16" ht="30.75" customHeight="1" x14ac:dyDescent="0.25">
      <c r="A1236" s="318" t="s">
        <v>147</v>
      </c>
      <c r="B1236" s="319"/>
      <c r="C1236" s="319"/>
      <c r="D1236" s="319"/>
      <c r="E1236" s="319"/>
      <c r="F1236" s="319"/>
      <c r="G1236" s="319"/>
      <c r="H1236" s="319"/>
      <c r="I1236" s="319"/>
      <c r="J1236" s="319"/>
      <c r="K1236" s="319"/>
      <c r="L1236" s="319"/>
      <c r="M1236" s="319"/>
      <c r="N1236" s="319"/>
      <c r="O1236" s="319"/>
      <c r="P1236" s="320"/>
    </row>
    <row r="1237" spans="1:16" ht="12.75" customHeight="1" x14ac:dyDescent="0.25">
      <c r="A1237" s="241" t="s">
        <v>148</v>
      </c>
      <c r="B1237" s="71" t="s">
        <v>115</v>
      </c>
      <c r="C1237" s="4"/>
      <c r="D1237" s="5"/>
      <c r="E1237" s="5"/>
      <c r="F1237" s="5"/>
      <c r="G1237" s="12"/>
      <c r="H1237" s="9">
        <f>H1244</f>
        <v>1</v>
      </c>
      <c r="I1237" s="9">
        <f>I1244</f>
        <v>1</v>
      </c>
      <c r="J1237" s="9">
        <f>J1244</f>
        <v>1</v>
      </c>
      <c r="K1237" s="9">
        <f>K1244</f>
        <v>1</v>
      </c>
      <c r="L1237" s="9">
        <f>L1244</f>
        <v>1</v>
      </c>
      <c r="M1237" s="9">
        <v>2</v>
      </c>
      <c r="N1237" s="9">
        <v>2</v>
      </c>
      <c r="O1237" s="242" t="s">
        <v>377</v>
      </c>
      <c r="P1237" s="268" t="s">
        <v>384</v>
      </c>
    </row>
    <row r="1238" spans="1:16" ht="26.4" x14ac:dyDescent="0.25">
      <c r="A1238" s="241"/>
      <c r="B1238" s="71" t="s">
        <v>6</v>
      </c>
      <c r="C1238" s="4"/>
      <c r="D1238" s="5"/>
      <c r="E1238" s="5"/>
      <c r="F1238" s="5"/>
      <c r="G1238" s="12"/>
      <c r="H1238" s="9">
        <f>ROUND(H1239/H1237,1)</f>
        <v>296</v>
      </c>
      <c r="I1238" s="9" t="s">
        <v>229</v>
      </c>
      <c r="J1238" s="9" t="s">
        <v>229</v>
      </c>
      <c r="K1238" s="9" t="s">
        <v>229</v>
      </c>
      <c r="L1238" s="9" t="s">
        <v>229</v>
      </c>
      <c r="M1238" s="9">
        <f>ROUND(M1239/M1237,1)</f>
        <v>3000</v>
      </c>
      <c r="N1238" s="9">
        <f>ROUND(N1239/N1237,1)</f>
        <v>3000</v>
      </c>
      <c r="O1238" s="243"/>
      <c r="P1238" s="268"/>
    </row>
    <row r="1239" spans="1:16" x14ac:dyDescent="0.25">
      <c r="A1239" s="241"/>
      <c r="B1239" s="71" t="s">
        <v>74</v>
      </c>
      <c r="C1239" s="4"/>
      <c r="D1239" s="5"/>
      <c r="E1239" s="5"/>
      <c r="F1239" s="5"/>
      <c r="G1239" s="12"/>
      <c r="H1239" s="9">
        <f t="shared" ref="H1239:N1239" si="437">SUM(H1240:H1243)</f>
        <v>296</v>
      </c>
      <c r="I1239" s="9">
        <f t="shared" si="437"/>
        <v>0</v>
      </c>
      <c r="J1239" s="9">
        <f t="shared" si="437"/>
        <v>0</v>
      </c>
      <c r="K1239" s="9">
        <f t="shared" si="437"/>
        <v>0</v>
      </c>
      <c r="L1239" s="9">
        <f t="shared" si="437"/>
        <v>296</v>
      </c>
      <c r="M1239" s="9">
        <f t="shared" si="437"/>
        <v>6000</v>
      </c>
      <c r="N1239" s="9">
        <f t="shared" si="437"/>
        <v>6000</v>
      </c>
      <c r="O1239" s="243"/>
      <c r="P1239" s="268"/>
    </row>
    <row r="1240" spans="1:16" x14ac:dyDescent="0.25">
      <c r="A1240" s="241"/>
      <c r="B1240" s="69" t="s">
        <v>7</v>
      </c>
      <c r="C1240" s="4">
        <f>C1247</f>
        <v>136</v>
      </c>
      <c r="D1240" s="4" t="str">
        <f>D1247</f>
        <v>07</v>
      </c>
      <c r="E1240" s="4" t="str">
        <f>E1247</f>
        <v>09</v>
      </c>
      <c r="F1240" s="4" t="str">
        <f>F1247</f>
        <v>0740103510</v>
      </c>
      <c r="G1240" s="12">
        <f>G1247</f>
        <v>244</v>
      </c>
      <c r="H1240" s="9">
        <f t="shared" ref="H1240:N1240" si="438">H1247+H1254</f>
        <v>296</v>
      </c>
      <c r="I1240" s="9">
        <f t="shared" si="438"/>
        <v>0</v>
      </c>
      <c r="J1240" s="9">
        <f t="shared" si="438"/>
        <v>0</v>
      </c>
      <c r="K1240" s="9">
        <f t="shared" si="438"/>
        <v>0</v>
      </c>
      <c r="L1240" s="9">
        <f t="shared" si="438"/>
        <v>296</v>
      </c>
      <c r="M1240" s="9">
        <f t="shared" si="438"/>
        <v>6000</v>
      </c>
      <c r="N1240" s="9">
        <f t="shared" si="438"/>
        <v>6000</v>
      </c>
      <c r="O1240" s="243"/>
      <c r="P1240" s="268"/>
    </row>
    <row r="1241" spans="1:16" x14ac:dyDescent="0.25">
      <c r="A1241" s="241"/>
      <c r="B1241" s="71" t="s">
        <v>8</v>
      </c>
      <c r="C1241" s="4"/>
      <c r="D1241" s="5"/>
      <c r="E1241" s="5"/>
      <c r="F1241" s="5"/>
      <c r="G1241" s="12"/>
      <c r="H1241" s="9">
        <f t="shared" ref="H1241:N1243" si="439">H1248</f>
        <v>0</v>
      </c>
      <c r="I1241" s="9">
        <f t="shared" si="439"/>
        <v>0</v>
      </c>
      <c r="J1241" s="9">
        <f t="shared" si="439"/>
        <v>0</v>
      </c>
      <c r="K1241" s="9">
        <f t="shared" si="439"/>
        <v>0</v>
      </c>
      <c r="L1241" s="9">
        <f t="shared" si="439"/>
        <v>0</v>
      </c>
      <c r="M1241" s="9">
        <f t="shared" si="439"/>
        <v>0</v>
      </c>
      <c r="N1241" s="9">
        <f t="shared" si="439"/>
        <v>0</v>
      </c>
      <c r="O1241" s="243"/>
      <c r="P1241" s="268"/>
    </row>
    <row r="1242" spans="1:16" x14ac:dyDescent="0.25">
      <c r="A1242" s="241"/>
      <c r="B1242" s="71" t="s">
        <v>9</v>
      </c>
      <c r="C1242" s="4"/>
      <c r="D1242" s="5"/>
      <c r="E1242" s="5"/>
      <c r="F1242" s="5"/>
      <c r="G1242" s="12"/>
      <c r="H1242" s="9">
        <f t="shared" si="439"/>
        <v>0</v>
      </c>
      <c r="I1242" s="9">
        <f t="shared" si="439"/>
        <v>0</v>
      </c>
      <c r="J1242" s="9">
        <f t="shared" si="439"/>
        <v>0</v>
      </c>
      <c r="K1242" s="9">
        <f t="shared" si="439"/>
        <v>0</v>
      </c>
      <c r="L1242" s="9">
        <f t="shared" si="439"/>
        <v>0</v>
      </c>
      <c r="M1242" s="9">
        <f t="shared" si="439"/>
        <v>0</v>
      </c>
      <c r="N1242" s="9">
        <f t="shared" si="439"/>
        <v>0</v>
      </c>
      <c r="O1242" s="243"/>
      <c r="P1242" s="268"/>
    </row>
    <row r="1243" spans="1:16" ht="73.5" customHeight="1" x14ac:dyDescent="0.25">
      <c r="A1243" s="241"/>
      <c r="B1243" s="71" t="s">
        <v>10</v>
      </c>
      <c r="C1243" s="4"/>
      <c r="D1243" s="5"/>
      <c r="E1243" s="5"/>
      <c r="F1243" s="5"/>
      <c r="G1243" s="12"/>
      <c r="H1243" s="9">
        <f t="shared" si="439"/>
        <v>0</v>
      </c>
      <c r="I1243" s="9">
        <f t="shared" si="439"/>
        <v>0</v>
      </c>
      <c r="J1243" s="9">
        <f t="shared" si="439"/>
        <v>0</v>
      </c>
      <c r="K1243" s="9">
        <f t="shared" si="439"/>
        <v>0</v>
      </c>
      <c r="L1243" s="9">
        <f t="shared" si="439"/>
        <v>0</v>
      </c>
      <c r="M1243" s="9">
        <f t="shared" si="439"/>
        <v>0</v>
      </c>
      <c r="N1243" s="9">
        <f t="shared" si="439"/>
        <v>0</v>
      </c>
      <c r="O1243" s="244"/>
      <c r="P1243" s="268"/>
    </row>
    <row r="1244" spans="1:16" x14ac:dyDescent="0.25">
      <c r="A1244" s="241" t="s">
        <v>494</v>
      </c>
      <c r="B1244" s="71" t="s">
        <v>115</v>
      </c>
      <c r="C1244" s="4"/>
      <c r="D1244" s="5"/>
      <c r="E1244" s="5"/>
      <c r="F1244" s="5"/>
      <c r="G1244" s="12"/>
      <c r="H1244" s="9">
        <v>1</v>
      </c>
      <c r="I1244" s="9">
        <v>1</v>
      </c>
      <c r="J1244" s="9">
        <v>1</v>
      </c>
      <c r="K1244" s="9">
        <v>1</v>
      </c>
      <c r="L1244" s="9">
        <v>1</v>
      </c>
      <c r="M1244" s="9">
        <v>1</v>
      </c>
      <c r="N1244" s="9">
        <v>1</v>
      </c>
      <c r="O1244" s="242" t="s">
        <v>377</v>
      </c>
      <c r="P1244" s="242" t="s">
        <v>321</v>
      </c>
    </row>
    <row r="1245" spans="1:16" ht="26.4" x14ac:dyDescent="0.25">
      <c r="A1245" s="241"/>
      <c r="B1245" s="71" t="s">
        <v>6</v>
      </c>
      <c r="C1245" s="4"/>
      <c r="D1245" s="5"/>
      <c r="E1245" s="5"/>
      <c r="F1245" s="5"/>
      <c r="G1245" s="12"/>
      <c r="H1245" s="9">
        <f t="shared" ref="H1245:N1245" si="440">ROUND(H1246/H1244,1)</f>
        <v>296</v>
      </c>
      <c r="I1245" s="9" t="s">
        <v>229</v>
      </c>
      <c r="J1245" s="9" t="s">
        <v>229</v>
      </c>
      <c r="K1245" s="9" t="s">
        <v>229</v>
      </c>
      <c r="L1245" s="9" t="s">
        <v>229</v>
      </c>
      <c r="M1245" s="9">
        <f t="shared" si="440"/>
        <v>3000</v>
      </c>
      <c r="N1245" s="9">
        <f t="shared" si="440"/>
        <v>3000</v>
      </c>
      <c r="O1245" s="243"/>
      <c r="P1245" s="243"/>
    </row>
    <row r="1246" spans="1:16" x14ac:dyDescent="0.25">
      <c r="A1246" s="241"/>
      <c r="B1246" s="71" t="s">
        <v>74</v>
      </c>
      <c r="C1246" s="4"/>
      <c r="D1246" s="5"/>
      <c r="E1246" s="5"/>
      <c r="F1246" s="5"/>
      <c r="G1246" s="12"/>
      <c r="H1246" s="9">
        <f>H1247</f>
        <v>296</v>
      </c>
      <c r="I1246" s="9">
        <f t="shared" ref="I1246:N1246" si="441">I1247</f>
        <v>0</v>
      </c>
      <c r="J1246" s="9">
        <f t="shared" si="441"/>
        <v>0</v>
      </c>
      <c r="K1246" s="9">
        <f t="shared" si="441"/>
        <v>0</v>
      </c>
      <c r="L1246" s="9">
        <f t="shared" si="441"/>
        <v>296</v>
      </c>
      <c r="M1246" s="9">
        <f t="shared" si="441"/>
        <v>3000</v>
      </c>
      <c r="N1246" s="9">
        <f t="shared" si="441"/>
        <v>3000</v>
      </c>
      <c r="O1246" s="243"/>
      <c r="P1246" s="243"/>
    </row>
    <row r="1247" spans="1:16" x14ac:dyDescent="0.25">
      <c r="A1247" s="241"/>
      <c r="B1247" s="71" t="s">
        <v>7</v>
      </c>
      <c r="C1247" s="4">
        <v>136</v>
      </c>
      <c r="D1247" s="5" t="s">
        <v>233</v>
      </c>
      <c r="E1247" s="6" t="s">
        <v>235</v>
      </c>
      <c r="F1247" s="5" t="s">
        <v>255</v>
      </c>
      <c r="G1247" s="12">
        <v>244</v>
      </c>
      <c r="H1247" s="9">
        <f>I1247+J1247+K1247+L1247</f>
        <v>296</v>
      </c>
      <c r="I1247" s="9">
        <v>0</v>
      </c>
      <c r="J1247" s="9">
        <v>0</v>
      </c>
      <c r="K1247" s="9">
        <v>0</v>
      </c>
      <c r="L1247" s="9">
        <v>296</v>
      </c>
      <c r="M1247" s="9">
        <v>3000</v>
      </c>
      <c r="N1247" s="9">
        <v>3000</v>
      </c>
      <c r="O1247" s="243"/>
      <c r="P1247" s="243"/>
    </row>
    <row r="1248" spans="1:16" x14ac:dyDescent="0.25">
      <c r="A1248" s="241"/>
      <c r="B1248" s="71" t="s">
        <v>8</v>
      </c>
      <c r="C1248" s="4"/>
      <c r="D1248" s="5"/>
      <c r="E1248" s="5"/>
      <c r="F1248" s="5"/>
      <c r="G1248" s="12"/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243"/>
      <c r="P1248" s="243"/>
    </row>
    <row r="1249" spans="1:16" x14ac:dyDescent="0.25">
      <c r="A1249" s="241"/>
      <c r="B1249" s="71" t="s">
        <v>9</v>
      </c>
      <c r="C1249" s="4"/>
      <c r="D1249" s="5"/>
      <c r="E1249" s="5"/>
      <c r="F1249" s="5"/>
      <c r="G1249" s="12"/>
      <c r="H1249" s="9">
        <v>0</v>
      </c>
      <c r="I1249" s="9">
        <v>0</v>
      </c>
      <c r="J1249" s="9">
        <v>0</v>
      </c>
      <c r="K1249" s="9">
        <v>0</v>
      </c>
      <c r="L1249" s="9">
        <v>0</v>
      </c>
      <c r="M1249" s="9">
        <v>0</v>
      </c>
      <c r="N1249" s="9">
        <v>0</v>
      </c>
      <c r="O1249" s="243"/>
      <c r="P1249" s="243"/>
    </row>
    <row r="1250" spans="1:16" ht="34.5" customHeight="1" x14ac:dyDescent="0.25">
      <c r="A1250" s="241"/>
      <c r="B1250" s="71" t="s">
        <v>10</v>
      </c>
      <c r="C1250" s="4"/>
      <c r="D1250" s="5"/>
      <c r="E1250" s="5"/>
      <c r="F1250" s="5"/>
      <c r="G1250" s="12"/>
      <c r="H1250" s="9">
        <v>0</v>
      </c>
      <c r="I1250" s="9">
        <v>0</v>
      </c>
      <c r="J1250" s="9">
        <v>0</v>
      </c>
      <c r="K1250" s="9">
        <v>0</v>
      </c>
      <c r="L1250" s="9">
        <v>0</v>
      </c>
      <c r="M1250" s="9">
        <v>0</v>
      </c>
      <c r="N1250" s="9">
        <v>0</v>
      </c>
      <c r="O1250" s="244"/>
      <c r="P1250" s="244"/>
    </row>
    <row r="1251" spans="1:16" x14ac:dyDescent="0.25">
      <c r="A1251" s="329" t="s">
        <v>378</v>
      </c>
      <c r="B1251" s="71" t="s">
        <v>66</v>
      </c>
      <c r="C1251" s="4"/>
      <c r="D1251" s="5"/>
      <c r="E1251" s="5"/>
      <c r="F1251" s="5"/>
      <c r="G1251" s="12"/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1</v>
      </c>
      <c r="N1251" s="11">
        <v>1</v>
      </c>
      <c r="O1251" s="242" t="s">
        <v>379</v>
      </c>
      <c r="P1251" s="242" t="s">
        <v>642</v>
      </c>
    </row>
    <row r="1252" spans="1:16" ht="26.4" x14ac:dyDescent="0.25">
      <c r="A1252" s="330"/>
      <c r="B1252" s="71" t="s">
        <v>6</v>
      </c>
      <c r="C1252" s="4"/>
      <c r="D1252" s="5"/>
      <c r="E1252" s="5"/>
      <c r="F1252" s="5"/>
      <c r="G1252" s="12"/>
      <c r="H1252" s="11">
        <v>0</v>
      </c>
      <c r="I1252" s="9" t="s">
        <v>229</v>
      </c>
      <c r="J1252" s="9" t="s">
        <v>229</v>
      </c>
      <c r="K1252" s="9" t="s">
        <v>229</v>
      </c>
      <c r="L1252" s="9" t="s">
        <v>229</v>
      </c>
      <c r="M1252" s="9">
        <f>M1253/M1251</f>
        <v>3000</v>
      </c>
      <c r="N1252" s="9">
        <f>N1253/N1251</f>
        <v>3000</v>
      </c>
      <c r="O1252" s="243"/>
      <c r="P1252" s="243"/>
    </row>
    <row r="1253" spans="1:16" ht="13.35" customHeight="1" x14ac:dyDescent="0.25">
      <c r="A1253" s="330"/>
      <c r="B1253" s="71" t="s">
        <v>74</v>
      </c>
      <c r="C1253" s="4"/>
      <c r="D1253" s="5"/>
      <c r="E1253" s="5"/>
      <c r="F1253" s="5"/>
      <c r="G1253" s="12"/>
      <c r="H1253" s="9">
        <f>I1253+J1253+K1253+L1253</f>
        <v>0</v>
      </c>
      <c r="I1253" s="9">
        <v>0</v>
      </c>
      <c r="J1253" s="9">
        <v>0</v>
      </c>
      <c r="K1253" s="9">
        <v>0</v>
      </c>
      <c r="L1253" s="9">
        <v>0</v>
      </c>
      <c r="M1253" s="9">
        <f>M1254+M1255+M1256</f>
        <v>3000</v>
      </c>
      <c r="N1253" s="9">
        <f>N1254+N1255+N1256</f>
        <v>3000</v>
      </c>
      <c r="O1253" s="243"/>
      <c r="P1253" s="243"/>
    </row>
    <row r="1254" spans="1:16" ht="13.35" customHeight="1" x14ac:dyDescent="0.25">
      <c r="A1254" s="330"/>
      <c r="B1254" s="71" t="s">
        <v>7</v>
      </c>
      <c r="C1254" s="4">
        <v>136</v>
      </c>
      <c r="D1254" s="5" t="s">
        <v>233</v>
      </c>
      <c r="E1254" s="5" t="s">
        <v>235</v>
      </c>
      <c r="F1254" s="5" t="s">
        <v>255</v>
      </c>
      <c r="G1254" s="12">
        <v>244</v>
      </c>
      <c r="H1254" s="9">
        <f>I1254+J1254+K1254+L1254</f>
        <v>0</v>
      </c>
      <c r="I1254" s="9">
        <v>0</v>
      </c>
      <c r="J1254" s="9">
        <v>0</v>
      </c>
      <c r="K1254" s="9">
        <v>0</v>
      </c>
      <c r="L1254" s="9">
        <v>0</v>
      </c>
      <c r="M1254" s="9">
        <v>3000</v>
      </c>
      <c r="N1254" s="9">
        <v>3000</v>
      </c>
      <c r="O1254" s="243"/>
      <c r="P1254" s="243"/>
    </row>
    <row r="1255" spans="1:16" ht="14.1" customHeight="1" x14ac:dyDescent="0.25">
      <c r="A1255" s="330"/>
      <c r="B1255" s="71" t="s">
        <v>8</v>
      </c>
      <c r="C1255" s="4"/>
      <c r="D1255" s="5"/>
      <c r="E1255" s="5"/>
      <c r="F1255" s="5"/>
      <c r="G1255" s="12"/>
      <c r="H1255" s="9">
        <f>I1255+J1255+K1255+L1255</f>
        <v>0</v>
      </c>
      <c r="I1255" s="9">
        <v>0</v>
      </c>
      <c r="J1255" s="9">
        <v>0</v>
      </c>
      <c r="K1255" s="9">
        <v>0</v>
      </c>
      <c r="L1255" s="9">
        <v>0</v>
      </c>
      <c r="M1255" s="9">
        <v>0</v>
      </c>
      <c r="N1255" s="9">
        <v>0</v>
      </c>
      <c r="O1255" s="243"/>
      <c r="P1255" s="243"/>
    </row>
    <row r="1256" spans="1:16" ht="13.35" customHeight="1" x14ac:dyDescent="0.25">
      <c r="A1256" s="330"/>
      <c r="B1256" s="71" t="s">
        <v>9</v>
      </c>
      <c r="C1256" s="4"/>
      <c r="D1256" s="5"/>
      <c r="E1256" s="5"/>
      <c r="F1256" s="5"/>
      <c r="G1256" s="12"/>
      <c r="H1256" s="9">
        <f>I1256+J1256+K1256+L1256</f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243"/>
      <c r="P1256" s="243"/>
    </row>
    <row r="1257" spans="1:16" ht="86.25" customHeight="1" x14ac:dyDescent="0.25">
      <c r="A1257" s="331"/>
      <c r="B1257" s="71" t="s">
        <v>10</v>
      </c>
      <c r="C1257" s="4"/>
      <c r="D1257" s="5"/>
      <c r="E1257" s="5"/>
      <c r="F1257" s="5"/>
      <c r="G1257" s="12"/>
      <c r="H1257" s="9">
        <f>I1257+J1257+K1257+L1257</f>
        <v>0</v>
      </c>
      <c r="I1257" s="9">
        <v>0</v>
      </c>
      <c r="J1257" s="9">
        <v>0</v>
      </c>
      <c r="K1257" s="9">
        <v>0</v>
      </c>
      <c r="L1257" s="9">
        <v>0</v>
      </c>
      <c r="M1257" s="9">
        <v>0</v>
      </c>
      <c r="N1257" s="9">
        <v>0</v>
      </c>
      <c r="O1257" s="244"/>
      <c r="P1257" s="244"/>
    </row>
    <row r="1258" spans="1:16" ht="15" customHeight="1" x14ac:dyDescent="0.25">
      <c r="A1258" s="303" t="s">
        <v>30</v>
      </c>
      <c r="B1258" s="120" t="s">
        <v>242</v>
      </c>
      <c r="C1258" s="98"/>
      <c r="D1258" s="99"/>
      <c r="E1258" s="99"/>
      <c r="F1258" s="99"/>
      <c r="G1258" s="211"/>
      <c r="H1258" s="121">
        <f>H1259+H1260+H1261+H1262</f>
        <v>296</v>
      </c>
      <c r="I1258" s="121">
        <f t="shared" ref="I1258:N1258" si="442">I1259+I1260+I1261+I1262</f>
        <v>0</v>
      </c>
      <c r="J1258" s="121">
        <f t="shared" si="442"/>
        <v>0</v>
      </c>
      <c r="K1258" s="121">
        <f t="shared" si="442"/>
        <v>0</v>
      </c>
      <c r="L1258" s="121">
        <f t="shared" si="442"/>
        <v>296</v>
      </c>
      <c r="M1258" s="121">
        <f t="shared" si="442"/>
        <v>6000</v>
      </c>
      <c r="N1258" s="121">
        <f t="shared" si="442"/>
        <v>6000</v>
      </c>
      <c r="O1258" s="303"/>
      <c r="P1258" s="245"/>
    </row>
    <row r="1259" spans="1:16" s="38" customFormat="1" ht="13.35" customHeight="1" x14ac:dyDescent="0.25">
      <c r="A1259" s="304"/>
      <c r="B1259" s="120" t="s">
        <v>7</v>
      </c>
      <c r="C1259" s="98"/>
      <c r="D1259" s="99"/>
      <c r="E1259" s="99"/>
      <c r="F1259" s="99"/>
      <c r="G1259" s="211"/>
      <c r="H1259" s="121">
        <f t="shared" ref="H1259:N1259" si="443">H1240</f>
        <v>296</v>
      </c>
      <c r="I1259" s="121">
        <f t="shared" si="443"/>
        <v>0</v>
      </c>
      <c r="J1259" s="121">
        <f t="shared" si="443"/>
        <v>0</v>
      </c>
      <c r="K1259" s="121">
        <f t="shared" si="443"/>
        <v>0</v>
      </c>
      <c r="L1259" s="121">
        <f t="shared" si="443"/>
        <v>296</v>
      </c>
      <c r="M1259" s="121">
        <f t="shared" si="443"/>
        <v>6000</v>
      </c>
      <c r="N1259" s="121">
        <f t="shared" si="443"/>
        <v>6000</v>
      </c>
      <c r="O1259" s="304"/>
      <c r="P1259" s="246"/>
    </row>
    <row r="1260" spans="1:16" ht="13.35" customHeight="1" x14ac:dyDescent="0.25">
      <c r="A1260" s="304"/>
      <c r="B1260" s="120" t="s">
        <v>14</v>
      </c>
      <c r="C1260" s="98"/>
      <c r="D1260" s="99"/>
      <c r="E1260" s="99"/>
      <c r="F1260" s="99"/>
      <c r="G1260" s="211"/>
      <c r="H1260" s="121">
        <f t="shared" ref="H1260:N1260" si="444">H1241</f>
        <v>0</v>
      </c>
      <c r="I1260" s="121">
        <f t="shared" si="444"/>
        <v>0</v>
      </c>
      <c r="J1260" s="121">
        <f t="shared" si="444"/>
        <v>0</v>
      </c>
      <c r="K1260" s="121">
        <f t="shared" si="444"/>
        <v>0</v>
      </c>
      <c r="L1260" s="121">
        <f t="shared" si="444"/>
        <v>0</v>
      </c>
      <c r="M1260" s="121">
        <f t="shared" si="444"/>
        <v>0</v>
      </c>
      <c r="N1260" s="121">
        <f t="shared" si="444"/>
        <v>0</v>
      </c>
      <c r="O1260" s="304"/>
      <c r="P1260" s="246"/>
    </row>
    <row r="1261" spans="1:16" ht="13.35" customHeight="1" x14ac:dyDescent="0.25">
      <c r="A1261" s="304"/>
      <c r="B1261" s="120" t="s">
        <v>15</v>
      </c>
      <c r="C1261" s="98"/>
      <c r="D1261" s="99"/>
      <c r="E1261" s="99"/>
      <c r="F1261" s="99"/>
      <c r="G1261" s="211"/>
      <c r="H1261" s="121">
        <f t="shared" ref="H1261:N1261" si="445">H1242</f>
        <v>0</v>
      </c>
      <c r="I1261" s="121">
        <f t="shared" si="445"/>
        <v>0</v>
      </c>
      <c r="J1261" s="121">
        <f t="shared" si="445"/>
        <v>0</v>
      </c>
      <c r="K1261" s="121">
        <f t="shared" si="445"/>
        <v>0</v>
      </c>
      <c r="L1261" s="121">
        <f t="shared" si="445"/>
        <v>0</v>
      </c>
      <c r="M1261" s="121">
        <f t="shared" si="445"/>
        <v>0</v>
      </c>
      <c r="N1261" s="121">
        <f t="shared" si="445"/>
        <v>0</v>
      </c>
      <c r="O1261" s="304"/>
      <c r="P1261" s="246"/>
    </row>
    <row r="1262" spans="1:16" ht="13.35" customHeight="1" x14ac:dyDescent="0.25">
      <c r="A1262" s="305"/>
      <c r="B1262" s="120" t="s">
        <v>10</v>
      </c>
      <c r="C1262" s="98"/>
      <c r="D1262" s="99"/>
      <c r="E1262" s="99"/>
      <c r="F1262" s="99"/>
      <c r="G1262" s="211"/>
      <c r="H1262" s="121">
        <f t="shared" ref="H1262:N1262" si="446">H1243</f>
        <v>0</v>
      </c>
      <c r="I1262" s="121">
        <f t="shared" si="446"/>
        <v>0</v>
      </c>
      <c r="J1262" s="121">
        <f t="shared" si="446"/>
        <v>0</v>
      </c>
      <c r="K1262" s="121">
        <f t="shared" si="446"/>
        <v>0</v>
      </c>
      <c r="L1262" s="121">
        <f t="shared" si="446"/>
        <v>0</v>
      </c>
      <c r="M1262" s="121">
        <f t="shared" si="446"/>
        <v>0</v>
      </c>
      <c r="N1262" s="121">
        <f t="shared" si="446"/>
        <v>0</v>
      </c>
      <c r="O1262" s="305"/>
      <c r="P1262" s="247"/>
    </row>
    <row r="1263" spans="1:16" ht="13.35" customHeight="1" x14ac:dyDescent="0.25">
      <c r="A1263" s="275" t="s">
        <v>149</v>
      </c>
      <c r="B1263" s="276"/>
      <c r="C1263" s="276"/>
      <c r="D1263" s="276"/>
      <c r="E1263" s="276"/>
      <c r="F1263" s="276"/>
      <c r="G1263" s="276"/>
      <c r="H1263" s="276"/>
      <c r="I1263" s="276"/>
      <c r="J1263" s="276"/>
      <c r="K1263" s="276"/>
      <c r="L1263" s="276"/>
      <c r="M1263" s="276"/>
      <c r="N1263" s="276"/>
      <c r="O1263" s="276"/>
      <c r="P1263" s="277"/>
    </row>
    <row r="1264" spans="1:16" ht="26.4" x14ac:dyDescent="0.25">
      <c r="A1264" s="269" t="s">
        <v>150</v>
      </c>
      <c r="B1264" s="115" t="s">
        <v>29</v>
      </c>
      <c r="C1264" s="54"/>
      <c r="D1264" s="55"/>
      <c r="E1264" s="55"/>
      <c r="F1264" s="55"/>
      <c r="G1264" s="91"/>
      <c r="H1264" s="56" t="s">
        <v>51</v>
      </c>
      <c r="I1264" s="56" t="s">
        <v>51</v>
      </c>
      <c r="J1264" s="56" t="s">
        <v>51</v>
      </c>
      <c r="K1264" s="56" t="s">
        <v>51</v>
      </c>
      <c r="L1264" s="56" t="s">
        <v>51</v>
      </c>
      <c r="M1264" s="56" t="s">
        <v>51</v>
      </c>
      <c r="N1264" s="56" t="s">
        <v>51</v>
      </c>
      <c r="O1264" s="267" t="s">
        <v>380</v>
      </c>
      <c r="P1264" s="245" t="s">
        <v>385</v>
      </c>
    </row>
    <row r="1265" spans="1:18" ht="26.4" x14ac:dyDescent="0.25">
      <c r="A1265" s="269"/>
      <c r="B1265" s="115" t="s">
        <v>6</v>
      </c>
      <c r="C1265" s="54"/>
      <c r="D1265" s="55"/>
      <c r="E1265" s="55"/>
      <c r="F1265" s="55"/>
      <c r="G1265" s="91"/>
      <c r="H1265" s="56" t="s">
        <v>51</v>
      </c>
      <c r="I1265" s="56" t="s">
        <v>229</v>
      </c>
      <c r="J1265" s="56" t="s">
        <v>229</v>
      </c>
      <c r="K1265" s="56" t="s">
        <v>229</v>
      </c>
      <c r="L1265" s="56" t="s">
        <v>229</v>
      </c>
      <c r="M1265" s="56" t="s">
        <v>51</v>
      </c>
      <c r="N1265" s="56" t="s">
        <v>51</v>
      </c>
      <c r="O1265" s="267"/>
      <c r="P1265" s="246"/>
    </row>
    <row r="1266" spans="1:18" x14ac:dyDescent="0.25">
      <c r="A1266" s="269"/>
      <c r="B1266" s="115" t="s">
        <v>74</v>
      </c>
      <c r="C1266" s="54"/>
      <c r="D1266" s="55"/>
      <c r="E1266" s="55"/>
      <c r="F1266" s="55"/>
      <c r="G1266" s="91"/>
      <c r="H1266" s="56">
        <f>SUM(H1267:H1274)</f>
        <v>58501.8</v>
      </c>
      <c r="I1266" s="56">
        <f t="shared" ref="I1266:N1266" si="447">SUM(I1267:I1274)</f>
        <v>4091.8</v>
      </c>
      <c r="J1266" s="56">
        <f t="shared" si="447"/>
        <v>8444.7999999999993</v>
      </c>
      <c r="K1266" s="56">
        <f t="shared" si="447"/>
        <v>7586.7</v>
      </c>
      <c r="L1266" s="56">
        <f t="shared" si="447"/>
        <v>38378.5</v>
      </c>
      <c r="M1266" s="56">
        <f t="shared" si="447"/>
        <v>53557</v>
      </c>
      <c r="N1266" s="56">
        <f t="shared" si="447"/>
        <v>53665.7</v>
      </c>
      <c r="O1266" s="267"/>
      <c r="P1266" s="246"/>
    </row>
    <row r="1267" spans="1:18" x14ac:dyDescent="0.25">
      <c r="A1267" s="269"/>
      <c r="B1267" s="237" t="s">
        <v>7</v>
      </c>
      <c r="C1267" s="54">
        <f>C1278</f>
        <v>136</v>
      </c>
      <c r="D1267" s="54" t="str">
        <f t="shared" ref="D1267:N1267" si="448">D1278</f>
        <v>07</v>
      </c>
      <c r="E1267" s="54" t="str">
        <f t="shared" si="448"/>
        <v>05</v>
      </c>
      <c r="F1267" s="54" t="str">
        <f t="shared" si="448"/>
        <v>07402R0660</v>
      </c>
      <c r="G1267" s="91">
        <f t="shared" si="448"/>
        <v>244</v>
      </c>
      <c r="H1267" s="56">
        <f t="shared" si="448"/>
        <v>2323</v>
      </c>
      <c r="I1267" s="56">
        <f t="shared" si="448"/>
        <v>0</v>
      </c>
      <c r="J1267" s="56">
        <f t="shared" si="448"/>
        <v>0</v>
      </c>
      <c r="K1267" s="56">
        <f t="shared" si="448"/>
        <v>0</v>
      </c>
      <c r="L1267" s="56">
        <f t="shared" si="448"/>
        <v>2323</v>
      </c>
      <c r="M1267" s="56">
        <f t="shared" si="448"/>
        <v>0</v>
      </c>
      <c r="N1267" s="56">
        <f t="shared" si="448"/>
        <v>0</v>
      </c>
      <c r="O1267" s="267"/>
      <c r="P1267" s="246"/>
    </row>
    <row r="1268" spans="1:18" x14ac:dyDescent="0.25">
      <c r="A1268" s="269"/>
      <c r="B1268" s="237"/>
      <c r="C1268" s="91">
        <f t="shared" ref="C1268:H1268" si="449">C1286</f>
        <v>136</v>
      </c>
      <c r="D1268" s="91" t="str">
        <f t="shared" si="449"/>
        <v>07</v>
      </c>
      <c r="E1268" s="91" t="str">
        <f t="shared" si="449"/>
        <v>09</v>
      </c>
      <c r="F1268" s="91" t="str">
        <f t="shared" si="449"/>
        <v>0740200660</v>
      </c>
      <c r="G1268" s="91">
        <f t="shared" si="449"/>
        <v>340</v>
      </c>
      <c r="H1268" s="56">
        <f t="shared" si="449"/>
        <v>39200</v>
      </c>
      <c r="I1268" s="56">
        <f t="shared" ref="I1268:N1268" si="450">I1286</f>
        <v>2820</v>
      </c>
      <c r="J1268" s="56">
        <f t="shared" si="450"/>
        <v>2880</v>
      </c>
      <c r="K1268" s="56">
        <f t="shared" si="450"/>
        <v>4500</v>
      </c>
      <c r="L1268" s="56">
        <f t="shared" si="450"/>
        <v>29000</v>
      </c>
      <c r="M1268" s="56">
        <f t="shared" si="450"/>
        <v>39200</v>
      </c>
      <c r="N1268" s="56">
        <f t="shared" si="450"/>
        <v>39200</v>
      </c>
      <c r="O1268" s="267"/>
      <c r="P1268" s="246"/>
      <c r="Q1268" s="41"/>
      <c r="R1268" s="41"/>
    </row>
    <row r="1269" spans="1:18" s="34" customFormat="1" ht="13.35" customHeight="1" x14ac:dyDescent="0.25">
      <c r="A1269" s="269"/>
      <c r="B1269" s="237"/>
      <c r="C1269" s="54">
        <f t="shared" ref="C1269:N1269" si="451">C1285</f>
        <v>136</v>
      </c>
      <c r="D1269" s="54" t="str">
        <f t="shared" si="451"/>
        <v>07</v>
      </c>
      <c r="E1269" s="54" t="str">
        <f t="shared" si="451"/>
        <v>09</v>
      </c>
      <c r="F1269" s="54" t="str">
        <f t="shared" si="451"/>
        <v>0740200660</v>
      </c>
      <c r="G1269" s="91">
        <f t="shared" si="451"/>
        <v>621</v>
      </c>
      <c r="H1269" s="56">
        <f t="shared" si="451"/>
        <v>6043.8</v>
      </c>
      <c r="I1269" s="56">
        <f t="shared" si="451"/>
        <v>1271.8</v>
      </c>
      <c r="J1269" s="56">
        <f t="shared" si="451"/>
        <v>2126.8000000000002</v>
      </c>
      <c r="K1269" s="56">
        <f t="shared" si="451"/>
        <v>1421.7</v>
      </c>
      <c r="L1269" s="56">
        <f t="shared" si="451"/>
        <v>1223.5</v>
      </c>
      <c r="M1269" s="56">
        <f t="shared" si="451"/>
        <v>6149</v>
      </c>
      <c r="N1269" s="56">
        <f t="shared" si="451"/>
        <v>6257.7</v>
      </c>
      <c r="O1269" s="267"/>
      <c r="P1269" s="246"/>
    </row>
    <row r="1270" spans="1:18" s="34" customFormat="1" ht="13.35" customHeight="1" x14ac:dyDescent="0.25">
      <c r="A1270" s="269"/>
      <c r="B1270" s="237"/>
      <c r="C1270" s="54">
        <f>C1293</f>
        <v>136</v>
      </c>
      <c r="D1270" s="54" t="str">
        <f t="shared" ref="D1270:N1270" si="452">D1293</f>
        <v>07</v>
      </c>
      <c r="E1270" s="54" t="str">
        <f t="shared" si="452"/>
        <v>09</v>
      </c>
      <c r="F1270" s="54" t="str">
        <f t="shared" si="452"/>
        <v>0740203510</v>
      </c>
      <c r="G1270" s="91">
        <f t="shared" si="452"/>
        <v>340</v>
      </c>
      <c r="H1270" s="56">
        <f t="shared" si="452"/>
        <v>8208</v>
      </c>
      <c r="I1270" s="56">
        <f t="shared" si="452"/>
        <v>0</v>
      </c>
      <c r="J1270" s="56">
        <f t="shared" si="452"/>
        <v>3438</v>
      </c>
      <c r="K1270" s="56">
        <f t="shared" si="452"/>
        <v>1665</v>
      </c>
      <c r="L1270" s="56">
        <f t="shared" si="452"/>
        <v>3105</v>
      </c>
      <c r="M1270" s="56">
        <f t="shared" si="452"/>
        <v>8208</v>
      </c>
      <c r="N1270" s="56">
        <f t="shared" si="452"/>
        <v>8208</v>
      </c>
      <c r="O1270" s="267"/>
      <c r="P1270" s="246"/>
    </row>
    <row r="1271" spans="1:18" s="34" customFormat="1" ht="13.35" hidden="1" customHeight="1" x14ac:dyDescent="0.25">
      <c r="A1271" s="269"/>
      <c r="B1271" s="236"/>
      <c r="C1271" s="54">
        <v>136</v>
      </c>
      <c r="D1271" s="55" t="s">
        <v>233</v>
      </c>
      <c r="E1271" s="55" t="s">
        <v>235</v>
      </c>
      <c r="F1271" s="54" t="str">
        <f>F1286</f>
        <v>0740200660</v>
      </c>
      <c r="G1271" s="91">
        <v>622</v>
      </c>
      <c r="H1271" s="56">
        <v>0</v>
      </c>
      <c r="I1271" s="56">
        <v>0</v>
      </c>
      <c r="J1271" s="56">
        <v>0</v>
      </c>
      <c r="K1271" s="56">
        <v>0</v>
      </c>
      <c r="L1271" s="56">
        <v>0</v>
      </c>
      <c r="M1271" s="56">
        <v>0</v>
      </c>
      <c r="N1271" s="56">
        <v>0</v>
      </c>
      <c r="O1271" s="267"/>
      <c r="P1271" s="246"/>
    </row>
    <row r="1272" spans="1:18" s="34" customFormat="1" ht="13.35" customHeight="1" x14ac:dyDescent="0.25">
      <c r="A1272" s="269"/>
      <c r="B1272" s="115" t="s">
        <v>8</v>
      </c>
      <c r="C1272" s="54">
        <f t="shared" ref="C1272:H1272" si="453">C1279</f>
        <v>136</v>
      </c>
      <c r="D1272" s="54" t="str">
        <f t="shared" si="453"/>
        <v>07</v>
      </c>
      <c r="E1272" s="54" t="str">
        <f t="shared" si="453"/>
        <v>05</v>
      </c>
      <c r="F1272" s="54" t="str">
        <f t="shared" si="453"/>
        <v>07402R0660</v>
      </c>
      <c r="G1272" s="91">
        <f t="shared" si="453"/>
        <v>244</v>
      </c>
      <c r="H1272" s="56">
        <f t="shared" si="453"/>
        <v>2727</v>
      </c>
      <c r="I1272" s="56">
        <f t="shared" ref="I1272:N1272" si="454">I1279</f>
        <v>0</v>
      </c>
      <c r="J1272" s="56">
        <f t="shared" si="454"/>
        <v>0</v>
      </c>
      <c r="K1272" s="56">
        <f t="shared" si="454"/>
        <v>0</v>
      </c>
      <c r="L1272" s="56">
        <f t="shared" si="454"/>
        <v>2727</v>
      </c>
      <c r="M1272" s="56">
        <f t="shared" si="454"/>
        <v>0</v>
      </c>
      <c r="N1272" s="56">
        <f t="shared" si="454"/>
        <v>0</v>
      </c>
      <c r="O1272" s="267"/>
      <c r="P1272" s="246"/>
      <c r="Q1272" s="44"/>
      <c r="R1272" s="44"/>
    </row>
    <row r="1273" spans="1:18" s="34" customFormat="1" ht="13.35" customHeight="1" x14ac:dyDescent="0.25">
      <c r="A1273" s="269"/>
      <c r="B1273" s="115" t="s">
        <v>9</v>
      </c>
      <c r="C1273" s="54"/>
      <c r="D1273" s="55"/>
      <c r="E1273" s="55"/>
      <c r="F1273" s="55"/>
      <c r="G1273" s="91"/>
      <c r="H1273" s="56">
        <f t="shared" ref="H1273:N1273" si="455">H1280+H1288+H1295</f>
        <v>0</v>
      </c>
      <c r="I1273" s="56">
        <f t="shared" si="455"/>
        <v>0</v>
      </c>
      <c r="J1273" s="56">
        <f t="shared" si="455"/>
        <v>0</v>
      </c>
      <c r="K1273" s="56">
        <f t="shared" si="455"/>
        <v>0</v>
      </c>
      <c r="L1273" s="56">
        <f t="shared" si="455"/>
        <v>0</v>
      </c>
      <c r="M1273" s="56">
        <f t="shared" si="455"/>
        <v>0</v>
      </c>
      <c r="N1273" s="56">
        <f t="shared" si="455"/>
        <v>0</v>
      </c>
      <c r="O1273" s="267"/>
      <c r="P1273" s="246"/>
      <c r="Q1273" s="44"/>
      <c r="R1273" s="44"/>
    </row>
    <row r="1274" spans="1:18" s="34" customFormat="1" ht="13.35" customHeight="1" x14ac:dyDescent="0.25">
      <c r="A1274" s="269"/>
      <c r="B1274" s="115" t="s">
        <v>10</v>
      </c>
      <c r="C1274" s="54"/>
      <c r="D1274" s="55"/>
      <c r="E1274" s="55"/>
      <c r="F1274" s="55"/>
      <c r="G1274" s="91"/>
      <c r="H1274" s="56">
        <f t="shared" ref="H1274:N1274" si="456">H1281+H1289+H1296</f>
        <v>0</v>
      </c>
      <c r="I1274" s="56">
        <f t="shared" si="456"/>
        <v>0</v>
      </c>
      <c r="J1274" s="56">
        <f t="shared" si="456"/>
        <v>0</v>
      </c>
      <c r="K1274" s="56">
        <f t="shared" si="456"/>
        <v>0</v>
      </c>
      <c r="L1274" s="56">
        <f t="shared" si="456"/>
        <v>0</v>
      </c>
      <c r="M1274" s="56">
        <f t="shared" si="456"/>
        <v>0</v>
      </c>
      <c r="N1274" s="56">
        <f t="shared" si="456"/>
        <v>0</v>
      </c>
      <c r="O1274" s="267"/>
      <c r="P1274" s="247"/>
      <c r="Q1274" s="44"/>
      <c r="R1274" s="44"/>
    </row>
    <row r="1275" spans="1:18" s="34" customFormat="1" ht="13.35" customHeight="1" x14ac:dyDescent="0.25">
      <c r="A1275" s="241" t="s">
        <v>352</v>
      </c>
      <c r="B1275" s="71" t="s">
        <v>116</v>
      </c>
      <c r="C1275" s="4"/>
      <c r="D1275" s="5"/>
      <c r="E1275" s="5"/>
      <c r="F1275" s="5"/>
      <c r="G1275" s="12"/>
      <c r="H1275" s="9">
        <v>100</v>
      </c>
      <c r="I1275" s="9">
        <v>0</v>
      </c>
      <c r="J1275" s="9">
        <v>0</v>
      </c>
      <c r="K1275" s="9">
        <v>0</v>
      </c>
      <c r="L1275" s="9">
        <v>100</v>
      </c>
      <c r="M1275" s="9">
        <v>100</v>
      </c>
      <c r="N1275" s="9">
        <v>100</v>
      </c>
      <c r="O1275" s="268" t="s">
        <v>380</v>
      </c>
      <c r="P1275" s="242" t="s">
        <v>614</v>
      </c>
      <c r="Q1275" s="44"/>
      <c r="R1275" s="44"/>
    </row>
    <row r="1276" spans="1:18" s="34" customFormat="1" ht="13.35" customHeight="1" x14ac:dyDescent="0.25">
      <c r="A1276" s="241"/>
      <c r="B1276" s="71" t="s">
        <v>6</v>
      </c>
      <c r="C1276" s="4"/>
      <c r="D1276" s="5"/>
      <c r="E1276" s="5"/>
      <c r="F1276" s="5"/>
      <c r="G1276" s="12"/>
      <c r="H1276" s="9">
        <f>ROUND(H1277/H1275,1)</f>
        <v>50.5</v>
      </c>
      <c r="I1276" s="9" t="s">
        <v>229</v>
      </c>
      <c r="J1276" s="9" t="s">
        <v>229</v>
      </c>
      <c r="K1276" s="9" t="s">
        <v>229</v>
      </c>
      <c r="L1276" s="9" t="s">
        <v>229</v>
      </c>
      <c r="M1276" s="9">
        <v>0</v>
      </c>
      <c r="N1276" s="9">
        <v>0</v>
      </c>
      <c r="O1276" s="268"/>
      <c r="P1276" s="243"/>
      <c r="Q1276" s="44"/>
      <c r="R1276" s="44"/>
    </row>
    <row r="1277" spans="1:18" s="34" customFormat="1" ht="13.35" customHeight="1" x14ac:dyDescent="0.25">
      <c r="A1277" s="241"/>
      <c r="B1277" s="71" t="s">
        <v>74</v>
      </c>
      <c r="C1277" s="4"/>
      <c r="D1277" s="5"/>
      <c r="E1277" s="5"/>
      <c r="F1277" s="5"/>
      <c r="G1277" s="12"/>
      <c r="H1277" s="9">
        <f t="shared" ref="H1277:N1277" si="457">SUM(H1278:H1281)</f>
        <v>5050</v>
      </c>
      <c r="I1277" s="9">
        <f t="shared" si="457"/>
        <v>0</v>
      </c>
      <c r="J1277" s="9">
        <f t="shared" si="457"/>
        <v>0</v>
      </c>
      <c r="K1277" s="9">
        <f t="shared" si="457"/>
        <v>0</v>
      </c>
      <c r="L1277" s="9">
        <f t="shared" si="457"/>
        <v>5050</v>
      </c>
      <c r="M1277" s="9">
        <f t="shared" si="457"/>
        <v>0</v>
      </c>
      <c r="N1277" s="9">
        <f t="shared" si="457"/>
        <v>0</v>
      </c>
      <c r="O1277" s="268"/>
      <c r="P1277" s="243"/>
      <c r="Q1277" s="44"/>
      <c r="R1277" s="44"/>
    </row>
    <row r="1278" spans="1:18" s="34" customFormat="1" ht="13.35" customHeight="1" x14ac:dyDescent="0.25">
      <c r="A1278" s="241"/>
      <c r="B1278" s="71" t="s">
        <v>7</v>
      </c>
      <c r="C1278" s="4">
        <v>136</v>
      </c>
      <c r="D1278" s="5" t="s">
        <v>233</v>
      </c>
      <c r="E1278" s="5" t="s">
        <v>239</v>
      </c>
      <c r="F1278" s="5" t="s">
        <v>256</v>
      </c>
      <c r="G1278" s="12">
        <v>244</v>
      </c>
      <c r="H1278" s="9">
        <f>I1278+J1278+K1278+L1278</f>
        <v>2323</v>
      </c>
      <c r="I1278" s="9">
        <v>0</v>
      </c>
      <c r="J1278" s="9">
        <v>0</v>
      </c>
      <c r="K1278" s="9">
        <v>0</v>
      </c>
      <c r="L1278" s="9">
        <v>2323</v>
      </c>
      <c r="M1278" s="9">
        <v>0</v>
      </c>
      <c r="N1278" s="9">
        <v>0</v>
      </c>
      <c r="O1278" s="268"/>
      <c r="P1278" s="243"/>
      <c r="Q1278" s="44"/>
      <c r="R1278" s="44"/>
    </row>
    <row r="1279" spans="1:18" s="34" customFormat="1" ht="13.35" customHeight="1" x14ac:dyDescent="0.25">
      <c r="A1279" s="241"/>
      <c r="B1279" s="71" t="s">
        <v>8</v>
      </c>
      <c r="C1279" s="4">
        <v>136</v>
      </c>
      <c r="D1279" s="5" t="s">
        <v>233</v>
      </c>
      <c r="E1279" s="5" t="s">
        <v>239</v>
      </c>
      <c r="F1279" s="5" t="s">
        <v>256</v>
      </c>
      <c r="G1279" s="12">
        <v>244</v>
      </c>
      <c r="H1279" s="9">
        <f>I1279+J1279+K1279+L1279</f>
        <v>2727</v>
      </c>
      <c r="I1279" s="9">
        <v>0</v>
      </c>
      <c r="J1279" s="9">
        <v>0</v>
      </c>
      <c r="K1279" s="9">
        <v>0</v>
      </c>
      <c r="L1279" s="9">
        <v>2727</v>
      </c>
      <c r="M1279" s="9">
        <v>0</v>
      </c>
      <c r="N1279" s="9">
        <v>0</v>
      </c>
      <c r="O1279" s="268"/>
      <c r="P1279" s="243"/>
      <c r="Q1279" s="44"/>
      <c r="R1279" s="44"/>
    </row>
    <row r="1280" spans="1:18" s="34" customFormat="1" ht="13.35" customHeight="1" x14ac:dyDescent="0.25">
      <c r="A1280" s="241"/>
      <c r="B1280" s="71" t="s">
        <v>9</v>
      </c>
      <c r="C1280" s="4"/>
      <c r="D1280" s="5"/>
      <c r="E1280" s="5"/>
      <c r="F1280" s="5"/>
      <c r="G1280" s="12"/>
      <c r="H1280" s="9">
        <f>I1280+J1280+K1280+L1280</f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268"/>
      <c r="P1280" s="243"/>
      <c r="Q1280" s="44"/>
      <c r="R1280" s="44"/>
    </row>
    <row r="1281" spans="1:18" s="34" customFormat="1" ht="93" customHeight="1" x14ac:dyDescent="0.25">
      <c r="A1281" s="241"/>
      <c r="B1281" s="71" t="s">
        <v>10</v>
      </c>
      <c r="C1281" s="4"/>
      <c r="D1281" s="5"/>
      <c r="E1281" s="5"/>
      <c r="F1281" s="5"/>
      <c r="G1281" s="12"/>
      <c r="H1281" s="9">
        <f>I1281+J1281+K1281+L1281</f>
        <v>0</v>
      </c>
      <c r="I1281" s="9">
        <v>0</v>
      </c>
      <c r="J1281" s="9">
        <v>0</v>
      </c>
      <c r="K1281" s="9">
        <v>0</v>
      </c>
      <c r="L1281" s="9">
        <v>0</v>
      </c>
      <c r="M1281" s="9">
        <v>0</v>
      </c>
      <c r="N1281" s="9">
        <v>0</v>
      </c>
      <c r="O1281" s="268"/>
      <c r="P1281" s="244"/>
      <c r="Q1281" s="44"/>
      <c r="R1281" s="44"/>
    </row>
    <row r="1282" spans="1:18" s="34" customFormat="1" ht="13.35" customHeight="1" x14ac:dyDescent="0.25">
      <c r="A1282" s="269" t="s">
        <v>353</v>
      </c>
      <c r="B1282" s="138" t="s">
        <v>613</v>
      </c>
      <c r="C1282" s="4"/>
      <c r="D1282" s="5"/>
      <c r="E1282" s="5"/>
      <c r="F1282" s="5"/>
      <c r="G1282" s="12"/>
      <c r="H1282" s="9">
        <v>1</v>
      </c>
      <c r="I1282" s="9">
        <v>1</v>
      </c>
      <c r="J1282" s="9">
        <v>1</v>
      </c>
      <c r="K1282" s="9">
        <v>1</v>
      </c>
      <c r="L1282" s="9">
        <v>1</v>
      </c>
      <c r="M1282" s="9">
        <v>1</v>
      </c>
      <c r="N1282" s="9">
        <v>1</v>
      </c>
      <c r="O1282" s="267" t="s">
        <v>217</v>
      </c>
      <c r="P1282" s="245" t="s">
        <v>645</v>
      </c>
      <c r="Q1282" s="44"/>
      <c r="R1282" s="44"/>
    </row>
    <row r="1283" spans="1:18" ht="12.75" customHeight="1" x14ac:dyDescent="0.25">
      <c r="A1283" s="269"/>
      <c r="B1283" s="90" t="s">
        <v>88</v>
      </c>
      <c r="C1283" s="54"/>
      <c r="D1283" s="55"/>
      <c r="E1283" s="55"/>
      <c r="F1283" s="55"/>
      <c r="G1283" s="91"/>
      <c r="H1283" s="56">
        <f>ROUND(H1284/H1282,1)</f>
        <v>45243.8</v>
      </c>
      <c r="I1283" s="56" t="s">
        <v>229</v>
      </c>
      <c r="J1283" s="56" t="s">
        <v>229</v>
      </c>
      <c r="K1283" s="56" t="s">
        <v>229</v>
      </c>
      <c r="L1283" s="56" t="s">
        <v>229</v>
      </c>
      <c r="M1283" s="56">
        <f>ROUND(M1284/M1282,1)</f>
        <v>45349</v>
      </c>
      <c r="N1283" s="56">
        <f>ROUND(N1284/N1282,1)</f>
        <v>45457.7</v>
      </c>
      <c r="O1283" s="267"/>
      <c r="P1283" s="246"/>
      <c r="Q1283" s="48"/>
      <c r="R1283" s="48"/>
    </row>
    <row r="1284" spans="1:18" ht="12.75" customHeight="1" x14ac:dyDescent="0.25">
      <c r="A1284" s="269"/>
      <c r="B1284" s="90" t="s">
        <v>74</v>
      </c>
      <c r="C1284" s="54"/>
      <c r="D1284" s="55"/>
      <c r="E1284" s="55"/>
      <c r="F1284" s="55"/>
      <c r="G1284" s="91"/>
      <c r="H1284" s="56">
        <f t="shared" ref="H1284:N1284" si="458">SUM(H1285:H1289)</f>
        <v>45243.8</v>
      </c>
      <c r="I1284" s="56">
        <f t="shared" si="458"/>
        <v>4091.8</v>
      </c>
      <c r="J1284" s="56">
        <f t="shared" si="458"/>
        <v>5006.8</v>
      </c>
      <c r="K1284" s="56">
        <f t="shared" si="458"/>
        <v>5921.7</v>
      </c>
      <c r="L1284" s="56">
        <f t="shared" si="458"/>
        <v>30223.5</v>
      </c>
      <c r="M1284" s="56">
        <f t="shared" si="458"/>
        <v>45349</v>
      </c>
      <c r="N1284" s="56">
        <f t="shared" si="458"/>
        <v>45457.7</v>
      </c>
      <c r="O1284" s="267"/>
      <c r="P1284" s="246"/>
      <c r="Q1284" s="48"/>
      <c r="R1284" s="48"/>
    </row>
    <row r="1285" spans="1:18" ht="12.75" customHeight="1" x14ac:dyDescent="0.25">
      <c r="A1285" s="269"/>
      <c r="B1285" s="235" t="s">
        <v>16</v>
      </c>
      <c r="C1285" s="54">
        <v>136</v>
      </c>
      <c r="D1285" s="59" t="s">
        <v>233</v>
      </c>
      <c r="E1285" s="59" t="s">
        <v>235</v>
      </c>
      <c r="F1285" s="55" t="s">
        <v>306</v>
      </c>
      <c r="G1285" s="91">
        <v>621</v>
      </c>
      <c r="H1285" s="57">
        <f>I1285+J1285+K1285+L1285</f>
        <v>6043.8</v>
      </c>
      <c r="I1285" s="56">
        <v>1271.8</v>
      </c>
      <c r="J1285" s="56">
        <v>2126.8000000000002</v>
      </c>
      <c r="K1285" s="56">
        <v>1421.7</v>
      </c>
      <c r="L1285" s="56">
        <v>1223.5</v>
      </c>
      <c r="M1285" s="56">
        <v>6149</v>
      </c>
      <c r="N1285" s="56">
        <v>6257.7</v>
      </c>
      <c r="O1285" s="267"/>
      <c r="P1285" s="246"/>
      <c r="Q1285" s="48"/>
      <c r="R1285" s="48"/>
    </row>
    <row r="1286" spans="1:18" ht="12.75" customHeight="1" x14ac:dyDescent="0.25">
      <c r="A1286" s="269"/>
      <c r="B1286" s="237"/>
      <c r="C1286" s="54">
        <v>136</v>
      </c>
      <c r="D1286" s="59" t="s">
        <v>233</v>
      </c>
      <c r="E1286" s="59" t="s">
        <v>235</v>
      </c>
      <c r="F1286" s="55" t="s">
        <v>306</v>
      </c>
      <c r="G1286" s="91">
        <v>340</v>
      </c>
      <c r="H1286" s="57">
        <f>I1286+J1286+K1286+L1286</f>
        <v>39200</v>
      </c>
      <c r="I1286" s="56">
        <v>2820</v>
      </c>
      <c r="J1286" s="56">
        <v>2880</v>
      </c>
      <c r="K1286" s="56">
        <v>4500</v>
      </c>
      <c r="L1286" s="56">
        <v>29000</v>
      </c>
      <c r="M1286" s="56">
        <v>39200</v>
      </c>
      <c r="N1286" s="56">
        <v>39200</v>
      </c>
      <c r="O1286" s="267"/>
      <c r="P1286" s="246"/>
      <c r="Q1286" s="48"/>
      <c r="R1286" s="48"/>
    </row>
    <row r="1287" spans="1:18" ht="12.75" customHeight="1" x14ac:dyDescent="0.25">
      <c r="A1287" s="269"/>
      <c r="B1287" s="90" t="s">
        <v>14</v>
      </c>
      <c r="C1287" s="54"/>
      <c r="D1287" s="55"/>
      <c r="E1287" s="55"/>
      <c r="F1287" s="55"/>
      <c r="G1287" s="91"/>
      <c r="H1287" s="56">
        <f>I1287+J1287+K1287+L1287</f>
        <v>0</v>
      </c>
      <c r="I1287" s="56">
        <v>0</v>
      </c>
      <c r="J1287" s="56">
        <v>0</v>
      </c>
      <c r="K1287" s="56">
        <v>0</v>
      </c>
      <c r="L1287" s="56">
        <v>0</v>
      </c>
      <c r="M1287" s="56">
        <v>0</v>
      </c>
      <c r="N1287" s="56">
        <v>0</v>
      </c>
      <c r="O1287" s="267"/>
      <c r="P1287" s="246"/>
      <c r="Q1287" s="48"/>
      <c r="R1287" s="48"/>
    </row>
    <row r="1288" spans="1:18" ht="12.75" customHeight="1" x14ac:dyDescent="0.25">
      <c r="A1288" s="269"/>
      <c r="B1288" s="90" t="s">
        <v>15</v>
      </c>
      <c r="C1288" s="54"/>
      <c r="D1288" s="55"/>
      <c r="E1288" s="55"/>
      <c r="F1288" s="55"/>
      <c r="G1288" s="91"/>
      <c r="H1288" s="56">
        <f>I1288+J1288+K1288+L1288</f>
        <v>0</v>
      </c>
      <c r="I1288" s="56">
        <v>0</v>
      </c>
      <c r="J1288" s="56">
        <v>0</v>
      </c>
      <c r="K1288" s="56">
        <v>0</v>
      </c>
      <c r="L1288" s="56">
        <v>0</v>
      </c>
      <c r="M1288" s="56">
        <v>0</v>
      </c>
      <c r="N1288" s="56">
        <v>0</v>
      </c>
      <c r="O1288" s="267"/>
      <c r="P1288" s="246"/>
      <c r="Q1288" s="48"/>
      <c r="R1288" s="48"/>
    </row>
    <row r="1289" spans="1:18" ht="41.25" customHeight="1" x14ac:dyDescent="0.25">
      <c r="A1289" s="269"/>
      <c r="B1289" s="90" t="s">
        <v>12</v>
      </c>
      <c r="C1289" s="54"/>
      <c r="D1289" s="55"/>
      <c r="E1289" s="55"/>
      <c r="F1289" s="55"/>
      <c r="G1289" s="91"/>
      <c r="H1289" s="56">
        <f>I1289+J1289+K1289+L1289</f>
        <v>0</v>
      </c>
      <c r="I1289" s="56">
        <v>0</v>
      </c>
      <c r="J1289" s="56">
        <v>0</v>
      </c>
      <c r="K1289" s="56">
        <v>0</v>
      </c>
      <c r="L1289" s="56">
        <v>0</v>
      </c>
      <c r="M1289" s="56">
        <v>0</v>
      </c>
      <c r="N1289" s="56">
        <v>0</v>
      </c>
      <c r="O1289" s="267"/>
      <c r="P1289" s="247"/>
      <c r="Q1289" s="48"/>
      <c r="R1289" s="48"/>
    </row>
    <row r="1290" spans="1:18" ht="12.75" customHeight="1" x14ac:dyDescent="0.25">
      <c r="A1290" s="238" t="s">
        <v>354</v>
      </c>
      <c r="B1290" s="71" t="s">
        <v>112</v>
      </c>
      <c r="C1290" s="4"/>
      <c r="D1290" s="5"/>
      <c r="E1290" s="5"/>
      <c r="F1290" s="5"/>
      <c r="G1290" s="12"/>
      <c r="H1290" s="11">
        <v>228</v>
      </c>
      <c r="I1290" s="11">
        <v>228</v>
      </c>
      <c r="J1290" s="11">
        <v>228</v>
      </c>
      <c r="K1290" s="11">
        <v>228</v>
      </c>
      <c r="L1290" s="11">
        <v>228</v>
      </c>
      <c r="M1290" s="11">
        <v>228</v>
      </c>
      <c r="N1290" s="11">
        <v>228</v>
      </c>
      <c r="O1290" s="242" t="s">
        <v>380</v>
      </c>
      <c r="P1290" s="242" t="s">
        <v>176</v>
      </c>
      <c r="Q1290" s="48"/>
      <c r="R1290" s="48"/>
    </row>
    <row r="1291" spans="1:18" ht="12.75" customHeight="1" x14ac:dyDescent="0.25">
      <c r="A1291" s="239"/>
      <c r="B1291" s="71" t="s">
        <v>84</v>
      </c>
      <c r="C1291" s="4"/>
      <c r="D1291" s="5"/>
      <c r="E1291" s="5"/>
      <c r="F1291" s="5"/>
      <c r="G1291" s="12"/>
      <c r="H1291" s="9">
        <f t="shared" ref="H1291:N1291" si="459">ROUND(H1292/H1290,1)</f>
        <v>36</v>
      </c>
      <c r="I1291" s="9" t="s">
        <v>229</v>
      </c>
      <c r="J1291" s="9" t="s">
        <v>229</v>
      </c>
      <c r="K1291" s="9" t="s">
        <v>229</v>
      </c>
      <c r="L1291" s="9" t="s">
        <v>229</v>
      </c>
      <c r="M1291" s="9">
        <f t="shared" si="459"/>
        <v>36</v>
      </c>
      <c r="N1291" s="9">
        <f t="shared" si="459"/>
        <v>36</v>
      </c>
      <c r="O1291" s="243"/>
      <c r="P1291" s="243"/>
      <c r="Q1291" s="48"/>
      <c r="R1291" s="48"/>
    </row>
    <row r="1292" spans="1:18" ht="12.75" customHeight="1" x14ac:dyDescent="0.25">
      <c r="A1292" s="239"/>
      <c r="B1292" s="71" t="s">
        <v>74</v>
      </c>
      <c r="C1292" s="4"/>
      <c r="D1292" s="5"/>
      <c r="E1292" s="5"/>
      <c r="F1292" s="5"/>
      <c r="G1292" s="12"/>
      <c r="H1292" s="56">
        <f t="shared" ref="H1292:N1292" si="460">SUM(H1293:H1296)</f>
        <v>8208</v>
      </c>
      <c r="I1292" s="9">
        <f t="shared" si="460"/>
        <v>0</v>
      </c>
      <c r="J1292" s="9">
        <f t="shared" si="460"/>
        <v>3438</v>
      </c>
      <c r="K1292" s="9">
        <f t="shared" si="460"/>
        <v>1665</v>
      </c>
      <c r="L1292" s="9">
        <f t="shared" si="460"/>
        <v>3105</v>
      </c>
      <c r="M1292" s="9">
        <f t="shared" si="460"/>
        <v>8208</v>
      </c>
      <c r="N1292" s="9">
        <f t="shared" si="460"/>
        <v>8208</v>
      </c>
      <c r="O1292" s="243"/>
      <c r="P1292" s="243"/>
      <c r="Q1292" s="48"/>
      <c r="R1292" s="48"/>
    </row>
    <row r="1293" spans="1:18" ht="12.75" customHeight="1" x14ac:dyDescent="0.25">
      <c r="A1293" s="239"/>
      <c r="B1293" s="71" t="s">
        <v>16</v>
      </c>
      <c r="C1293" s="4">
        <v>136</v>
      </c>
      <c r="D1293" s="6" t="s">
        <v>233</v>
      </c>
      <c r="E1293" s="6" t="s">
        <v>235</v>
      </c>
      <c r="F1293" s="5" t="s">
        <v>257</v>
      </c>
      <c r="G1293" s="12">
        <v>340</v>
      </c>
      <c r="H1293" s="56">
        <f>I1293+J1293+K1293+L1293</f>
        <v>8208</v>
      </c>
      <c r="I1293" s="9">
        <v>0</v>
      </c>
      <c r="J1293" s="9">
        <v>3438</v>
      </c>
      <c r="K1293" s="9">
        <v>1665</v>
      </c>
      <c r="L1293" s="9">
        <v>3105</v>
      </c>
      <c r="M1293" s="9">
        <v>8208</v>
      </c>
      <c r="N1293" s="9">
        <v>8208</v>
      </c>
      <c r="O1293" s="243"/>
      <c r="P1293" s="243"/>
      <c r="Q1293" s="48"/>
      <c r="R1293" s="48"/>
    </row>
    <row r="1294" spans="1:18" ht="12.75" customHeight="1" x14ac:dyDescent="0.25">
      <c r="A1294" s="239"/>
      <c r="B1294" s="71" t="s">
        <v>14</v>
      </c>
      <c r="C1294" s="4"/>
      <c r="D1294" s="5"/>
      <c r="E1294" s="5"/>
      <c r="F1294" s="5"/>
      <c r="G1294" s="12"/>
      <c r="H1294" s="56">
        <f>I1294+J1294+K1294+L1294</f>
        <v>0</v>
      </c>
      <c r="I1294" s="9">
        <v>0</v>
      </c>
      <c r="J1294" s="9">
        <v>0</v>
      </c>
      <c r="K1294" s="9">
        <v>0</v>
      </c>
      <c r="L1294" s="9">
        <v>0</v>
      </c>
      <c r="M1294" s="9">
        <v>0</v>
      </c>
      <c r="N1294" s="9">
        <v>0</v>
      </c>
      <c r="O1294" s="243"/>
      <c r="P1294" s="243"/>
    </row>
    <row r="1295" spans="1:18" ht="12.75" customHeight="1" x14ac:dyDescent="0.25">
      <c r="A1295" s="239"/>
      <c r="B1295" s="71" t="s">
        <v>15</v>
      </c>
      <c r="C1295" s="4"/>
      <c r="D1295" s="5"/>
      <c r="E1295" s="5"/>
      <c r="F1295" s="5"/>
      <c r="G1295" s="12"/>
      <c r="H1295" s="56">
        <f>I1295+J1295+K1295+L1295</f>
        <v>0</v>
      </c>
      <c r="I1295" s="9">
        <v>0</v>
      </c>
      <c r="J1295" s="9">
        <v>0</v>
      </c>
      <c r="K1295" s="9">
        <v>0</v>
      </c>
      <c r="L1295" s="9">
        <v>0</v>
      </c>
      <c r="M1295" s="9">
        <v>0</v>
      </c>
      <c r="N1295" s="9">
        <v>0</v>
      </c>
      <c r="O1295" s="243"/>
      <c r="P1295" s="243"/>
    </row>
    <row r="1296" spans="1:18" ht="15.75" customHeight="1" x14ac:dyDescent="0.25">
      <c r="A1296" s="240"/>
      <c r="B1296" s="71" t="s">
        <v>12</v>
      </c>
      <c r="C1296" s="4"/>
      <c r="D1296" s="5"/>
      <c r="E1296" s="5"/>
      <c r="F1296" s="5"/>
      <c r="G1296" s="12"/>
      <c r="H1296" s="9">
        <f>I1296+J1296+K1296+L1296</f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244"/>
      <c r="P1296" s="244"/>
    </row>
    <row r="1297" spans="1:18" ht="12.75" customHeight="1" x14ac:dyDescent="0.25">
      <c r="A1297" s="238" t="s">
        <v>561</v>
      </c>
      <c r="B1297" s="163" t="s">
        <v>493</v>
      </c>
      <c r="C1297" s="4"/>
      <c r="D1297" s="5"/>
      <c r="E1297" s="5"/>
      <c r="F1297" s="5"/>
      <c r="G1297" s="12"/>
      <c r="H1297" s="9">
        <v>150</v>
      </c>
      <c r="I1297" s="9">
        <v>0</v>
      </c>
      <c r="J1297" s="9">
        <v>0</v>
      </c>
      <c r="K1297" s="9">
        <v>0</v>
      </c>
      <c r="L1297" s="9">
        <v>150</v>
      </c>
      <c r="M1297" s="9">
        <v>150</v>
      </c>
      <c r="N1297" s="9">
        <v>150</v>
      </c>
      <c r="O1297" s="242" t="s">
        <v>436</v>
      </c>
      <c r="P1297" s="242" t="s">
        <v>452</v>
      </c>
    </row>
    <row r="1298" spans="1:18" ht="12.75" customHeight="1" x14ac:dyDescent="0.25">
      <c r="A1298" s="239"/>
      <c r="B1298" s="162" t="s">
        <v>87</v>
      </c>
      <c r="C1298" s="4"/>
      <c r="D1298" s="5"/>
      <c r="E1298" s="5"/>
      <c r="F1298" s="5"/>
      <c r="G1298" s="12"/>
      <c r="H1298" s="56">
        <f>H1299/H1297</f>
        <v>60</v>
      </c>
      <c r="I1298" s="9" t="s">
        <v>229</v>
      </c>
      <c r="J1298" s="9" t="s">
        <v>229</v>
      </c>
      <c r="K1298" s="9" t="s">
        <v>229</v>
      </c>
      <c r="L1298" s="9" t="s">
        <v>229</v>
      </c>
      <c r="M1298" s="56">
        <f>M1299/M1297</f>
        <v>60</v>
      </c>
      <c r="N1298" s="56">
        <f>N1299/N1297</f>
        <v>60</v>
      </c>
      <c r="O1298" s="243"/>
      <c r="P1298" s="243"/>
    </row>
    <row r="1299" spans="1:18" ht="12.75" customHeight="1" x14ac:dyDescent="0.25">
      <c r="A1299" s="239"/>
      <c r="B1299" s="162" t="s">
        <v>74</v>
      </c>
      <c r="C1299" s="4"/>
      <c r="D1299" s="5"/>
      <c r="E1299" s="5"/>
      <c r="F1299" s="5"/>
      <c r="G1299" s="12"/>
      <c r="H1299" s="9">
        <f>SUM(H1300:H1303)</f>
        <v>9000</v>
      </c>
      <c r="I1299" s="9">
        <f t="shared" ref="I1299:N1299" si="461">SUM(I1300:I1303)</f>
        <v>0</v>
      </c>
      <c r="J1299" s="9">
        <f t="shared" si="461"/>
        <v>0</v>
      </c>
      <c r="K1299" s="9">
        <f t="shared" si="461"/>
        <v>0</v>
      </c>
      <c r="L1299" s="9">
        <f t="shared" si="461"/>
        <v>9000</v>
      </c>
      <c r="M1299" s="9">
        <f t="shared" si="461"/>
        <v>9000</v>
      </c>
      <c r="N1299" s="9">
        <f t="shared" si="461"/>
        <v>9000</v>
      </c>
      <c r="O1299" s="243"/>
      <c r="P1299" s="243"/>
    </row>
    <row r="1300" spans="1:18" ht="12.75" customHeight="1" x14ac:dyDescent="0.25">
      <c r="A1300" s="239"/>
      <c r="B1300" s="161" t="s">
        <v>16</v>
      </c>
      <c r="C1300" s="54">
        <v>136</v>
      </c>
      <c r="D1300" s="59" t="s">
        <v>233</v>
      </c>
      <c r="E1300" s="59" t="s">
        <v>235</v>
      </c>
      <c r="F1300" s="55" t="s">
        <v>435</v>
      </c>
      <c r="G1300" s="91">
        <v>340</v>
      </c>
      <c r="H1300" s="56">
        <f>H1307</f>
        <v>9000</v>
      </c>
      <c r="I1300" s="56">
        <f t="shared" ref="I1300:N1300" si="462">I1307</f>
        <v>0</v>
      </c>
      <c r="J1300" s="56">
        <f t="shared" si="462"/>
        <v>0</v>
      </c>
      <c r="K1300" s="56">
        <f t="shared" si="462"/>
        <v>0</v>
      </c>
      <c r="L1300" s="56">
        <f t="shared" si="462"/>
        <v>9000</v>
      </c>
      <c r="M1300" s="56">
        <f t="shared" si="462"/>
        <v>9000</v>
      </c>
      <c r="N1300" s="56">
        <f t="shared" si="462"/>
        <v>9000</v>
      </c>
      <c r="O1300" s="243"/>
      <c r="P1300" s="243"/>
    </row>
    <row r="1301" spans="1:18" ht="12.75" customHeight="1" x14ac:dyDescent="0.25">
      <c r="A1301" s="239"/>
      <c r="B1301" s="162" t="s">
        <v>14</v>
      </c>
      <c r="C1301" s="4"/>
      <c r="D1301" s="5"/>
      <c r="E1301" s="5"/>
      <c r="F1301" s="5"/>
      <c r="G1301" s="12"/>
      <c r="H1301" s="9">
        <f>H1308</f>
        <v>0</v>
      </c>
      <c r="I1301" s="9">
        <f t="shared" ref="I1301:N1301" si="463">I1308</f>
        <v>0</v>
      </c>
      <c r="J1301" s="9">
        <f t="shared" si="463"/>
        <v>0</v>
      </c>
      <c r="K1301" s="9">
        <f t="shared" si="463"/>
        <v>0</v>
      </c>
      <c r="L1301" s="9">
        <f t="shared" si="463"/>
        <v>0</v>
      </c>
      <c r="M1301" s="9">
        <f t="shared" si="463"/>
        <v>0</v>
      </c>
      <c r="N1301" s="9">
        <f t="shared" si="463"/>
        <v>0</v>
      </c>
      <c r="O1301" s="243"/>
      <c r="P1301" s="243"/>
    </row>
    <row r="1302" spans="1:18" ht="12.75" customHeight="1" x14ac:dyDescent="0.25">
      <c r="A1302" s="239"/>
      <c r="B1302" s="162" t="s">
        <v>15</v>
      </c>
      <c r="C1302" s="4"/>
      <c r="D1302" s="5"/>
      <c r="E1302" s="5"/>
      <c r="F1302" s="5"/>
      <c r="G1302" s="12"/>
      <c r="H1302" s="9">
        <f>H1309</f>
        <v>0</v>
      </c>
      <c r="I1302" s="9">
        <f t="shared" ref="I1302:N1302" si="464">I1309</f>
        <v>0</v>
      </c>
      <c r="J1302" s="9">
        <f t="shared" si="464"/>
        <v>0</v>
      </c>
      <c r="K1302" s="9">
        <f t="shared" si="464"/>
        <v>0</v>
      </c>
      <c r="L1302" s="9">
        <f t="shared" si="464"/>
        <v>0</v>
      </c>
      <c r="M1302" s="9">
        <f t="shared" si="464"/>
        <v>0</v>
      </c>
      <c r="N1302" s="9">
        <f t="shared" si="464"/>
        <v>0</v>
      </c>
      <c r="O1302" s="243"/>
      <c r="P1302" s="243"/>
    </row>
    <row r="1303" spans="1:18" ht="12.75" customHeight="1" x14ac:dyDescent="0.25">
      <c r="A1303" s="240"/>
      <c r="B1303" s="162" t="s">
        <v>12</v>
      </c>
      <c r="C1303" s="4"/>
      <c r="D1303" s="5"/>
      <c r="E1303" s="5"/>
      <c r="F1303" s="5"/>
      <c r="G1303" s="12"/>
      <c r="H1303" s="9">
        <f>H1310</f>
        <v>0</v>
      </c>
      <c r="I1303" s="9">
        <f t="shared" ref="I1303:N1303" si="465">I1310</f>
        <v>0</v>
      </c>
      <c r="J1303" s="9">
        <f t="shared" si="465"/>
        <v>0</v>
      </c>
      <c r="K1303" s="9">
        <f t="shared" si="465"/>
        <v>0</v>
      </c>
      <c r="L1303" s="9">
        <f t="shared" si="465"/>
        <v>0</v>
      </c>
      <c r="M1303" s="9">
        <f t="shared" si="465"/>
        <v>0</v>
      </c>
      <c r="N1303" s="9">
        <f t="shared" si="465"/>
        <v>0</v>
      </c>
      <c r="O1303" s="244"/>
      <c r="P1303" s="244"/>
    </row>
    <row r="1304" spans="1:18" x14ac:dyDescent="0.25">
      <c r="A1304" s="269" t="s">
        <v>562</v>
      </c>
      <c r="B1304" s="163" t="s">
        <v>493</v>
      </c>
      <c r="C1304" s="4"/>
      <c r="D1304" s="4"/>
      <c r="E1304" s="4"/>
      <c r="F1304" s="4"/>
      <c r="G1304" s="12"/>
      <c r="H1304" s="9">
        <v>150</v>
      </c>
      <c r="I1304" s="9">
        <v>0</v>
      </c>
      <c r="J1304" s="9">
        <v>0</v>
      </c>
      <c r="K1304" s="9">
        <v>0</v>
      </c>
      <c r="L1304" s="9">
        <v>150</v>
      </c>
      <c r="M1304" s="9">
        <v>150</v>
      </c>
      <c r="N1304" s="9">
        <v>150</v>
      </c>
      <c r="O1304" s="267" t="s">
        <v>436</v>
      </c>
      <c r="P1304" s="267" t="s">
        <v>595</v>
      </c>
      <c r="Q1304" s="36"/>
      <c r="R1304" s="36"/>
    </row>
    <row r="1305" spans="1:18" ht="26.4" x14ac:dyDescent="0.25">
      <c r="A1305" s="269"/>
      <c r="B1305" s="162" t="s">
        <v>87</v>
      </c>
      <c r="C1305" s="54"/>
      <c r="D1305" s="54"/>
      <c r="E1305" s="54"/>
      <c r="F1305" s="54"/>
      <c r="G1305" s="91"/>
      <c r="H1305" s="56">
        <f>H1306/H1304</f>
        <v>60</v>
      </c>
      <c r="I1305" s="9" t="s">
        <v>229</v>
      </c>
      <c r="J1305" s="9" t="s">
        <v>229</v>
      </c>
      <c r="K1305" s="9" t="s">
        <v>229</v>
      </c>
      <c r="L1305" s="9" t="s">
        <v>229</v>
      </c>
      <c r="M1305" s="56">
        <f>M1306/M1304</f>
        <v>60</v>
      </c>
      <c r="N1305" s="56">
        <f>N1306/N1304</f>
        <v>60</v>
      </c>
      <c r="O1305" s="267"/>
      <c r="P1305" s="267"/>
      <c r="Q1305" s="36"/>
      <c r="R1305" s="36"/>
    </row>
    <row r="1306" spans="1:18" x14ac:dyDescent="0.25">
      <c r="A1306" s="269"/>
      <c r="B1306" s="162" t="s">
        <v>74</v>
      </c>
      <c r="C1306" s="54"/>
      <c r="D1306" s="54"/>
      <c r="E1306" s="54"/>
      <c r="F1306" s="54"/>
      <c r="G1306" s="91"/>
      <c r="H1306" s="56">
        <f>I1306+J1306+K1306+L1306</f>
        <v>9000</v>
      </c>
      <c r="I1306" s="56">
        <v>0</v>
      </c>
      <c r="J1306" s="56">
        <v>0</v>
      </c>
      <c r="K1306" s="56">
        <v>0</v>
      </c>
      <c r="L1306" s="56">
        <v>9000</v>
      </c>
      <c r="M1306" s="56">
        <v>9000</v>
      </c>
      <c r="N1306" s="56">
        <v>9000</v>
      </c>
      <c r="O1306" s="267"/>
      <c r="P1306" s="267"/>
      <c r="Q1306" s="36"/>
      <c r="R1306" s="36"/>
    </row>
    <row r="1307" spans="1:18" x14ac:dyDescent="0.25">
      <c r="A1307" s="269"/>
      <c r="B1307" s="161" t="s">
        <v>16</v>
      </c>
      <c r="C1307" s="54">
        <v>136</v>
      </c>
      <c r="D1307" s="59" t="s">
        <v>233</v>
      </c>
      <c r="E1307" s="59" t="s">
        <v>235</v>
      </c>
      <c r="F1307" s="55" t="s">
        <v>435</v>
      </c>
      <c r="G1307" s="91">
        <v>340</v>
      </c>
      <c r="H1307" s="56">
        <f>I1307+J1307+K1307+L1307</f>
        <v>9000</v>
      </c>
      <c r="I1307" s="56">
        <v>0</v>
      </c>
      <c r="J1307" s="56">
        <v>0</v>
      </c>
      <c r="K1307" s="56">
        <v>0</v>
      </c>
      <c r="L1307" s="56">
        <v>9000</v>
      </c>
      <c r="M1307" s="56">
        <v>9000</v>
      </c>
      <c r="N1307" s="56">
        <v>9000</v>
      </c>
      <c r="O1307" s="267"/>
      <c r="P1307" s="267"/>
      <c r="Q1307" s="36"/>
      <c r="R1307" s="36"/>
    </row>
    <row r="1308" spans="1:18" x14ac:dyDescent="0.25">
      <c r="A1308" s="269"/>
      <c r="B1308" s="162" t="s">
        <v>14</v>
      </c>
      <c r="C1308" s="54"/>
      <c r="D1308" s="54"/>
      <c r="E1308" s="54"/>
      <c r="F1308" s="54"/>
      <c r="G1308" s="91"/>
      <c r="H1308" s="56">
        <f>I1308+J1308+K1308+L1308</f>
        <v>0</v>
      </c>
      <c r="I1308" s="9">
        <v>0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267"/>
      <c r="P1308" s="267"/>
      <c r="Q1308" s="36"/>
      <c r="R1308" s="36"/>
    </row>
    <row r="1309" spans="1:18" x14ac:dyDescent="0.25">
      <c r="A1309" s="269"/>
      <c r="B1309" s="162" t="s">
        <v>15</v>
      </c>
      <c r="C1309" s="54"/>
      <c r="D1309" s="54"/>
      <c r="E1309" s="54"/>
      <c r="F1309" s="54"/>
      <c r="G1309" s="91"/>
      <c r="H1309" s="56">
        <f>I1309+J1309+K1309+L1309</f>
        <v>0</v>
      </c>
      <c r="I1309" s="9">
        <v>0</v>
      </c>
      <c r="J1309" s="9">
        <v>0</v>
      </c>
      <c r="K1309" s="9">
        <v>0</v>
      </c>
      <c r="L1309" s="9">
        <v>0</v>
      </c>
      <c r="M1309" s="9">
        <v>0</v>
      </c>
      <c r="N1309" s="9">
        <v>0</v>
      </c>
      <c r="O1309" s="267"/>
      <c r="P1309" s="267"/>
      <c r="Q1309" s="36"/>
      <c r="R1309" s="36"/>
    </row>
    <row r="1310" spans="1:18" x14ac:dyDescent="0.25">
      <c r="A1310" s="269"/>
      <c r="B1310" s="162" t="s">
        <v>12</v>
      </c>
      <c r="C1310" s="54"/>
      <c r="D1310" s="54"/>
      <c r="E1310" s="54"/>
      <c r="F1310" s="54"/>
      <c r="G1310" s="91"/>
      <c r="H1310" s="56">
        <f>I1310+J1310+K1310+L1310</f>
        <v>0</v>
      </c>
      <c r="I1310" s="9">
        <v>0</v>
      </c>
      <c r="J1310" s="9">
        <v>0</v>
      </c>
      <c r="K1310" s="9">
        <v>0</v>
      </c>
      <c r="L1310" s="9">
        <v>0</v>
      </c>
      <c r="M1310" s="9">
        <v>0</v>
      </c>
      <c r="N1310" s="9">
        <v>0</v>
      </c>
      <c r="O1310" s="267"/>
      <c r="P1310" s="267"/>
      <c r="Q1310" s="36"/>
      <c r="R1310" s="36"/>
    </row>
    <row r="1311" spans="1:18" ht="12.75" customHeight="1" x14ac:dyDescent="0.25">
      <c r="A1311" s="286" t="s">
        <v>31</v>
      </c>
      <c r="B1311" s="93" t="s">
        <v>242</v>
      </c>
      <c r="C1311" s="94"/>
      <c r="D1311" s="95"/>
      <c r="E1311" s="95"/>
      <c r="F1311" s="95"/>
      <c r="G1311" s="212"/>
      <c r="H1311" s="96">
        <f t="shared" ref="H1311:N1311" si="466">H1312+H1313+H1314+H1315</f>
        <v>67501.8</v>
      </c>
      <c r="I1311" s="96">
        <f t="shared" si="466"/>
        <v>4091.8</v>
      </c>
      <c r="J1311" s="96">
        <f t="shared" si="466"/>
        <v>8444.7999999999993</v>
      </c>
      <c r="K1311" s="96">
        <f t="shared" si="466"/>
        <v>7586.7</v>
      </c>
      <c r="L1311" s="96">
        <f t="shared" si="466"/>
        <v>47378.5</v>
      </c>
      <c r="M1311" s="96">
        <f t="shared" si="466"/>
        <v>62557</v>
      </c>
      <c r="N1311" s="96">
        <f t="shared" si="466"/>
        <v>62665.7</v>
      </c>
      <c r="O1311" s="242"/>
      <c r="P1311" s="242"/>
    </row>
    <row r="1312" spans="1:18" x14ac:dyDescent="0.25">
      <c r="A1312" s="287"/>
      <c r="B1312" s="93" t="s">
        <v>7</v>
      </c>
      <c r="C1312" s="94"/>
      <c r="D1312" s="95"/>
      <c r="E1312" s="95"/>
      <c r="F1312" s="95"/>
      <c r="G1312" s="212"/>
      <c r="H1312" s="96">
        <f>H1267+H1268+H1269+H1270+H1271+H1300</f>
        <v>64774.8</v>
      </c>
      <c r="I1312" s="96">
        <f t="shared" ref="I1312:N1312" si="467">I1267+I1268+I1269+I1270+I1271+I1300</f>
        <v>4091.8</v>
      </c>
      <c r="J1312" s="96">
        <f t="shared" si="467"/>
        <v>8444.7999999999993</v>
      </c>
      <c r="K1312" s="96">
        <f t="shared" si="467"/>
        <v>7586.7</v>
      </c>
      <c r="L1312" s="96">
        <f t="shared" si="467"/>
        <v>44651.5</v>
      </c>
      <c r="M1312" s="96">
        <f t="shared" si="467"/>
        <v>62557</v>
      </c>
      <c r="N1312" s="96">
        <f t="shared" si="467"/>
        <v>62665.7</v>
      </c>
      <c r="O1312" s="243"/>
      <c r="P1312" s="243"/>
    </row>
    <row r="1313" spans="1:16" ht="12.75" customHeight="1" x14ac:dyDescent="0.25">
      <c r="A1313" s="287"/>
      <c r="B1313" s="93" t="s">
        <v>14</v>
      </c>
      <c r="C1313" s="94"/>
      <c r="D1313" s="95"/>
      <c r="E1313" s="95"/>
      <c r="F1313" s="95"/>
      <c r="G1313" s="212"/>
      <c r="H1313" s="96">
        <f>H1272</f>
        <v>2727</v>
      </c>
      <c r="I1313" s="96">
        <f t="shared" ref="I1313:N1313" si="468">I1272</f>
        <v>0</v>
      </c>
      <c r="J1313" s="96">
        <f t="shared" si="468"/>
        <v>0</v>
      </c>
      <c r="K1313" s="96">
        <f t="shared" si="468"/>
        <v>0</v>
      </c>
      <c r="L1313" s="96">
        <f t="shared" si="468"/>
        <v>2727</v>
      </c>
      <c r="M1313" s="96">
        <f t="shared" si="468"/>
        <v>0</v>
      </c>
      <c r="N1313" s="96">
        <f t="shared" si="468"/>
        <v>0</v>
      </c>
      <c r="O1313" s="243"/>
      <c r="P1313" s="243"/>
    </row>
    <row r="1314" spans="1:16" ht="12.75" customHeight="1" x14ac:dyDescent="0.25">
      <c r="A1314" s="287"/>
      <c r="B1314" s="93" t="s">
        <v>15</v>
      </c>
      <c r="C1314" s="94"/>
      <c r="D1314" s="95"/>
      <c r="E1314" s="95"/>
      <c r="F1314" s="95"/>
      <c r="G1314" s="212"/>
      <c r="H1314" s="96">
        <f>H1273+H1309</f>
        <v>0</v>
      </c>
      <c r="I1314" s="96">
        <f t="shared" ref="I1314:N1314" si="469">I1273+I1309</f>
        <v>0</v>
      </c>
      <c r="J1314" s="96">
        <f t="shared" si="469"/>
        <v>0</v>
      </c>
      <c r="K1314" s="96">
        <f t="shared" si="469"/>
        <v>0</v>
      </c>
      <c r="L1314" s="96">
        <f t="shared" si="469"/>
        <v>0</v>
      </c>
      <c r="M1314" s="96">
        <f t="shared" si="469"/>
        <v>0</v>
      </c>
      <c r="N1314" s="96">
        <f t="shared" si="469"/>
        <v>0</v>
      </c>
      <c r="O1314" s="243"/>
      <c r="P1314" s="243"/>
    </row>
    <row r="1315" spans="1:16" ht="12.75" customHeight="1" x14ac:dyDescent="0.25">
      <c r="A1315" s="288"/>
      <c r="B1315" s="93" t="s">
        <v>10</v>
      </c>
      <c r="C1315" s="94"/>
      <c r="D1315" s="95"/>
      <c r="E1315" s="95"/>
      <c r="F1315" s="95"/>
      <c r="G1315" s="212"/>
      <c r="H1315" s="96">
        <f>H1274+H1310</f>
        <v>0</v>
      </c>
      <c r="I1315" s="96">
        <f t="shared" ref="I1315:N1315" si="470">I1274+I1310</f>
        <v>0</v>
      </c>
      <c r="J1315" s="96">
        <f t="shared" si="470"/>
        <v>0</v>
      </c>
      <c r="K1315" s="96">
        <f t="shared" si="470"/>
        <v>0</v>
      </c>
      <c r="L1315" s="96">
        <f t="shared" si="470"/>
        <v>0</v>
      </c>
      <c r="M1315" s="96">
        <f t="shared" si="470"/>
        <v>0</v>
      </c>
      <c r="N1315" s="96">
        <f t="shared" si="470"/>
        <v>0</v>
      </c>
      <c r="O1315" s="244"/>
      <c r="P1315" s="244"/>
    </row>
    <row r="1316" spans="1:16" ht="19.5" customHeight="1" x14ac:dyDescent="0.25">
      <c r="A1316" s="258" t="s">
        <v>560</v>
      </c>
      <c r="B1316" s="260"/>
      <c r="C1316" s="260"/>
      <c r="D1316" s="260"/>
      <c r="E1316" s="260"/>
      <c r="F1316" s="260"/>
      <c r="G1316" s="260"/>
      <c r="H1316" s="260"/>
      <c r="I1316" s="260"/>
      <c r="J1316" s="260"/>
      <c r="K1316" s="260"/>
      <c r="L1316" s="260"/>
      <c r="M1316" s="260"/>
      <c r="N1316" s="260"/>
      <c r="O1316" s="260"/>
      <c r="P1316" s="261"/>
    </row>
    <row r="1317" spans="1:16" x14ac:dyDescent="0.25">
      <c r="A1317" s="241" t="s">
        <v>563</v>
      </c>
      <c r="B1317" s="183" t="s">
        <v>206</v>
      </c>
      <c r="C1317" s="4"/>
      <c r="D1317" s="5"/>
      <c r="E1317" s="5"/>
      <c r="F1317" s="5"/>
      <c r="G1317" s="12"/>
      <c r="H1317" s="9" t="s">
        <v>51</v>
      </c>
      <c r="I1317" s="9" t="s">
        <v>51</v>
      </c>
      <c r="J1317" s="9" t="s">
        <v>51</v>
      </c>
      <c r="K1317" s="9" t="s">
        <v>51</v>
      </c>
      <c r="L1317" s="9" t="s">
        <v>51</v>
      </c>
      <c r="M1317" s="9" t="s">
        <v>51</v>
      </c>
      <c r="N1317" s="9" t="s">
        <v>51</v>
      </c>
      <c r="O1317" s="268" t="s">
        <v>380</v>
      </c>
      <c r="P1317" s="268" t="s">
        <v>603</v>
      </c>
    </row>
    <row r="1318" spans="1:16" ht="12.75" customHeight="1" x14ac:dyDescent="0.25">
      <c r="A1318" s="241"/>
      <c r="B1318" s="147" t="s">
        <v>85</v>
      </c>
      <c r="C1318" s="4"/>
      <c r="D1318" s="5"/>
      <c r="E1318" s="5"/>
      <c r="F1318" s="5"/>
      <c r="G1318" s="12"/>
      <c r="H1318" s="9" t="s">
        <v>51</v>
      </c>
      <c r="I1318" s="9" t="s">
        <v>229</v>
      </c>
      <c r="J1318" s="9" t="s">
        <v>229</v>
      </c>
      <c r="K1318" s="9" t="s">
        <v>229</v>
      </c>
      <c r="L1318" s="9" t="s">
        <v>229</v>
      </c>
      <c r="M1318" s="9" t="s">
        <v>51</v>
      </c>
      <c r="N1318" s="9" t="s">
        <v>51</v>
      </c>
      <c r="O1318" s="268"/>
      <c r="P1318" s="268"/>
    </row>
    <row r="1319" spans="1:16" ht="12.75" customHeight="1" x14ac:dyDescent="0.25">
      <c r="A1319" s="241"/>
      <c r="B1319" s="147" t="s">
        <v>74</v>
      </c>
      <c r="C1319" s="4"/>
      <c r="D1319" s="5"/>
      <c r="E1319" s="5"/>
      <c r="F1319" s="5"/>
      <c r="G1319" s="12"/>
      <c r="H1319" s="9">
        <f>SUM(H1320:H1323)</f>
        <v>0</v>
      </c>
      <c r="I1319" s="9">
        <v>0</v>
      </c>
      <c r="J1319" s="9">
        <v>0</v>
      </c>
      <c r="K1319" s="9">
        <v>0</v>
      </c>
      <c r="L1319" s="9">
        <v>0</v>
      </c>
      <c r="M1319" s="9">
        <v>0</v>
      </c>
      <c r="N1319" s="9">
        <v>0</v>
      </c>
      <c r="O1319" s="268"/>
      <c r="P1319" s="268"/>
    </row>
    <row r="1320" spans="1:16" ht="42" customHeight="1" x14ac:dyDescent="0.25">
      <c r="A1320" s="241"/>
      <c r="B1320" s="146" t="s">
        <v>16</v>
      </c>
      <c r="C1320" s="4">
        <v>136</v>
      </c>
      <c r="D1320" s="6" t="s">
        <v>233</v>
      </c>
      <c r="E1320" s="6" t="s">
        <v>235</v>
      </c>
      <c r="F1320" s="4" t="s">
        <v>533</v>
      </c>
      <c r="G1320" s="12">
        <v>613</v>
      </c>
      <c r="H1320" s="345" t="s">
        <v>577</v>
      </c>
      <c r="I1320" s="346"/>
      <c r="J1320" s="346"/>
      <c r="K1320" s="346"/>
      <c r="L1320" s="346"/>
      <c r="M1320" s="346"/>
      <c r="N1320" s="347"/>
      <c r="O1320" s="268"/>
      <c r="P1320" s="268"/>
    </row>
    <row r="1321" spans="1:16" ht="12.75" customHeight="1" x14ac:dyDescent="0.25">
      <c r="A1321" s="241"/>
      <c r="B1321" s="147" t="s">
        <v>14</v>
      </c>
      <c r="C1321" s="4"/>
      <c r="D1321" s="4"/>
      <c r="E1321" s="4"/>
      <c r="F1321" s="5"/>
      <c r="G1321" s="12"/>
      <c r="H1321" s="9">
        <f t="shared" ref="H1321:N1323" si="471">H1328</f>
        <v>0</v>
      </c>
      <c r="I1321" s="9">
        <f t="shared" si="471"/>
        <v>0</v>
      </c>
      <c r="J1321" s="9">
        <f t="shared" si="471"/>
        <v>0</v>
      </c>
      <c r="K1321" s="9">
        <f t="shared" si="471"/>
        <v>0</v>
      </c>
      <c r="L1321" s="9">
        <f t="shared" si="471"/>
        <v>0</v>
      </c>
      <c r="M1321" s="9">
        <f t="shared" si="471"/>
        <v>0</v>
      </c>
      <c r="N1321" s="9">
        <f t="shared" si="471"/>
        <v>0</v>
      </c>
      <c r="O1321" s="268"/>
      <c r="P1321" s="268"/>
    </row>
    <row r="1322" spans="1:16" ht="12.75" customHeight="1" x14ac:dyDescent="0.25">
      <c r="A1322" s="241"/>
      <c r="B1322" s="147" t="s">
        <v>15</v>
      </c>
      <c r="C1322" s="4"/>
      <c r="D1322" s="5"/>
      <c r="E1322" s="5"/>
      <c r="F1322" s="5"/>
      <c r="G1322" s="12"/>
      <c r="H1322" s="9">
        <f t="shared" si="471"/>
        <v>0</v>
      </c>
      <c r="I1322" s="9">
        <f t="shared" si="471"/>
        <v>0</v>
      </c>
      <c r="J1322" s="9">
        <f t="shared" si="471"/>
        <v>0</v>
      </c>
      <c r="K1322" s="9">
        <f t="shared" si="471"/>
        <v>0</v>
      </c>
      <c r="L1322" s="9">
        <f t="shared" si="471"/>
        <v>0</v>
      </c>
      <c r="M1322" s="9">
        <f t="shared" si="471"/>
        <v>0</v>
      </c>
      <c r="N1322" s="9">
        <f t="shared" si="471"/>
        <v>0</v>
      </c>
      <c r="O1322" s="268"/>
      <c r="P1322" s="268"/>
    </row>
    <row r="1323" spans="1:16" ht="60" customHeight="1" x14ac:dyDescent="0.25">
      <c r="A1323" s="241"/>
      <c r="B1323" s="147" t="s">
        <v>12</v>
      </c>
      <c r="C1323" s="4"/>
      <c r="D1323" s="5"/>
      <c r="E1323" s="5"/>
      <c r="F1323" s="5"/>
      <c r="G1323" s="12"/>
      <c r="H1323" s="9">
        <f t="shared" si="471"/>
        <v>0</v>
      </c>
      <c r="I1323" s="9">
        <f t="shared" si="471"/>
        <v>0</v>
      </c>
      <c r="J1323" s="9">
        <f t="shared" si="471"/>
        <v>0</v>
      </c>
      <c r="K1323" s="9">
        <f t="shared" si="471"/>
        <v>0</v>
      </c>
      <c r="L1323" s="9">
        <f t="shared" si="471"/>
        <v>0</v>
      </c>
      <c r="M1323" s="9">
        <f t="shared" si="471"/>
        <v>0</v>
      </c>
      <c r="N1323" s="9">
        <f t="shared" si="471"/>
        <v>0</v>
      </c>
      <c r="O1323" s="268"/>
      <c r="P1323" s="268"/>
    </row>
    <row r="1324" spans="1:16" ht="27" customHeight="1" x14ac:dyDescent="0.25">
      <c r="A1324" s="235" t="s">
        <v>602</v>
      </c>
      <c r="B1324" s="183" t="s">
        <v>615</v>
      </c>
      <c r="C1324" s="54"/>
      <c r="D1324" s="55"/>
      <c r="E1324" s="55"/>
      <c r="F1324" s="55"/>
      <c r="G1324" s="91"/>
      <c r="H1324" s="9" t="s">
        <v>51</v>
      </c>
      <c r="I1324" s="9" t="s">
        <v>51</v>
      </c>
      <c r="J1324" s="9" t="s">
        <v>51</v>
      </c>
      <c r="K1324" s="9" t="s">
        <v>51</v>
      </c>
      <c r="L1324" s="9" t="s">
        <v>51</v>
      </c>
      <c r="M1324" s="9" t="s">
        <v>51</v>
      </c>
      <c r="N1324" s="9" t="s">
        <v>51</v>
      </c>
      <c r="O1324" s="267" t="s">
        <v>380</v>
      </c>
      <c r="P1324" s="245" t="s">
        <v>618</v>
      </c>
    </row>
    <row r="1325" spans="1:16" ht="26.4" x14ac:dyDescent="0.25">
      <c r="A1325" s="237"/>
      <c r="B1325" s="168" t="s">
        <v>6</v>
      </c>
      <c r="C1325" s="54"/>
      <c r="D1325" s="55"/>
      <c r="E1325" s="55"/>
      <c r="F1325" s="55"/>
      <c r="G1325" s="91"/>
      <c r="H1325" s="9" t="s">
        <v>51</v>
      </c>
      <c r="I1325" s="56" t="s">
        <v>229</v>
      </c>
      <c r="J1325" s="56" t="s">
        <v>229</v>
      </c>
      <c r="K1325" s="56" t="s">
        <v>229</v>
      </c>
      <c r="L1325" s="56" t="s">
        <v>229</v>
      </c>
      <c r="M1325" s="9" t="s">
        <v>51</v>
      </c>
      <c r="N1325" s="9" t="s">
        <v>51</v>
      </c>
      <c r="O1325" s="267"/>
      <c r="P1325" s="246"/>
    </row>
    <row r="1326" spans="1:16" x14ac:dyDescent="0.25">
      <c r="A1326" s="237"/>
      <c r="B1326" s="168" t="s">
        <v>74</v>
      </c>
      <c r="C1326" s="54"/>
      <c r="D1326" s="55"/>
      <c r="E1326" s="55"/>
      <c r="F1326" s="55"/>
      <c r="G1326" s="91"/>
      <c r="H1326" s="56">
        <v>0</v>
      </c>
      <c r="I1326" s="56">
        <f t="shared" ref="I1326:N1326" si="472">I1327+I1328+I1329+I1330</f>
        <v>0</v>
      </c>
      <c r="J1326" s="56">
        <f t="shared" si="472"/>
        <v>0</v>
      </c>
      <c r="K1326" s="56">
        <f t="shared" si="472"/>
        <v>0</v>
      </c>
      <c r="L1326" s="56">
        <f t="shared" si="472"/>
        <v>0</v>
      </c>
      <c r="M1326" s="56">
        <f t="shared" si="472"/>
        <v>0</v>
      </c>
      <c r="N1326" s="56">
        <f t="shared" si="472"/>
        <v>0</v>
      </c>
      <c r="O1326" s="267"/>
      <c r="P1326" s="246"/>
    </row>
    <row r="1327" spans="1:16" ht="40.5" customHeight="1" x14ac:dyDescent="0.25">
      <c r="A1327" s="237"/>
      <c r="B1327" s="168" t="s">
        <v>534</v>
      </c>
      <c r="C1327" s="54">
        <v>136</v>
      </c>
      <c r="D1327" s="59" t="s">
        <v>233</v>
      </c>
      <c r="E1327" s="59" t="s">
        <v>235</v>
      </c>
      <c r="F1327" s="55" t="s">
        <v>533</v>
      </c>
      <c r="G1327" s="91">
        <v>613</v>
      </c>
      <c r="H1327" s="321" t="s">
        <v>577</v>
      </c>
      <c r="I1327" s="322"/>
      <c r="J1327" s="322"/>
      <c r="K1327" s="322"/>
      <c r="L1327" s="322"/>
      <c r="M1327" s="322"/>
      <c r="N1327" s="323"/>
      <c r="O1327" s="267"/>
      <c r="P1327" s="246"/>
    </row>
    <row r="1328" spans="1:16" x14ac:dyDescent="0.25">
      <c r="A1328" s="237"/>
      <c r="B1328" s="168" t="s">
        <v>8</v>
      </c>
      <c r="C1328" s="54"/>
      <c r="D1328" s="55"/>
      <c r="E1328" s="55"/>
      <c r="F1328" s="55"/>
      <c r="G1328" s="91"/>
      <c r="H1328" s="56">
        <f>I1328+J1328+K1328+L1328</f>
        <v>0</v>
      </c>
      <c r="I1328" s="56">
        <v>0</v>
      </c>
      <c r="J1328" s="56">
        <v>0</v>
      </c>
      <c r="K1328" s="56">
        <v>0</v>
      </c>
      <c r="L1328" s="56">
        <v>0</v>
      </c>
      <c r="M1328" s="56">
        <v>0</v>
      </c>
      <c r="N1328" s="56">
        <v>0</v>
      </c>
      <c r="O1328" s="267"/>
      <c r="P1328" s="246"/>
    </row>
    <row r="1329" spans="1:20" x14ac:dyDescent="0.25">
      <c r="A1329" s="237"/>
      <c r="B1329" s="168" t="s">
        <v>9</v>
      </c>
      <c r="C1329" s="54"/>
      <c r="D1329" s="55"/>
      <c r="E1329" s="55"/>
      <c r="F1329" s="55"/>
      <c r="G1329" s="91"/>
      <c r="H1329" s="56">
        <f>I1329+J1329+K1329+L1329</f>
        <v>0</v>
      </c>
      <c r="I1329" s="56">
        <v>0</v>
      </c>
      <c r="J1329" s="56">
        <v>0</v>
      </c>
      <c r="K1329" s="56">
        <v>0</v>
      </c>
      <c r="L1329" s="56">
        <v>0</v>
      </c>
      <c r="M1329" s="56">
        <v>0</v>
      </c>
      <c r="N1329" s="56">
        <v>0</v>
      </c>
      <c r="O1329" s="267"/>
      <c r="P1329" s="246"/>
    </row>
    <row r="1330" spans="1:20" ht="66.75" customHeight="1" x14ac:dyDescent="0.25">
      <c r="A1330" s="236"/>
      <c r="B1330" s="168" t="s">
        <v>12</v>
      </c>
      <c r="C1330" s="54"/>
      <c r="D1330" s="55"/>
      <c r="E1330" s="55"/>
      <c r="F1330" s="55"/>
      <c r="G1330" s="91"/>
      <c r="H1330" s="56">
        <f>I1330+J1330+K1330+L1330</f>
        <v>0</v>
      </c>
      <c r="I1330" s="56">
        <v>0</v>
      </c>
      <c r="J1330" s="56">
        <v>0</v>
      </c>
      <c r="K1330" s="56">
        <v>0</v>
      </c>
      <c r="L1330" s="56">
        <v>0</v>
      </c>
      <c r="M1330" s="56">
        <v>0</v>
      </c>
      <c r="N1330" s="56">
        <v>0</v>
      </c>
      <c r="O1330" s="267"/>
      <c r="P1330" s="247"/>
    </row>
    <row r="1331" spans="1:20" ht="12.75" customHeight="1" x14ac:dyDescent="0.25">
      <c r="A1331" s="286" t="s">
        <v>31</v>
      </c>
      <c r="B1331" s="93" t="s">
        <v>242</v>
      </c>
      <c r="C1331" s="94"/>
      <c r="D1331" s="95"/>
      <c r="E1331" s="95"/>
      <c r="F1331" s="95"/>
      <c r="G1331" s="212"/>
      <c r="H1331" s="96">
        <f t="shared" ref="H1331:N1331" si="473">H1332+H1333+H1334+H1335</f>
        <v>0</v>
      </c>
      <c r="I1331" s="96">
        <f t="shared" si="473"/>
        <v>0</v>
      </c>
      <c r="J1331" s="96">
        <f t="shared" si="473"/>
        <v>0</v>
      </c>
      <c r="K1331" s="96">
        <f t="shared" si="473"/>
        <v>0</v>
      </c>
      <c r="L1331" s="96">
        <f t="shared" si="473"/>
        <v>0</v>
      </c>
      <c r="M1331" s="96">
        <f t="shared" si="473"/>
        <v>0</v>
      </c>
      <c r="N1331" s="96">
        <f t="shared" si="473"/>
        <v>0</v>
      </c>
      <c r="O1331" s="242"/>
      <c r="P1331" s="242"/>
    </row>
    <row r="1332" spans="1:20" x14ac:dyDescent="0.25">
      <c r="A1332" s="287"/>
      <c r="B1332" s="93" t="s">
        <v>7</v>
      </c>
      <c r="C1332" s="94"/>
      <c r="D1332" s="95"/>
      <c r="E1332" s="95"/>
      <c r="F1332" s="95"/>
      <c r="G1332" s="212"/>
      <c r="H1332" s="96">
        <v>0</v>
      </c>
      <c r="I1332" s="96">
        <v>0</v>
      </c>
      <c r="J1332" s="96">
        <v>0</v>
      </c>
      <c r="K1332" s="96">
        <v>0</v>
      </c>
      <c r="L1332" s="96">
        <v>0</v>
      </c>
      <c r="M1332" s="96">
        <v>0</v>
      </c>
      <c r="N1332" s="96">
        <v>0</v>
      </c>
      <c r="O1332" s="243"/>
      <c r="P1332" s="243"/>
    </row>
    <row r="1333" spans="1:20" ht="12.75" customHeight="1" x14ac:dyDescent="0.25">
      <c r="A1333" s="287"/>
      <c r="B1333" s="93" t="s">
        <v>14</v>
      </c>
      <c r="C1333" s="94"/>
      <c r="D1333" s="95"/>
      <c r="E1333" s="95"/>
      <c r="F1333" s="95"/>
      <c r="G1333" s="212"/>
      <c r="H1333" s="96">
        <f>H1321</f>
        <v>0</v>
      </c>
      <c r="I1333" s="96">
        <f t="shared" ref="I1333:N1333" si="474">I1321</f>
        <v>0</v>
      </c>
      <c r="J1333" s="96">
        <f t="shared" si="474"/>
        <v>0</v>
      </c>
      <c r="K1333" s="96">
        <f t="shared" si="474"/>
        <v>0</v>
      </c>
      <c r="L1333" s="96">
        <f t="shared" si="474"/>
        <v>0</v>
      </c>
      <c r="M1333" s="96">
        <f t="shared" si="474"/>
        <v>0</v>
      </c>
      <c r="N1333" s="96">
        <f t="shared" si="474"/>
        <v>0</v>
      </c>
      <c r="O1333" s="243"/>
      <c r="P1333" s="243"/>
    </row>
    <row r="1334" spans="1:20" ht="12.75" customHeight="1" x14ac:dyDescent="0.25">
      <c r="A1334" s="287"/>
      <c r="B1334" s="93" t="s">
        <v>15</v>
      </c>
      <c r="C1334" s="94"/>
      <c r="D1334" s="95"/>
      <c r="E1334" s="95"/>
      <c r="F1334" s="95"/>
      <c r="G1334" s="212"/>
      <c r="H1334" s="96">
        <f t="shared" ref="H1334:N1334" si="475">H1273</f>
        <v>0</v>
      </c>
      <c r="I1334" s="96">
        <f t="shared" si="475"/>
        <v>0</v>
      </c>
      <c r="J1334" s="96">
        <f t="shared" si="475"/>
        <v>0</v>
      </c>
      <c r="K1334" s="96">
        <f t="shared" si="475"/>
        <v>0</v>
      </c>
      <c r="L1334" s="96">
        <f t="shared" si="475"/>
        <v>0</v>
      </c>
      <c r="M1334" s="96">
        <f t="shared" si="475"/>
        <v>0</v>
      </c>
      <c r="N1334" s="96">
        <f t="shared" si="475"/>
        <v>0</v>
      </c>
      <c r="O1334" s="243"/>
      <c r="P1334" s="243"/>
    </row>
    <row r="1335" spans="1:20" ht="12.75" customHeight="1" x14ac:dyDescent="0.25">
      <c r="A1335" s="288"/>
      <c r="B1335" s="93" t="s">
        <v>10</v>
      </c>
      <c r="C1335" s="94"/>
      <c r="D1335" s="95"/>
      <c r="E1335" s="95"/>
      <c r="F1335" s="95"/>
      <c r="G1335" s="212"/>
      <c r="H1335" s="96">
        <f>H1323</f>
        <v>0</v>
      </c>
      <c r="I1335" s="96">
        <f t="shared" ref="I1335:N1335" si="476">I1274</f>
        <v>0</v>
      </c>
      <c r="J1335" s="96">
        <f t="shared" si="476"/>
        <v>0</v>
      </c>
      <c r="K1335" s="96">
        <f t="shared" si="476"/>
        <v>0</v>
      </c>
      <c r="L1335" s="96">
        <f t="shared" si="476"/>
        <v>0</v>
      </c>
      <c r="M1335" s="96">
        <f t="shared" si="476"/>
        <v>0</v>
      </c>
      <c r="N1335" s="96">
        <f t="shared" si="476"/>
        <v>0</v>
      </c>
      <c r="O1335" s="244"/>
      <c r="P1335" s="244"/>
    </row>
    <row r="1336" spans="1:20" ht="12.75" customHeight="1" x14ac:dyDescent="0.25">
      <c r="A1336" s="286" t="s">
        <v>32</v>
      </c>
      <c r="B1336" s="93" t="s">
        <v>242</v>
      </c>
      <c r="C1336" s="94"/>
      <c r="D1336" s="95"/>
      <c r="E1336" s="95"/>
      <c r="F1336" s="95"/>
      <c r="G1336" s="212"/>
      <c r="H1336" s="96">
        <f>SUM(H1337:H1340)</f>
        <v>67797.8</v>
      </c>
      <c r="I1336" s="96">
        <f t="shared" ref="I1336:N1336" si="477">SUM(I1337:I1340)</f>
        <v>4091.8</v>
      </c>
      <c r="J1336" s="96">
        <f t="shared" si="477"/>
        <v>8444.7999999999993</v>
      </c>
      <c r="K1336" s="96">
        <f t="shared" si="477"/>
        <v>7586.7</v>
      </c>
      <c r="L1336" s="96">
        <f t="shared" si="477"/>
        <v>47674.5</v>
      </c>
      <c r="M1336" s="96">
        <f t="shared" si="477"/>
        <v>68557</v>
      </c>
      <c r="N1336" s="96">
        <f t="shared" si="477"/>
        <v>68665.7</v>
      </c>
      <c r="O1336" s="334"/>
      <c r="P1336" s="286"/>
    </row>
    <row r="1337" spans="1:20" ht="12.75" customHeight="1" x14ac:dyDescent="0.25">
      <c r="A1337" s="287"/>
      <c r="B1337" s="93" t="s">
        <v>13</v>
      </c>
      <c r="C1337" s="94"/>
      <c r="D1337" s="95"/>
      <c r="E1337" s="95"/>
      <c r="F1337" s="95"/>
      <c r="G1337" s="212"/>
      <c r="H1337" s="96">
        <f>H1259+H1312+H1332</f>
        <v>65070.8</v>
      </c>
      <c r="I1337" s="96">
        <f t="shared" ref="I1337:N1337" si="478">I1259+I1312+I1332</f>
        <v>4091.8</v>
      </c>
      <c r="J1337" s="96">
        <f t="shared" si="478"/>
        <v>8444.7999999999993</v>
      </c>
      <c r="K1337" s="96">
        <f t="shared" si="478"/>
        <v>7586.7</v>
      </c>
      <c r="L1337" s="96">
        <f t="shared" si="478"/>
        <v>44947.5</v>
      </c>
      <c r="M1337" s="96">
        <f t="shared" si="478"/>
        <v>68557</v>
      </c>
      <c r="N1337" s="96">
        <f t="shared" si="478"/>
        <v>68665.7</v>
      </c>
      <c r="O1337" s="335"/>
      <c r="P1337" s="287"/>
    </row>
    <row r="1338" spans="1:20" ht="15" customHeight="1" x14ac:dyDescent="0.25">
      <c r="A1338" s="287"/>
      <c r="B1338" s="93" t="s">
        <v>14</v>
      </c>
      <c r="C1338" s="94"/>
      <c r="D1338" s="95"/>
      <c r="E1338" s="95"/>
      <c r="F1338" s="95"/>
      <c r="G1338" s="212"/>
      <c r="H1338" s="96">
        <f>H1260+H1313+H1333</f>
        <v>2727</v>
      </c>
      <c r="I1338" s="96">
        <f t="shared" ref="I1338:N1338" si="479">I1260+I1313+I1333</f>
        <v>0</v>
      </c>
      <c r="J1338" s="96">
        <f t="shared" si="479"/>
        <v>0</v>
      </c>
      <c r="K1338" s="96">
        <f t="shared" si="479"/>
        <v>0</v>
      </c>
      <c r="L1338" s="96">
        <f t="shared" si="479"/>
        <v>2727</v>
      </c>
      <c r="M1338" s="96">
        <f t="shared" si="479"/>
        <v>0</v>
      </c>
      <c r="N1338" s="96">
        <f t="shared" si="479"/>
        <v>0</v>
      </c>
      <c r="O1338" s="335"/>
      <c r="P1338" s="287"/>
    </row>
    <row r="1339" spans="1:20" ht="12.75" customHeight="1" x14ac:dyDescent="0.25">
      <c r="A1339" s="287"/>
      <c r="B1339" s="93" t="s">
        <v>15</v>
      </c>
      <c r="C1339" s="94"/>
      <c r="D1339" s="95"/>
      <c r="E1339" s="95"/>
      <c r="F1339" s="95"/>
      <c r="G1339" s="212"/>
      <c r="H1339" s="96">
        <f t="shared" ref="H1339:N1340" si="480">H1261+H1334</f>
        <v>0</v>
      </c>
      <c r="I1339" s="96">
        <f t="shared" si="480"/>
        <v>0</v>
      </c>
      <c r="J1339" s="96">
        <f t="shared" si="480"/>
        <v>0</v>
      </c>
      <c r="K1339" s="96">
        <f t="shared" si="480"/>
        <v>0</v>
      </c>
      <c r="L1339" s="96">
        <f t="shared" si="480"/>
        <v>0</v>
      </c>
      <c r="M1339" s="96">
        <f t="shared" si="480"/>
        <v>0</v>
      </c>
      <c r="N1339" s="96">
        <f t="shared" si="480"/>
        <v>0</v>
      </c>
      <c r="O1339" s="335"/>
      <c r="P1339" s="287"/>
    </row>
    <row r="1340" spans="1:20" ht="12.75" customHeight="1" x14ac:dyDescent="0.25">
      <c r="A1340" s="288"/>
      <c r="B1340" s="93" t="s">
        <v>12</v>
      </c>
      <c r="C1340" s="94"/>
      <c r="D1340" s="95"/>
      <c r="E1340" s="95"/>
      <c r="F1340" s="95"/>
      <c r="G1340" s="212"/>
      <c r="H1340" s="96">
        <f t="shared" si="480"/>
        <v>0</v>
      </c>
      <c r="I1340" s="96">
        <f t="shared" si="480"/>
        <v>0</v>
      </c>
      <c r="J1340" s="96">
        <f t="shared" si="480"/>
        <v>0</v>
      </c>
      <c r="K1340" s="96">
        <f t="shared" si="480"/>
        <v>0</v>
      </c>
      <c r="L1340" s="96">
        <f t="shared" si="480"/>
        <v>0</v>
      </c>
      <c r="M1340" s="96">
        <f t="shared" si="480"/>
        <v>0</v>
      </c>
      <c r="N1340" s="96">
        <f t="shared" si="480"/>
        <v>0</v>
      </c>
      <c r="O1340" s="336"/>
      <c r="P1340" s="288"/>
    </row>
    <row r="1341" spans="1:20" ht="12.75" customHeight="1" x14ac:dyDescent="0.25">
      <c r="A1341" s="325" t="s">
        <v>34</v>
      </c>
      <c r="B1341" s="120" t="s">
        <v>242</v>
      </c>
      <c r="C1341" s="122"/>
      <c r="D1341" s="123"/>
      <c r="E1341" s="123"/>
      <c r="F1341" s="165"/>
      <c r="G1341" s="215"/>
      <c r="H1341" s="124">
        <f>SUM(H1342:H1345)</f>
        <v>39361273.103779994</v>
      </c>
      <c r="I1341" s="124">
        <f t="shared" ref="I1341:N1341" si="481">SUM(I1342:I1345)</f>
        <v>7635244.5335799986</v>
      </c>
      <c r="J1341" s="124">
        <f t="shared" si="481"/>
        <v>11208292.397350002</v>
      </c>
      <c r="K1341" s="124">
        <f t="shared" si="481"/>
        <v>7966095.1027100021</v>
      </c>
      <c r="L1341" s="124">
        <f t="shared" si="481"/>
        <v>12551641.07014</v>
      </c>
      <c r="M1341" s="124">
        <f t="shared" si="481"/>
        <v>36283465.200000003</v>
      </c>
      <c r="N1341" s="124">
        <f t="shared" si="481"/>
        <v>35511002.799999997</v>
      </c>
      <c r="O1341" s="326"/>
      <c r="P1341" s="268"/>
      <c r="S1341" s="37"/>
    </row>
    <row r="1342" spans="1:20" x14ac:dyDescent="0.25">
      <c r="A1342" s="325"/>
      <c r="B1342" s="120" t="s">
        <v>13</v>
      </c>
      <c r="C1342" s="98"/>
      <c r="D1342" s="99"/>
      <c r="E1342" s="99"/>
      <c r="F1342" s="166"/>
      <c r="G1342" s="211"/>
      <c r="H1342" s="121">
        <f>H759+H925+H1229+H1337</f>
        <v>35457946.216479994</v>
      </c>
      <c r="I1342" s="121">
        <f t="shared" ref="H1342:N1345" si="482">I759+I925+I1229+I1337</f>
        <v>7422078.8335799985</v>
      </c>
      <c r="J1342" s="121">
        <f t="shared" si="482"/>
        <v>10460243.170050003</v>
      </c>
      <c r="K1342" s="121">
        <f t="shared" si="482"/>
        <v>6931075.2492000014</v>
      </c>
      <c r="L1342" s="121">
        <f t="shared" si="482"/>
        <v>10644548.963649999</v>
      </c>
      <c r="M1342" s="121">
        <f t="shared" si="482"/>
        <v>34722701.5</v>
      </c>
      <c r="N1342" s="121">
        <f t="shared" si="482"/>
        <v>34725631.199999996</v>
      </c>
      <c r="O1342" s="327"/>
      <c r="P1342" s="268"/>
      <c r="S1342" s="229"/>
      <c r="T1342" s="229"/>
    </row>
    <row r="1343" spans="1:20" x14ac:dyDescent="0.25">
      <c r="A1343" s="325"/>
      <c r="B1343" s="120" t="s">
        <v>14</v>
      </c>
      <c r="C1343" s="98"/>
      <c r="D1343" s="99"/>
      <c r="E1343" s="99"/>
      <c r="F1343" s="166"/>
      <c r="G1343" s="211"/>
      <c r="H1343" s="121">
        <f t="shared" si="482"/>
        <v>3659923.8873000001</v>
      </c>
      <c r="I1343" s="121">
        <f t="shared" si="482"/>
        <v>205100</v>
      </c>
      <c r="J1343" s="121">
        <f t="shared" si="482"/>
        <v>736353.82729999989</v>
      </c>
      <c r="K1343" s="121">
        <f t="shared" si="482"/>
        <v>885804.7835100001</v>
      </c>
      <c r="L1343" s="121">
        <f t="shared" si="482"/>
        <v>1832665.2764900003</v>
      </c>
      <c r="M1343" s="121">
        <f t="shared" si="482"/>
        <v>1418867.0999999999</v>
      </c>
      <c r="N1343" s="121">
        <f t="shared" si="482"/>
        <v>663941.69999999995</v>
      </c>
      <c r="O1343" s="327"/>
      <c r="P1343" s="268"/>
      <c r="S1343" s="229"/>
      <c r="T1343" s="229"/>
    </row>
    <row r="1344" spans="1:20" x14ac:dyDescent="0.25">
      <c r="A1344" s="325"/>
      <c r="B1344" s="120" t="s">
        <v>15</v>
      </c>
      <c r="C1344" s="98"/>
      <c r="D1344" s="99"/>
      <c r="E1344" s="99"/>
      <c r="F1344" s="166"/>
      <c r="G1344" s="211"/>
      <c r="H1344" s="121">
        <f t="shared" si="482"/>
        <v>235599.00000000003</v>
      </c>
      <c r="I1344" s="121">
        <f t="shared" si="482"/>
        <v>8065.7</v>
      </c>
      <c r="J1344" s="121">
        <f t="shared" si="482"/>
        <v>11695.4</v>
      </c>
      <c r="K1344" s="121">
        <f t="shared" si="482"/>
        <v>149215.07</v>
      </c>
      <c r="L1344" s="121">
        <f t="shared" si="482"/>
        <v>66622.83</v>
      </c>
      <c r="M1344" s="121">
        <f t="shared" si="482"/>
        <v>141896.6</v>
      </c>
      <c r="N1344" s="121">
        <f t="shared" si="482"/>
        <v>121429.90000000001</v>
      </c>
      <c r="O1344" s="327"/>
      <c r="P1344" s="268"/>
      <c r="S1344" s="229"/>
      <c r="T1344" s="229"/>
    </row>
    <row r="1345" spans="1:20" x14ac:dyDescent="0.25">
      <c r="A1345" s="325"/>
      <c r="B1345" s="120" t="s">
        <v>12</v>
      </c>
      <c r="C1345" s="98"/>
      <c r="D1345" s="99"/>
      <c r="E1345" s="99"/>
      <c r="F1345" s="99"/>
      <c r="G1345" s="211"/>
      <c r="H1345" s="121">
        <f t="shared" si="482"/>
        <v>7804</v>
      </c>
      <c r="I1345" s="121">
        <f t="shared" si="482"/>
        <v>0</v>
      </c>
      <c r="J1345" s="121">
        <f t="shared" si="482"/>
        <v>0</v>
      </c>
      <c r="K1345" s="121">
        <f t="shared" si="482"/>
        <v>0</v>
      </c>
      <c r="L1345" s="121">
        <f t="shared" si="482"/>
        <v>7804</v>
      </c>
      <c r="M1345" s="121">
        <f t="shared" si="482"/>
        <v>0</v>
      </c>
      <c r="N1345" s="121">
        <f t="shared" si="482"/>
        <v>0</v>
      </c>
      <c r="O1345" s="328"/>
      <c r="P1345" s="268"/>
      <c r="S1345" s="229"/>
      <c r="T1345" s="229"/>
    </row>
    <row r="1346" spans="1:20" s="34" customFormat="1" ht="13.35" hidden="1" customHeight="1" x14ac:dyDescent="0.25">
      <c r="A1346" s="19"/>
      <c r="B1346" s="16" t="s">
        <v>40</v>
      </c>
      <c r="C1346" s="17"/>
      <c r="D1346" s="18"/>
      <c r="E1346" s="18"/>
      <c r="F1346" s="18"/>
      <c r="G1346" s="204"/>
      <c r="H1346" s="176">
        <f t="shared" ref="H1346:N1346" si="483">H1348-H1341</f>
        <v>-2.5279998779296875E-2</v>
      </c>
      <c r="I1346" s="176">
        <f t="shared" si="483"/>
        <v>0</v>
      </c>
      <c r="J1346" s="176">
        <f t="shared" si="483"/>
        <v>0</v>
      </c>
      <c r="K1346" s="176">
        <f t="shared" si="483"/>
        <v>0</v>
      </c>
      <c r="L1346" s="176">
        <f>L1348-L1341</f>
        <v>0</v>
      </c>
      <c r="M1346" s="176">
        <f t="shared" si="483"/>
        <v>0</v>
      </c>
      <c r="N1346" s="176">
        <f t="shared" si="483"/>
        <v>0</v>
      </c>
      <c r="O1346" s="20"/>
      <c r="P1346" s="23"/>
    </row>
    <row r="1347" spans="1:20" s="34" customFormat="1" ht="13.35" hidden="1" customHeight="1" x14ac:dyDescent="0.25">
      <c r="A1347" s="19"/>
      <c r="B1347" s="16"/>
      <c r="C1347" s="17"/>
      <c r="D1347" s="18"/>
      <c r="E1347" s="18"/>
      <c r="F1347" s="18"/>
      <c r="G1347" s="204"/>
      <c r="H1347" s="176"/>
      <c r="I1347" s="176"/>
      <c r="J1347" s="176"/>
      <c r="K1347" s="176"/>
      <c r="L1347" s="176"/>
      <c r="M1347" s="176"/>
      <c r="N1347" s="176"/>
      <c r="O1347" s="20"/>
      <c r="P1347" s="23"/>
    </row>
    <row r="1348" spans="1:20" s="34" customFormat="1" ht="13.35" hidden="1" customHeight="1" x14ac:dyDescent="0.25">
      <c r="A1348" s="16"/>
      <c r="B1348" s="42" t="s">
        <v>40</v>
      </c>
      <c r="C1348" s="4"/>
      <c r="D1348" s="5"/>
      <c r="E1348" s="5"/>
      <c r="F1348" s="111"/>
      <c r="G1348" s="12"/>
      <c r="H1348" s="9">
        <f>H1349+H1358+H1364+H1366+H1367+H1368+H1369+H1370+H1371+H1372+H1373+H1374+H1375+H1365</f>
        <v>39361273.078499995</v>
      </c>
      <c r="I1348" s="9">
        <f t="shared" ref="I1348:N1348" si="484">I1349+I1358+I1364+I1366+I1367+I1368+I1369+I1370+I1371+I1372+I1373+I1374+I1375+I1365</f>
        <v>7635244.5335799996</v>
      </c>
      <c r="J1348" s="9">
        <f t="shared" si="484"/>
        <v>11208292.397349998</v>
      </c>
      <c r="K1348" s="9">
        <f t="shared" si="484"/>
        <v>7966095.1027100002</v>
      </c>
      <c r="L1348" s="9">
        <f t="shared" si="484"/>
        <v>12551641.070139999</v>
      </c>
      <c r="M1348" s="9">
        <f t="shared" si="484"/>
        <v>36283465.199999996</v>
      </c>
      <c r="N1348" s="9">
        <f t="shared" si="484"/>
        <v>35511002.800000004</v>
      </c>
      <c r="O1348" s="3" t="s">
        <v>215</v>
      </c>
      <c r="P1348" s="43" t="s">
        <v>250</v>
      </c>
      <c r="Q1348" s="44"/>
      <c r="R1348" s="44"/>
      <c r="S1348" s="44" t="s">
        <v>251</v>
      </c>
    </row>
    <row r="1349" spans="1:20" s="34" customFormat="1" ht="13.35" hidden="1" customHeight="1" x14ac:dyDescent="0.25">
      <c r="A1349" s="16"/>
      <c r="B1349" s="45" t="s">
        <v>56</v>
      </c>
      <c r="C1349" s="24">
        <v>136</v>
      </c>
      <c r="D1349" s="5"/>
      <c r="E1349" s="5"/>
      <c r="F1349" s="111"/>
      <c r="G1349" s="213"/>
      <c r="H1349" s="27">
        <f>SUM(H1350:H1357)</f>
        <v>30936705.1785</v>
      </c>
      <c r="I1349" s="27">
        <f t="shared" ref="I1349:N1349" si="485">SUM(I1350:I1357)</f>
        <v>6738758.4612299995</v>
      </c>
      <c r="J1349" s="27">
        <f t="shared" si="485"/>
        <v>9340867.1884199977</v>
      </c>
      <c r="K1349" s="27">
        <f t="shared" si="485"/>
        <v>5631017.9432000006</v>
      </c>
      <c r="L1349" s="27">
        <f t="shared" si="485"/>
        <v>9226061.5856499989</v>
      </c>
      <c r="M1349" s="27">
        <f t="shared" si="485"/>
        <v>31535288.999999996</v>
      </c>
      <c r="N1349" s="27">
        <f t="shared" si="485"/>
        <v>33067314.199999999</v>
      </c>
      <c r="O1349" s="2">
        <f>SUM(O1350:O1357)</f>
        <v>31127458.600000001</v>
      </c>
      <c r="P1349" s="43">
        <f>H1349+H1358-O1349</f>
        <v>-2.1500002592802048E-2</v>
      </c>
      <c r="Q1349" s="44"/>
      <c r="R1349" s="44"/>
      <c r="S1349" s="46" t="e">
        <f>N1349-#REF!</f>
        <v>#REF!</v>
      </c>
    </row>
    <row r="1350" spans="1:20" s="34" customFormat="1" ht="13.35" hidden="1" customHeight="1" x14ac:dyDescent="0.25">
      <c r="A1350" s="16"/>
      <c r="B1350" s="45"/>
      <c r="C1350" s="110">
        <v>136</v>
      </c>
      <c r="D1350" s="55" t="s">
        <v>35</v>
      </c>
      <c r="E1350" s="55" t="s">
        <v>232</v>
      </c>
      <c r="F1350" s="111"/>
      <c r="G1350" s="210"/>
      <c r="H1350" s="177">
        <f t="shared" ref="H1350:N1350" si="486">H56+H57+H58+H92+H93+H318+H396++H435+H94</f>
        <v>9848486.4784999993</v>
      </c>
      <c r="I1350" s="177">
        <f t="shared" si="486"/>
        <v>2166045.6999999997</v>
      </c>
      <c r="J1350" s="177">
        <f t="shared" si="486"/>
        <v>2807471.6</v>
      </c>
      <c r="K1350" s="177">
        <f t="shared" si="486"/>
        <v>1956071.04174</v>
      </c>
      <c r="L1350" s="177">
        <f t="shared" si="486"/>
        <v>2918898.1367600001</v>
      </c>
      <c r="M1350" s="177">
        <f t="shared" si="486"/>
        <v>9613133</v>
      </c>
      <c r="N1350" s="177">
        <f t="shared" si="486"/>
        <v>10117774.100000001</v>
      </c>
      <c r="O1350" s="2">
        <v>10001420.6</v>
      </c>
      <c r="P1350" s="43">
        <f>H1350+H1359-O1350</f>
        <v>-2.1500000730156898E-2</v>
      </c>
      <c r="Q1350" s="44"/>
      <c r="R1350" s="44"/>
      <c r="S1350" s="46" t="e">
        <f>N1350-#REF!</f>
        <v>#REF!</v>
      </c>
    </row>
    <row r="1351" spans="1:20" s="34" customFormat="1" ht="13.35" hidden="1" customHeight="1" x14ac:dyDescent="0.25">
      <c r="A1351" s="16"/>
      <c r="B1351" s="45"/>
      <c r="C1351" s="24">
        <v>136</v>
      </c>
      <c r="D1351" s="55" t="s">
        <v>36</v>
      </c>
      <c r="E1351" s="55" t="s">
        <v>234</v>
      </c>
      <c r="F1351" s="111"/>
      <c r="G1351" s="210"/>
      <c r="H1351" s="177">
        <f t="shared" ref="H1351:N1351" si="487">H162+H163+H319+H320+H322+H323+H324+H331+H332+H397+H432+H434+H436+H485+H561+H562+H856</f>
        <v>18298440.899999999</v>
      </c>
      <c r="I1351" s="177">
        <f t="shared" si="487"/>
        <v>4082266.5000000005</v>
      </c>
      <c r="J1351" s="177">
        <f t="shared" si="487"/>
        <v>5985307.5999999996</v>
      </c>
      <c r="K1351" s="177">
        <f t="shared" si="487"/>
        <v>2877726.2806099998</v>
      </c>
      <c r="L1351" s="177">
        <f t="shared" si="487"/>
        <v>5353140.51939</v>
      </c>
      <c r="M1351" s="177">
        <f t="shared" si="487"/>
        <v>19328403.699999996</v>
      </c>
      <c r="N1351" s="177">
        <f t="shared" si="487"/>
        <v>20338838.5</v>
      </c>
      <c r="O1351" s="58">
        <v>18303738.899999999</v>
      </c>
      <c r="P1351" s="43">
        <f>H1351+H1360-O1351</f>
        <v>0</v>
      </c>
      <c r="Q1351" s="44"/>
      <c r="R1351" s="44"/>
      <c r="S1351" s="46" t="e">
        <f>N1351-#REF!</f>
        <v>#REF!</v>
      </c>
    </row>
    <row r="1352" spans="1:20" s="34" customFormat="1" ht="13.35" hidden="1" customHeight="1" x14ac:dyDescent="0.25">
      <c r="A1352" s="16"/>
      <c r="B1352" s="45"/>
      <c r="C1352" s="24">
        <v>136</v>
      </c>
      <c r="D1352" s="55" t="s">
        <v>188</v>
      </c>
      <c r="E1352" s="55" t="s">
        <v>238</v>
      </c>
      <c r="F1352" s="111"/>
      <c r="G1352" s="213"/>
      <c r="H1352" s="177">
        <f t="shared" ref="H1352:N1352" si="488">H326+H327+H437+H686+H687+H689+H1111</f>
        <v>155973.5</v>
      </c>
      <c r="I1352" s="177">
        <f t="shared" si="488"/>
        <v>34380.300000000003</v>
      </c>
      <c r="J1352" s="177">
        <f t="shared" si="488"/>
        <v>33927.599999999999</v>
      </c>
      <c r="K1352" s="177">
        <f t="shared" si="488"/>
        <v>30176.899999999998</v>
      </c>
      <c r="L1352" s="177">
        <f t="shared" si="488"/>
        <v>57488.700000000004</v>
      </c>
      <c r="M1352" s="177">
        <f t="shared" si="488"/>
        <v>163259</v>
      </c>
      <c r="N1352" s="177">
        <f t="shared" si="488"/>
        <v>171126.5</v>
      </c>
      <c r="O1352" s="2">
        <v>156987.5</v>
      </c>
      <c r="P1352" s="43">
        <f>H1352+H1361-O1352</f>
        <v>0</v>
      </c>
      <c r="Q1352" s="44"/>
      <c r="R1352" s="44"/>
      <c r="S1352" s="46" t="e">
        <f>N1352-#REF!</f>
        <v>#REF!</v>
      </c>
    </row>
    <row r="1353" spans="1:20" s="34" customFormat="1" ht="13.35" hidden="1" customHeight="1" x14ac:dyDescent="0.25">
      <c r="A1353" s="16"/>
      <c r="B1353" s="45"/>
      <c r="C1353" s="24">
        <v>136</v>
      </c>
      <c r="D1353" s="55" t="s">
        <v>39</v>
      </c>
      <c r="E1353" s="55"/>
      <c r="F1353" s="111"/>
      <c r="G1353" s="210"/>
      <c r="H1353" s="177"/>
      <c r="I1353" s="177"/>
      <c r="J1353" s="177"/>
      <c r="K1353" s="177"/>
      <c r="L1353" s="177"/>
      <c r="M1353" s="177"/>
      <c r="N1353" s="177"/>
      <c r="O1353" s="2"/>
      <c r="P1353" s="43">
        <f>H1353-O1353</f>
        <v>0</v>
      </c>
      <c r="Q1353" s="44"/>
      <c r="R1353" s="44"/>
      <c r="S1353" s="46" t="e">
        <f>N1353-#REF!</f>
        <v>#REF!</v>
      </c>
    </row>
    <row r="1354" spans="1:20" s="34" customFormat="1" ht="13.35" hidden="1" customHeight="1" x14ac:dyDescent="0.25">
      <c r="A1354" s="47"/>
      <c r="B1354" s="45"/>
      <c r="C1354" s="24">
        <v>136</v>
      </c>
      <c r="D1354" s="55" t="s">
        <v>38</v>
      </c>
      <c r="E1354" s="55" t="s">
        <v>239</v>
      </c>
      <c r="F1354" s="112"/>
      <c r="G1354" s="91"/>
      <c r="H1354" s="177">
        <f t="shared" ref="H1354:N1354" si="489">H770+H1267+H798</f>
        <v>72347.600000000006</v>
      </c>
      <c r="I1354" s="177">
        <f t="shared" si="489"/>
        <v>15400</v>
      </c>
      <c r="J1354" s="177">
        <f t="shared" si="489"/>
        <v>25314</v>
      </c>
      <c r="K1354" s="177">
        <f t="shared" si="489"/>
        <v>12710</v>
      </c>
      <c r="L1354" s="177">
        <f t="shared" si="489"/>
        <v>18923.600000000002</v>
      </c>
      <c r="M1354" s="177">
        <f t="shared" si="489"/>
        <v>66853.600000000006</v>
      </c>
      <c r="N1354" s="177">
        <f t="shared" si="489"/>
        <v>68443.899999999994</v>
      </c>
      <c r="O1354" s="2">
        <v>75074.600000000006</v>
      </c>
      <c r="P1354" s="43">
        <f>H1354+H1362-O1354</f>
        <v>0</v>
      </c>
      <c r="Q1354" s="44"/>
      <c r="R1354" s="44"/>
      <c r="S1354" s="46" t="e">
        <f>N1354-#REF!</f>
        <v>#REF!</v>
      </c>
    </row>
    <row r="1355" spans="1:20" s="34" customFormat="1" ht="13.35" hidden="1" customHeight="1" x14ac:dyDescent="0.25">
      <c r="A1355" s="16"/>
      <c r="B1355" s="45"/>
      <c r="C1355" s="24">
        <v>136</v>
      </c>
      <c r="D1355" s="5" t="s">
        <v>37</v>
      </c>
      <c r="E1355" s="88" t="s">
        <v>235</v>
      </c>
      <c r="F1355" s="111"/>
      <c r="G1355" s="216"/>
      <c r="H1355" s="231">
        <f t="shared" ref="H1355:N1355" si="490">H672+H156+H157+H158+H159+H160+H161+H238+H239+H240+H291+H325+H328+H418+H482+H483+H484+H563+H564+H565+H735+H840+H936+H937+H938+H939+H970+H971+H998+H999+H1000+H1039+H1040+H1042+H1146+H1147+H1169+H1170+H1212+H1240+H1268+H1269+H1270+H1110+H854+H855+H857+H1300+H819+H698</f>
        <v>1178299.1999999997</v>
      </c>
      <c r="I1355" s="178">
        <f t="shared" si="490"/>
        <v>83701.544999999998</v>
      </c>
      <c r="J1355" s="178">
        <f t="shared" si="490"/>
        <v>128502.63499999999</v>
      </c>
      <c r="K1355" s="178">
        <f t="shared" si="490"/>
        <v>539636.59049999993</v>
      </c>
      <c r="L1355" s="178">
        <f t="shared" si="490"/>
        <v>426458.42950000003</v>
      </c>
      <c r="M1355" s="178">
        <f t="shared" si="490"/>
        <v>902492.9</v>
      </c>
      <c r="N1355" s="178">
        <f t="shared" si="490"/>
        <v>909984.39999999991</v>
      </c>
      <c r="O1355" s="65">
        <v>1207079.5</v>
      </c>
      <c r="P1355" s="230">
        <f>H1355+H1363-O1355</f>
        <v>0</v>
      </c>
      <c r="Q1355" s="44"/>
      <c r="R1355" s="44"/>
      <c r="S1355" s="89" t="e">
        <f>N1355-#REF!</f>
        <v>#REF!</v>
      </c>
    </row>
    <row r="1356" spans="1:20" s="34" customFormat="1" ht="13.35" hidden="1" customHeight="1" x14ac:dyDescent="0.25">
      <c r="A1356" s="16"/>
      <c r="B1356" s="45"/>
      <c r="C1356" s="24">
        <v>136</v>
      </c>
      <c r="D1356" s="55" t="s">
        <v>44</v>
      </c>
      <c r="E1356" s="55" t="s">
        <v>238</v>
      </c>
      <c r="F1356" s="112"/>
      <c r="G1356" s="91"/>
      <c r="H1356" s="177">
        <f t="shared" ref="H1356:N1356" si="491">H321+H818</f>
        <v>1382447.2</v>
      </c>
      <c r="I1356" s="56">
        <f t="shared" si="491"/>
        <v>356841.61622999999</v>
      </c>
      <c r="J1356" s="56">
        <f t="shared" si="491"/>
        <v>360194.55342000001</v>
      </c>
      <c r="K1356" s="56">
        <f t="shared" si="491"/>
        <v>214515.33035</v>
      </c>
      <c r="L1356" s="56">
        <f t="shared" si="491"/>
        <v>450895.7</v>
      </c>
      <c r="M1356" s="56">
        <f t="shared" si="491"/>
        <v>1460436.5</v>
      </c>
      <c r="N1356" s="56">
        <f t="shared" si="491"/>
        <v>1460436.5</v>
      </c>
      <c r="O1356" s="2">
        <v>1382447.2</v>
      </c>
      <c r="P1356" s="43">
        <f>H1356-O1356</f>
        <v>0</v>
      </c>
      <c r="Q1356" s="44"/>
      <c r="R1356" s="44"/>
      <c r="S1356" s="46" t="e">
        <f>N1356-#REF!</f>
        <v>#REF!</v>
      </c>
    </row>
    <row r="1357" spans="1:20" s="34" customFormat="1" ht="13.35" hidden="1" customHeight="1" x14ac:dyDescent="0.25">
      <c r="A1357" s="16"/>
      <c r="B1357" s="45"/>
      <c r="C1357" s="24">
        <v>136</v>
      </c>
      <c r="D1357" s="55" t="s">
        <v>252</v>
      </c>
      <c r="E1357" s="55" t="s">
        <v>240</v>
      </c>
      <c r="F1357" s="112"/>
      <c r="G1357" s="91"/>
      <c r="H1357" s="177">
        <f t="shared" ref="H1357:N1357" si="492">H329+H330</f>
        <v>710.3</v>
      </c>
      <c r="I1357" s="177">
        <f t="shared" si="492"/>
        <v>122.8</v>
      </c>
      <c r="J1357" s="177">
        <f t="shared" si="492"/>
        <v>149.20000000000002</v>
      </c>
      <c r="K1357" s="177">
        <f t="shared" si="492"/>
        <v>181.79999999999998</v>
      </c>
      <c r="L1357" s="177">
        <f t="shared" si="492"/>
        <v>256.5</v>
      </c>
      <c r="M1357" s="177">
        <f t="shared" si="492"/>
        <v>710.3</v>
      </c>
      <c r="N1357" s="177">
        <f t="shared" si="492"/>
        <v>710.3</v>
      </c>
      <c r="O1357" s="2">
        <v>710.3</v>
      </c>
      <c r="P1357" s="43">
        <f>H1357-O1357</f>
        <v>0</v>
      </c>
      <c r="Q1357" s="44"/>
      <c r="R1357" s="44"/>
      <c r="S1357" s="46" t="e">
        <f>N1357-#REF!</f>
        <v>#REF!</v>
      </c>
    </row>
    <row r="1358" spans="1:20" s="34" customFormat="1" ht="13.35" hidden="1" customHeight="1" x14ac:dyDescent="0.25">
      <c r="A1358" s="16"/>
      <c r="B1358" s="45" t="s">
        <v>177</v>
      </c>
      <c r="C1358" s="24">
        <v>136</v>
      </c>
      <c r="D1358" s="55"/>
      <c r="E1358" s="55"/>
      <c r="F1358" s="112"/>
      <c r="G1358" s="91"/>
      <c r="H1358" s="177">
        <f>H1359+H1360+H1361+H1362+H1363</f>
        <v>190753.40000000002</v>
      </c>
      <c r="I1358" s="177">
        <f t="shared" ref="I1358:N1358" si="493">I1359+I1360+I1361+I1362+I1363</f>
        <v>0</v>
      </c>
      <c r="J1358" s="177">
        <f t="shared" si="493"/>
        <v>13334.1</v>
      </c>
      <c r="K1358" s="177">
        <f t="shared" si="493"/>
        <v>7552.6835100000008</v>
      </c>
      <c r="L1358" s="177">
        <f t="shared" si="493"/>
        <v>169866.61649000001</v>
      </c>
      <c r="M1358" s="177">
        <f t="shared" si="493"/>
        <v>0</v>
      </c>
      <c r="N1358" s="177">
        <f t="shared" si="493"/>
        <v>0</v>
      </c>
      <c r="O1358" s="2"/>
      <c r="P1358" s="43"/>
      <c r="Q1358" s="44"/>
      <c r="R1358" s="44"/>
      <c r="S1358" s="46" t="e">
        <f>N1358-#REF!</f>
        <v>#REF!</v>
      </c>
    </row>
    <row r="1359" spans="1:20" s="34" customFormat="1" ht="13.35" hidden="1" customHeight="1" x14ac:dyDescent="0.25">
      <c r="A1359" s="16"/>
      <c r="B1359" s="45"/>
      <c r="C1359" s="24"/>
      <c r="D1359" s="55" t="s">
        <v>35</v>
      </c>
      <c r="E1359" s="55" t="s">
        <v>232</v>
      </c>
      <c r="F1359" s="112"/>
      <c r="G1359" s="91"/>
      <c r="H1359" s="177">
        <f t="shared" ref="H1359:N1359" si="494">H100+H439+H101</f>
        <v>152934.1</v>
      </c>
      <c r="I1359" s="56">
        <f t="shared" si="494"/>
        <v>0</v>
      </c>
      <c r="J1359" s="56">
        <f t="shared" si="494"/>
        <v>0</v>
      </c>
      <c r="K1359" s="56">
        <f t="shared" si="494"/>
        <v>1114.25226</v>
      </c>
      <c r="L1359" s="56">
        <f t="shared" si="494"/>
        <v>151819.84774</v>
      </c>
      <c r="M1359" s="56">
        <f t="shared" si="494"/>
        <v>0</v>
      </c>
      <c r="N1359" s="56">
        <f t="shared" si="494"/>
        <v>0</v>
      </c>
      <c r="O1359" s="2"/>
      <c r="P1359" s="43"/>
      <c r="Q1359" s="44"/>
      <c r="R1359" s="44"/>
      <c r="S1359" s="46"/>
    </row>
    <row r="1360" spans="1:20" s="34" customFormat="1" ht="13.35" hidden="1" customHeight="1" x14ac:dyDescent="0.25">
      <c r="A1360" s="16"/>
      <c r="B1360" s="45"/>
      <c r="C1360" s="24"/>
      <c r="D1360" s="55" t="s">
        <v>36</v>
      </c>
      <c r="E1360" s="55" t="s">
        <v>234</v>
      </c>
      <c r="F1360" s="112"/>
      <c r="G1360" s="91"/>
      <c r="H1360" s="177">
        <f t="shared" ref="H1360:N1360" si="495">H438+H440+H489+H566+H567</f>
        <v>5298</v>
      </c>
      <c r="I1360" s="56">
        <f t="shared" si="495"/>
        <v>0</v>
      </c>
      <c r="J1360" s="56">
        <f t="shared" si="495"/>
        <v>0</v>
      </c>
      <c r="K1360" s="56">
        <f t="shared" si="495"/>
        <v>1419.9312500000001</v>
      </c>
      <c r="L1360" s="56">
        <f t="shared" si="495"/>
        <v>3878.0687500000004</v>
      </c>
      <c r="M1360" s="56">
        <f t="shared" si="495"/>
        <v>0</v>
      </c>
      <c r="N1360" s="56">
        <f t="shared" si="495"/>
        <v>0</v>
      </c>
      <c r="O1360" s="2"/>
      <c r="P1360" s="43"/>
      <c r="Q1360" s="44"/>
      <c r="R1360" s="44"/>
      <c r="S1360" s="46" t="e">
        <f>N1360-#REF!</f>
        <v>#REF!</v>
      </c>
    </row>
    <row r="1361" spans="1:19" s="34" customFormat="1" ht="13.35" hidden="1" customHeight="1" x14ac:dyDescent="0.25">
      <c r="A1361" s="16"/>
      <c r="B1361" s="45"/>
      <c r="C1361" s="24"/>
      <c r="D1361" s="55" t="s">
        <v>188</v>
      </c>
      <c r="E1361" s="55" t="s">
        <v>238</v>
      </c>
      <c r="F1361" s="112"/>
      <c r="G1361" s="91"/>
      <c r="H1361" s="56">
        <f t="shared" ref="H1361:N1361" si="496">H441</f>
        <v>1014</v>
      </c>
      <c r="I1361" s="56">
        <f t="shared" si="496"/>
        <v>0</v>
      </c>
      <c r="J1361" s="56">
        <f t="shared" si="496"/>
        <v>0</v>
      </c>
      <c r="K1361" s="56">
        <f t="shared" si="496"/>
        <v>1014</v>
      </c>
      <c r="L1361" s="56">
        <f t="shared" si="496"/>
        <v>0</v>
      </c>
      <c r="M1361" s="56">
        <f t="shared" si="496"/>
        <v>0</v>
      </c>
      <c r="N1361" s="56">
        <f t="shared" si="496"/>
        <v>0</v>
      </c>
      <c r="O1361" s="2"/>
      <c r="P1361" s="43"/>
      <c r="Q1361" s="44"/>
      <c r="R1361" s="44"/>
      <c r="S1361" s="46"/>
    </row>
    <row r="1362" spans="1:19" s="34" customFormat="1" ht="13.35" hidden="1" customHeight="1" x14ac:dyDescent="0.25">
      <c r="A1362" s="16"/>
      <c r="B1362" s="45"/>
      <c r="C1362" s="24"/>
      <c r="D1362" s="55" t="s">
        <v>38</v>
      </c>
      <c r="E1362" s="55" t="s">
        <v>239</v>
      </c>
      <c r="F1362" s="112"/>
      <c r="G1362" s="91"/>
      <c r="H1362" s="56">
        <f>H1338</f>
        <v>2727</v>
      </c>
      <c r="I1362" s="56">
        <f t="shared" ref="I1362:N1362" si="497">I1338</f>
        <v>0</v>
      </c>
      <c r="J1362" s="56">
        <f t="shared" si="497"/>
        <v>0</v>
      </c>
      <c r="K1362" s="56">
        <f t="shared" si="497"/>
        <v>0</v>
      </c>
      <c r="L1362" s="56">
        <f t="shared" si="497"/>
        <v>2727</v>
      </c>
      <c r="M1362" s="56">
        <f t="shared" si="497"/>
        <v>0</v>
      </c>
      <c r="N1362" s="56">
        <f t="shared" si="497"/>
        <v>0</v>
      </c>
      <c r="O1362" s="2"/>
      <c r="P1362" s="43"/>
      <c r="Q1362" s="44"/>
      <c r="R1362" s="44"/>
      <c r="S1362" s="46" t="e">
        <f>N1362-#REF!</f>
        <v>#REF!</v>
      </c>
    </row>
    <row r="1363" spans="1:19" s="34" customFormat="1" ht="13.35" hidden="1" customHeight="1" x14ac:dyDescent="0.25">
      <c r="A1363" s="16"/>
      <c r="B1363" s="45"/>
      <c r="C1363" s="24"/>
      <c r="D1363" s="55" t="s">
        <v>37</v>
      </c>
      <c r="E1363" s="55" t="s">
        <v>235</v>
      </c>
      <c r="F1363" s="112"/>
      <c r="G1363" s="91"/>
      <c r="H1363" s="57">
        <f t="shared" ref="H1363:N1363" si="498">H486+H487+H488+H568+H569+H570</f>
        <v>28780.300000000003</v>
      </c>
      <c r="I1363" s="57">
        <f t="shared" si="498"/>
        <v>0</v>
      </c>
      <c r="J1363" s="57">
        <f t="shared" si="498"/>
        <v>13334.1</v>
      </c>
      <c r="K1363" s="57">
        <f t="shared" si="498"/>
        <v>4004.5000000000005</v>
      </c>
      <c r="L1363" s="57">
        <f t="shared" si="498"/>
        <v>11441.7</v>
      </c>
      <c r="M1363" s="57">
        <f t="shared" si="498"/>
        <v>0</v>
      </c>
      <c r="N1363" s="57">
        <f t="shared" si="498"/>
        <v>0</v>
      </c>
      <c r="O1363" s="2"/>
      <c r="P1363" s="43"/>
      <c r="Q1363" s="44"/>
      <c r="R1363" s="44"/>
      <c r="S1363" s="46" t="e">
        <f>N1363-#REF!</f>
        <v>#REF!</v>
      </c>
    </row>
    <row r="1364" spans="1:19" s="34" customFormat="1" ht="13.35" hidden="1" customHeight="1" x14ac:dyDescent="0.25">
      <c r="A1364" s="16"/>
      <c r="B1364" s="45" t="s">
        <v>57</v>
      </c>
      <c r="C1364" s="24">
        <v>136</v>
      </c>
      <c r="D1364" s="55"/>
      <c r="E1364" s="55"/>
      <c r="F1364" s="112"/>
      <c r="G1364" s="91"/>
      <c r="H1364" s="56">
        <f t="shared" ref="H1364:N1364" si="499">H61+H102+H166+H167+H293+H334+H399+H420+H442+H477+H490+H571+H737+H772+H786+H821+H842+H942+H973+H1003+H1044+H1149+H1172+H1214+H1242+H1273</f>
        <v>135209.40000000002</v>
      </c>
      <c r="I1364" s="56">
        <f t="shared" si="499"/>
        <v>0</v>
      </c>
      <c r="J1364" s="56">
        <f t="shared" si="499"/>
        <v>1825</v>
      </c>
      <c r="K1364" s="56">
        <f t="shared" si="499"/>
        <v>96435.37000000001</v>
      </c>
      <c r="L1364" s="56">
        <f t="shared" si="499"/>
        <v>36949.03</v>
      </c>
      <c r="M1364" s="56">
        <f t="shared" si="499"/>
        <v>116573.9</v>
      </c>
      <c r="N1364" s="56">
        <f t="shared" si="499"/>
        <v>116473.9</v>
      </c>
      <c r="O1364" s="2"/>
      <c r="P1364" s="43"/>
      <c r="Q1364" s="44"/>
      <c r="R1364" s="44"/>
      <c r="S1364" s="46" t="e">
        <f>N1364-#REF!</f>
        <v>#REF!</v>
      </c>
    </row>
    <row r="1365" spans="1:19" s="34" customFormat="1" ht="13.35" hidden="1" customHeight="1" x14ac:dyDescent="0.25">
      <c r="A1365" s="16"/>
      <c r="B1365" s="45" t="s">
        <v>447</v>
      </c>
      <c r="C1365" s="24">
        <v>136</v>
      </c>
      <c r="D1365" s="55"/>
      <c r="E1365" s="55"/>
      <c r="F1365" s="112"/>
      <c r="G1365" s="91"/>
      <c r="H1365" s="56">
        <f t="shared" ref="H1365:N1365" si="500">H675</f>
        <v>7804</v>
      </c>
      <c r="I1365" s="56">
        <f t="shared" si="500"/>
        <v>0</v>
      </c>
      <c r="J1365" s="56">
        <f t="shared" si="500"/>
        <v>0</v>
      </c>
      <c r="K1365" s="56">
        <f t="shared" si="500"/>
        <v>0</v>
      </c>
      <c r="L1365" s="56">
        <f t="shared" si="500"/>
        <v>7804</v>
      </c>
      <c r="M1365" s="56">
        <f t="shared" si="500"/>
        <v>0</v>
      </c>
      <c r="N1365" s="56">
        <f t="shared" si="500"/>
        <v>0</v>
      </c>
      <c r="O1365" s="2">
        <v>7804</v>
      </c>
      <c r="P1365" s="43">
        <f>H1365-O1365</f>
        <v>0</v>
      </c>
      <c r="Q1365" s="44"/>
      <c r="R1365" s="44"/>
      <c r="S1365" s="46"/>
    </row>
    <row r="1366" spans="1:19" s="34" customFormat="1" ht="13.35" hidden="1" customHeight="1" x14ac:dyDescent="0.25">
      <c r="A1366" s="16"/>
      <c r="B1366" s="45" t="s">
        <v>52</v>
      </c>
      <c r="C1366" s="4"/>
      <c r="D1366" s="55"/>
      <c r="E1366" s="55"/>
      <c r="F1366" s="112"/>
      <c r="G1366" s="91"/>
      <c r="H1366" s="56"/>
      <c r="I1366" s="56"/>
      <c r="J1366" s="56"/>
      <c r="K1366" s="56"/>
      <c r="L1366" s="56"/>
      <c r="M1366" s="56"/>
      <c r="N1366" s="56"/>
      <c r="O1366" s="2"/>
      <c r="P1366" s="43"/>
      <c r="Q1366" s="44"/>
      <c r="R1366" s="44"/>
      <c r="S1366" s="46" t="e">
        <f>N1366-#REF!</f>
        <v>#REF!</v>
      </c>
    </row>
    <row r="1367" spans="1:19" s="34" customFormat="1" ht="13.35" hidden="1" customHeight="1" x14ac:dyDescent="0.25">
      <c r="A1367" s="16"/>
      <c r="B1367" s="45" t="s">
        <v>53</v>
      </c>
      <c r="C1367" s="4"/>
      <c r="D1367" s="55"/>
      <c r="E1367" s="55"/>
      <c r="F1367" s="55"/>
      <c r="G1367" s="91"/>
      <c r="H1367" s="56"/>
      <c r="I1367" s="56"/>
      <c r="J1367" s="56"/>
      <c r="K1367" s="56"/>
      <c r="L1367" s="56"/>
      <c r="M1367" s="56"/>
      <c r="N1367" s="56"/>
      <c r="O1367" s="2"/>
      <c r="P1367" s="43"/>
      <c r="Q1367" s="44"/>
      <c r="R1367" s="44"/>
      <c r="S1367" s="46" t="e">
        <f>N1367-#REF!</f>
        <v>#REF!</v>
      </c>
    </row>
    <row r="1368" spans="1:19" s="34" customFormat="1" ht="13.35" hidden="1" customHeight="1" x14ac:dyDescent="0.25">
      <c r="A1368" s="16"/>
      <c r="B1368" s="45" t="s">
        <v>54</v>
      </c>
      <c r="C1368" s="4">
        <v>131</v>
      </c>
      <c r="D1368" s="55"/>
      <c r="E1368" s="55"/>
      <c r="F1368" s="55"/>
      <c r="G1368" s="91"/>
      <c r="H1368" s="56">
        <f t="shared" ref="H1368:N1368" si="501">H940+H1001+H1041+H1168</f>
        <v>2000</v>
      </c>
      <c r="I1368" s="56">
        <f t="shared" si="501"/>
        <v>1060</v>
      </c>
      <c r="J1368" s="56">
        <f t="shared" si="501"/>
        <v>618.79999999999995</v>
      </c>
      <c r="K1368" s="56">
        <f t="shared" si="501"/>
        <v>60</v>
      </c>
      <c r="L1368" s="56">
        <f t="shared" si="501"/>
        <v>261.2</v>
      </c>
      <c r="M1368" s="56">
        <f t="shared" si="501"/>
        <v>2000</v>
      </c>
      <c r="N1368" s="56">
        <f t="shared" si="501"/>
        <v>2000</v>
      </c>
      <c r="O1368" s="2">
        <v>2000</v>
      </c>
      <c r="P1368" s="43">
        <f>H1368-O1368</f>
        <v>0</v>
      </c>
      <c r="Q1368" s="44"/>
      <c r="R1368" s="44"/>
      <c r="S1368" s="46" t="e">
        <f>N1368-#REF!</f>
        <v>#REF!</v>
      </c>
    </row>
    <row r="1369" spans="1:19" s="34" customFormat="1" ht="13.35" hidden="1" customHeight="1" x14ac:dyDescent="0.25">
      <c r="A1369" s="16"/>
      <c r="B1369" s="45" t="s">
        <v>55</v>
      </c>
      <c r="C1369" s="4">
        <v>105</v>
      </c>
      <c r="D1369" s="55"/>
      <c r="E1369" s="55"/>
      <c r="F1369" s="55"/>
      <c r="G1369" s="91"/>
      <c r="H1369" s="56"/>
      <c r="I1369" s="56"/>
      <c r="J1369" s="56"/>
      <c r="K1369" s="56"/>
      <c r="L1369" s="56"/>
      <c r="M1369" s="56"/>
      <c r="N1369" s="56"/>
      <c r="O1369" s="2"/>
      <c r="P1369" s="43"/>
      <c r="Q1369" s="44"/>
      <c r="R1369" s="44"/>
      <c r="S1369" s="46" t="e">
        <f>N1369-#REF!</f>
        <v>#REF!</v>
      </c>
    </row>
    <row r="1370" spans="1:19" ht="12.75" hidden="1" customHeight="1" x14ac:dyDescent="0.25">
      <c r="A1370" s="16"/>
      <c r="B1370" s="45" t="s">
        <v>73</v>
      </c>
      <c r="C1370" s="5" t="s">
        <v>72</v>
      </c>
      <c r="D1370" s="55"/>
      <c r="E1370" s="55"/>
      <c r="F1370" s="55"/>
      <c r="G1370" s="91"/>
      <c r="H1370" s="56"/>
      <c r="I1370" s="56"/>
      <c r="J1370" s="56"/>
      <c r="K1370" s="56"/>
      <c r="L1370" s="56"/>
      <c r="M1370" s="56"/>
      <c r="N1370" s="56"/>
      <c r="O1370" s="2"/>
      <c r="P1370" s="43"/>
      <c r="Q1370" s="48"/>
      <c r="R1370" s="48"/>
      <c r="S1370" s="46" t="e">
        <f>N1370-#REF!</f>
        <v>#REF!</v>
      </c>
    </row>
    <row r="1371" spans="1:19" ht="12.75" hidden="1" customHeight="1" x14ac:dyDescent="0.25">
      <c r="A1371" s="16"/>
      <c r="B1371" s="45" t="s">
        <v>58</v>
      </c>
      <c r="C1371" s="24">
        <v>124</v>
      </c>
      <c r="D1371" s="5"/>
      <c r="E1371" s="5"/>
      <c r="F1371" s="111"/>
      <c r="G1371" s="12"/>
      <c r="H1371" s="9">
        <f>ROUND(H129+H130+H54+H55+H87+H88+H89+H90+H91+H95+H152+H153+H154+H155+H206+H207+H262+H263+H264+H265,1)</f>
        <v>4519241</v>
      </c>
      <c r="I1371" s="9">
        <f t="shared" ref="I1371:N1371" si="502">I129+I130+I54+I55+I87+I88+I89+I90+I91+I95+I152+I153+I154+I155+I206+I207+I262+I263+I264+I265</f>
        <v>682260.37235000008</v>
      </c>
      <c r="J1371" s="9">
        <f t="shared" si="502"/>
        <v>1118757.18163</v>
      </c>
      <c r="K1371" s="9">
        <f t="shared" si="502"/>
        <v>1299997.3059999999</v>
      </c>
      <c r="L1371" s="9">
        <f t="shared" si="502"/>
        <v>1418226.1780000001</v>
      </c>
      <c r="M1371" s="9">
        <f t="shared" si="502"/>
        <v>3185412.5</v>
      </c>
      <c r="N1371" s="9">
        <f t="shared" si="502"/>
        <v>1656317.0000000002</v>
      </c>
      <c r="O1371" s="2">
        <v>7988411.5</v>
      </c>
      <c r="P1371" s="43">
        <f>H1371+H1372-O1371</f>
        <v>0</v>
      </c>
      <c r="Q1371" s="48"/>
      <c r="R1371" s="48"/>
      <c r="S1371" s="46" t="e">
        <f>N1371+N1372-#REF!</f>
        <v>#REF!</v>
      </c>
    </row>
    <row r="1372" spans="1:19" ht="12.75" hidden="1" customHeight="1" x14ac:dyDescent="0.25">
      <c r="A1372" s="16"/>
      <c r="B1372" s="45" t="s">
        <v>62</v>
      </c>
      <c r="C1372" s="24">
        <v>124</v>
      </c>
      <c r="D1372" s="5"/>
      <c r="E1372" s="5"/>
      <c r="F1372" s="111"/>
      <c r="G1372" s="12"/>
      <c r="H1372" s="9">
        <f>ROUND(H131+H96+H97+H98+H99+H208+H266+H267,1)</f>
        <v>3469170.5</v>
      </c>
      <c r="I1372" s="9">
        <f t="shared" ref="I1372:N1372" si="503">I131+I96+I97+I98+I99+I208+I266+I267</f>
        <v>205100</v>
      </c>
      <c r="J1372" s="9">
        <f t="shared" si="503"/>
        <v>723019.72730000003</v>
      </c>
      <c r="K1372" s="9">
        <f t="shared" si="503"/>
        <v>878252.10000000009</v>
      </c>
      <c r="L1372" s="9">
        <f t="shared" si="503"/>
        <v>1662798.6600000001</v>
      </c>
      <c r="M1372" s="9">
        <f t="shared" si="503"/>
        <v>1418867.0999999999</v>
      </c>
      <c r="N1372" s="9">
        <f t="shared" si="503"/>
        <v>663941.69999999995</v>
      </c>
      <c r="O1372" s="2"/>
      <c r="P1372" s="43"/>
      <c r="Q1372" s="48"/>
      <c r="R1372" s="48"/>
      <c r="S1372" s="46"/>
    </row>
    <row r="1373" spans="1:19" ht="12.75" hidden="1" customHeight="1" x14ac:dyDescent="0.25">
      <c r="A1373" s="16"/>
      <c r="B1373" s="45" t="s">
        <v>59</v>
      </c>
      <c r="C1373" s="24">
        <v>124</v>
      </c>
      <c r="D1373" s="5"/>
      <c r="E1373" s="5"/>
      <c r="F1373" s="111"/>
      <c r="G1373" s="12"/>
      <c r="H1373" s="9">
        <f t="shared" ref="H1373:N1373" si="504">H132+H60+H103+H165+H217+H268</f>
        <v>100389.6</v>
      </c>
      <c r="I1373" s="9">
        <f t="shared" si="504"/>
        <v>8065.7</v>
      </c>
      <c r="J1373" s="9">
        <f t="shared" si="504"/>
        <v>9870.4</v>
      </c>
      <c r="K1373" s="9">
        <f t="shared" si="504"/>
        <v>52779.7</v>
      </c>
      <c r="L1373" s="9">
        <f t="shared" si="504"/>
        <v>29673.800000000003</v>
      </c>
      <c r="M1373" s="9">
        <f t="shared" si="504"/>
        <v>25322.699999999997</v>
      </c>
      <c r="N1373" s="9">
        <f t="shared" si="504"/>
        <v>4956</v>
      </c>
      <c r="O1373" s="2"/>
      <c r="P1373" s="43"/>
      <c r="Q1373" s="48"/>
      <c r="R1373" s="48"/>
      <c r="S1373" s="46" t="e">
        <f>N1373-#REF!</f>
        <v>#REF!</v>
      </c>
    </row>
    <row r="1374" spans="1:19" ht="12.75" hidden="1" customHeight="1" x14ac:dyDescent="0.25">
      <c r="A1374" s="16"/>
      <c r="B1374" s="45" t="s">
        <v>60</v>
      </c>
      <c r="C1374" s="24">
        <v>210</v>
      </c>
      <c r="D1374" s="5"/>
      <c r="E1374" s="5"/>
      <c r="F1374" s="111"/>
      <c r="G1374" s="12"/>
      <c r="H1374" s="9"/>
      <c r="I1374" s="9"/>
      <c r="J1374" s="9"/>
      <c r="K1374" s="9"/>
      <c r="L1374" s="9"/>
      <c r="M1374" s="9"/>
      <c r="N1374" s="9"/>
      <c r="O1374" s="2"/>
      <c r="P1374" s="43"/>
      <c r="Q1374" s="48"/>
      <c r="R1374" s="48"/>
      <c r="S1374" s="46" t="e">
        <f>N1374-#REF!</f>
        <v>#REF!</v>
      </c>
    </row>
    <row r="1375" spans="1:19" ht="12.75" hidden="1" customHeight="1" x14ac:dyDescent="0.25">
      <c r="A1375" s="47"/>
      <c r="B1375" s="45" t="s">
        <v>61</v>
      </c>
      <c r="C1375" s="24">
        <v>210</v>
      </c>
      <c r="D1375" s="5"/>
      <c r="E1375" s="5"/>
      <c r="F1375" s="111"/>
      <c r="G1375" s="12"/>
      <c r="H1375" s="9"/>
      <c r="I1375" s="9"/>
      <c r="J1375" s="9"/>
      <c r="K1375" s="9"/>
      <c r="L1375" s="9"/>
      <c r="M1375" s="9"/>
      <c r="N1375" s="9"/>
      <c r="O1375" s="2"/>
      <c r="P1375" s="43"/>
      <c r="Q1375" s="48"/>
      <c r="R1375" s="48"/>
      <c r="S1375" s="46" t="e">
        <f>N1375-#REF!</f>
        <v>#REF!</v>
      </c>
    </row>
    <row r="1376" spans="1:19" ht="12.75" hidden="1" customHeight="1" x14ac:dyDescent="0.25">
      <c r="A1376" s="16"/>
      <c r="B1376" s="16" t="s">
        <v>63</v>
      </c>
      <c r="C1376" s="4"/>
      <c r="D1376" s="5"/>
      <c r="E1376" s="5"/>
      <c r="F1376" s="111"/>
      <c r="G1376" s="12"/>
      <c r="H1376" s="27">
        <f>H1373-H1380</f>
        <v>95902.6</v>
      </c>
      <c r="I1376" s="27">
        <f t="shared" ref="I1376:N1376" si="505">I1373-I1380</f>
        <v>8065.7</v>
      </c>
      <c r="J1376" s="27">
        <f t="shared" si="505"/>
        <v>9870.4</v>
      </c>
      <c r="K1376" s="27">
        <f t="shared" si="505"/>
        <v>52779.7</v>
      </c>
      <c r="L1376" s="27">
        <f t="shared" si="505"/>
        <v>25186.800000000003</v>
      </c>
      <c r="M1376" s="27">
        <f t="shared" si="505"/>
        <v>25322.699999999997</v>
      </c>
      <c r="N1376" s="27">
        <f t="shared" si="505"/>
        <v>4956</v>
      </c>
      <c r="O1376" s="2"/>
      <c r="P1376" s="43"/>
      <c r="Q1376" s="48"/>
      <c r="R1376" s="48"/>
      <c r="S1376" s="46" t="e">
        <f>N1376-#REF!</f>
        <v>#REF!</v>
      </c>
    </row>
    <row r="1377" spans="1:19" ht="12.75" hidden="1" customHeight="1" x14ac:dyDescent="0.25">
      <c r="A1377" s="16"/>
      <c r="B1377" s="45" t="s">
        <v>58</v>
      </c>
      <c r="C1377" s="4"/>
      <c r="D1377" s="5"/>
      <c r="E1377" s="5"/>
      <c r="F1377" s="5"/>
      <c r="G1377" s="12"/>
      <c r="H1377" s="27">
        <f t="shared" ref="H1377:N1377" si="506">H1371-H125</f>
        <v>4519241</v>
      </c>
      <c r="I1377" s="27">
        <f t="shared" si="506"/>
        <v>682260.37235000008</v>
      </c>
      <c r="J1377" s="27">
        <f t="shared" si="506"/>
        <v>1118757.18163</v>
      </c>
      <c r="K1377" s="27">
        <f t="shared" si="506"/>
        <v>1299997.3059999999</v>
      </c>
      <c r="L1377" s="27">
        <f t="shared" si="506"/>
        <v>1418226.1780000001</v>
      </c>
      <c r="M1377" s="27">
        <f t="shared" si="506"/>
        <v>3185412.5</v>
      </c>
      <c r="N1377" s="27">
        <f t="shared" si="506"/>
        <v>1656317.0000000002</v>
      </c>
      <c r="O1377" s="2"/>
      <c r="P1377" s="43"/>
      <c r="Q1377" s="48"/>
      <c r="R1377" s="48"/>
      <c r="S1377" s="46" t="e">
        <f>N1377-#REF!</f>
        <v>#REF!</v>
      </c>
    </row>
    <row r="1378" spans="1:19" ht="12.75" hidden="1" customHeight="1" x14ac:dyDescent="0.25">
      <c r="A1378" s="16"/>
      <c r="B1378" s="45" t="s">
        <v>62</v>
      </c>
      <c r="C1378" s="4"/>
      <c r="D1378" s="5"/>
      <c r="E1378" s="5"/>
      <c r="F1378" s="5"/>
      <c r="G1378" s="12"/>
      <c r="H1378" s="27">
        <f>H1372</f>
        <v>3469170.5</v>
      </c>
      <c r="I1378" s="27">
        <f t="shared" ref="I1378:N1378" si="507">I1372</f>
        <v>205100</v>
      </c>
      <c r="J1378" s="27">
        <f t="shared" si="507"/>
        <v>723019.72730000003</v>
      </c>
      <c r="K1378" s="27">
        <f t="shared" si="507"/>
        <v>878252.10000000009</v>
      </c>
      <c r="L1378" s="27">
        <f t="shared" si="507"/>
        <v>1662798.6600000001</v>
      </c>
      <c r="M1378" s="27">
        <f t="shared" si="507"/>
        <v>1418867.0999999999</v>
      </c>
      <c r="N1378" s="27">
        <f t="shared" si="507"/>
        <v>663941.69999999995</v>
      </c>
      <c r="O1378" s="2"/>
      <c r="P1378" s="43"/>
      <c r="Q1378" s="48"/>
      <c r="R1378" s="48"/>
      <c r="S1378" s="46" t="e">
        <f>N1378-#REF!</f>
        <v>#REF!</v>
      </c>
    </row>
    <row r="1379" spans="1:19" ht="12.75" hidden="1" customHeight="1" x14ac:dyDescent="0.25">
      <c r="A1379" s="16"/>
      <c r="B1379" s="45" t="s">
        <v>73</v>
      </c>
      <c r="C1379" s="4"/>
      <c r="D1379" s="5"/>
      <c r="E1379" s="5"/>
      <c r="F1379" s="5"/>
      <c r="G1379" s="12"/>
      <c r="H1379" s="27"/>
      <c r="I1379" s="9"/>
      <c r="J1379" s="9"/>
      <c r="K1379" s="9"/>
      <c r="L1379" s="9"/>
      <c r="M1379" s="9"/>
      <c r="N1379" s="9"/>
      <c r="O1379" s="2"/>
      <c r="P1379" s="43"/>
      <c r="Q1379" s="48"/>
      <c r="R1379" s="48"/>
      <c r="S1379" s="46" t="e">
        <f>N1379-#REF!</f>
        <v>#REF!</v>
      </c>
    </row>
    <row r="1380" spans="1:19" ht="12.75" hidden="1" customHeight="1" x14ac:dyDescent="0.25">
      <c r="A1380" s="16"/>
      <c r="B1380" s="45" t="s">
        <v>382</v>
      </c>
      <c r="C1380" s="4"/>
      <c r="D1380" s="5"/>
      <c r="E1380" s="5"/>
      <c r="F1380" s="5"/>
      <c r="G1380" s="12"/>
      <c r="H1380" s="27">
        <f t="shared" ref="H1380:N1380" si="508">H178</f>
        <v>4487</v>
      </c>
      <c r="I1380" s="27">
        <f t="shared" si="508"/>
        <v>0</v>
      </c>
      <c r="J1380" s="27">
        <f t="shared" si="508"/>
        <v>0</v>
      </c>
      <c r="K1380" s="27">
        <f t="shared" si="508"/>
        <v>0</v>
      </c>
      <c r="L1380" s="27">
        <f t="shared" si="508"/>
        <v>4487</v>
      </c>
      <c r="M1380" s="27">
        <f t="shared" si="508"/>
        <v>0</v>
      </c>
      <c r="N1380" s="27">
        <f t="shared" si="508"/>
        <v>0</v>
      </c>
      <c r="O1380" s="2"/>
      <c r="P1380" s="43"/>
      <c r="Q1380" s="48"/>
      <c r="R1380" s="48"/>
      <c r="S1380" s="46" t="e">
        <f>N1380-#REF!</f>
        <v>#REF!</v>
      </c>
    </row>
    <row r="1381" spans="1:19" ht="12.75" hidden="1" customHeight="1" x14ac:dyDescent="0.25">
      <c r="A1381" s="16"/>
      <c r="B1381" s="49"/>
      <c r="C1381" s="17"/>
      <c r="D1381" s="18"/>
      <c r="E1381" s="18"/>
      <c r="F1381" s="18"/>
      <c r="G1381" s="204"/>
      <c r="H1381" s="179"/>
      <c r="I1381" s="179"/>
      <c r="J1381" s="179"/>
      <c r="K1381" s="179"/>
      <c r="L1381" s="179"/>
      <c r="M1381" s="179"/>
      <c r="N1381" s="170"/>
      <c r="O1381" s="2"/>
      <c r="P1381" s="103"/>
      <c r="Q1381" s="48"/>
      <c r="R1381" s="48"/>
      <c r="S1381" s="46" t="e">
        <f>N1381-#REF!</f>
        <v>#REF!</v>
      </c>
    </row>
    <row r="1382" spans="1:19" ht="12.75" hidden="1" customHeight="1" x14ac:dyDescent="0.25">
      <c r="A1382" s="242" t="s">
        <v>21</v>
      </c>
      <c r="B1382" s="104" t="s">
        <v>65</v>
      </c>
      <c r="C1382" s="4"/>
      <c r="D1382" s="5"/>
      <c r="E1382" s="5"/>
      <c r="F1382" s="10"/>
      <c r="G1382" s="213"/>
      <c r="H1382" s="27">
        <f t="shared" ref="H1382:N1382" si="509">H557</f>
        <v>0</v>
      </c>
      <c r="I1382" s="27">
        <f t="shared" si="509"/>
        <v>0</v>
      </c>
      <c r="J1382" s="27">
        <f t="shared" si="509"/>
        <v>0</v>
      </c>
      <c r="K1382" s="27">
        <f t="shared" si="509"/>
        <v>0</v>
      </c>
      <c r="L1382" s="27">
        <f t="shared" si="509"/>
        <v>0</v>
      </c>
      <c r="M1382" s="27">
        <f t="shared" si="509"/>
        <v>0</v>
      </c>
      <c r="N1382" s="27">
        <f t="shared" si="509"/>
        <v>0</v>
      </c>
      <c r="O1382" s="50"/>
      <c r="P1382" s="102"/>
    </row>
    <row r="1383" spans="1:19" ht="12.75" hidden="1" customHeight="1" x14ac:dyDescent="0.25">
      <c r="A1383" s="243"/>
      <c r="B1383" s="104" t="s">
        <v>13</v>
      </c>
      <c r="C1383" s="4"/>
      <c r="D1383" s="5"/>
      <c r="E1383" s="5"/>
      <c r="F1383" s="10"/>
      <c r="G1383" s="213"/>
      <c r="H1383" s="27"/>
      <c r="I1383" s="27"/>
      <c r="J1383" s="27"/>
      <c r="K1383" s="27"/>
      <c r="L1383" s="27"/>
      <c r="M1383" s="27"/>
      <c r="N1383" s="27"/>
      <c r="O1383" s="2"/>
      <c r="P1383" s="103"/>
    </row>
    <row r="1384" spans="1:19" ht="12.75" hidden="1" customHeight="1" x14ac:dyDescent="0.25">
      <c r="A1384" s="243"/>
      <c r="B1384" s="104" t="s">
        <v>14</v>
      </c>
      <c r="C1384" s="4"/>
      <c r="D1384" s="5"/>
      <c r="E1384" s="5"/>
      <c r="F1384" s="10"/>
      <c r="G1384" s="213"/>
      <c r="H1384" s="27"/>
      <c r="I1384" s="27"/>
      <c r="J1384" s="27"/>
      <c r="K1384" s="27"/>
      <c r="L1384" s="27"/>
      <c r="M1384" s="27"/>
      <c r="N1384" s="27"/>
      <c r="O1384" s="2"/>
      <c r="P1384" s="103"/>
    </row>
    <row r="1385" spans="1:19" ht="12.75" hidden="1" customHeight="1" x14ac:dyDescent="0.25">
      <c r="A1385" s="243"/>
      <c r="B1385" s="104" t="s">
        <v>15</v>
      </c>
      <c r="C1385" s="4"/>
      <c r="D1385" s="5"/>
      <c r="E1385" s="5"/>
      <c r="F1385" s="10"/>
      <c r="G1385" s="213"/>
      <c r="H1385" s="27">
        <f t="shared" ref="H1385:N1385" si="510">H560</f>
        <v>25682.3</v>
      </c>
      <c r="I1385" s="27">
        <f t="shared" si="510"/>
        <v>0</v>
      </c>
      <c r="J1385" s="27">
        <f t="shared" si="510"/>
        <v>13815</v>
      </c>
      <c r="K1385" s="27">
        <f t="shared" si="510"/>
        <v>3454</v>
      </c>
      <c r="L1385" s="27">
        <f t="shared" si="510"/>
        <v>8413.2999999999993</v>
      </c>
      <c r="M1385" s="27">
        <f t="shared" si="510"/>
        <v>0</v>
      </c>
      <c r="N1385" s="27">
        <f t="shared" si="510"/>
        <v>0</v>
      </c>
      <c r="O1385" s="2"/>
      <c r="P1385" s="103"/>
    </row>
    <row r="1386" spans="1:19" ht="25.5" hidden="1" customHeight="1" x14ac:dyDescent="0.25">
      <c r="A1386" s="244"/>
      <c r="B1386" s="104" t="s">
        <v>12</v>
      </c>
      <c r="C1386" s="4"/>
      <c r="D1386" s="5"/>
      <c r="E1386" s="5"/>
      <c r="F1386" s="10"/>
      <c r="G1386" s="213"/>
      <c r="H1386" s="27">
        <f>H561</f>
        <v>0</v>
      </c>
      <c r="I1386" s="27">
        <f>I561</f>
        <v>0</v>
      </c>
      <c r="J1386" s="27">
        <f>J561</f>
        <v>0</v>
      </c>
      <c r="K1386" s="27">
        <v>0</v>
      </c>
      <c r="L1386" s="27">
        <f>L561</f>
        <v>0</v>
      </c>
      <c r="M1386" s="27">
        <f>M561</f>
        <v>0</v>
      </c>
      <c r="N1386" s="27">
        <f>N561</f>
        <v>0</v>
      </c>
      <c r="O1386" s="2"/>
      <c r="P1386" s="103"/>
    </row>
    <row r="1387" spans="1:19" ht="12.75" hidden="1" customHeight="1" x14ac:dyDescent="0.25">
      <c r="A1387" s="105" t="s">
        <v>186</v>
      </c>
      <c r="B1387" s="84"/>
      <c r="C1387" s="84"/>
      <c r="D1387" s="84"/>
      <c r="E1387" s="84"/>
      <c r="F1387" s="84"/>
      <c r="G1387" s="217"/>
      <c r="H1387" s="180"/>
      <c r="I1387" s="180"/>
      <c r="J1387" s="180"/>
      <c r="K1387" s="180"/>
      <c r="L1387" s="180"/>
      <c r="M1387" s="180"/>
      <c r="N1387" s="180"/>
      <c r="O1387" s="2"/>
      <c r="P1387" s="85"/>
    </row>
    <row r="1388" spans="1:19" ht="12.75" hidden="1" customHeight="1" x14ac:dyDescent="0.25">
      <c r="A1388" s="51"/>
      <c r="B1388" s="45" t="s">
        <v>56</v>
      </c>
      <c r="C1388" s="24">
        <v>136</v>
      </c>
      <c r="D1388" s="82"/>
      <c r="E1388" s="82"/>
      <c r="F1388" s="82"/>
      <c r="G1388" s="218"/>
      <c r="H1388" s="8">
        <f t="shared" ref="H1388:N1388" si="511">H1349-H1400-H1407-H1418</f>
        <v>30873627.3785</v>
      </c>
      <c r="I1388" s="8">
        <f t="shared" si="511"/>
        <v>6735726.6612299997</v>
      </c>
      <c r="J1388" s="8">
        <f t="shared" si="511"/>
        <v>9333041.1884199977</v>
      </c>
      <c r="K1388" s="8">
        <f t="shared" si="511"/>
        <v>5623491.2432000004</v>
      </c>
      <c r="L1388" s="8">
        <f t="shared" si="511"/>
        <v>9181368.2856499981</v>
      </c>
      <c r="M1388" s="27">
        <f t="shared" si="511"/>
        <v>31468724.999999996</v>
      </c>
      <c r="N1388" s="27">
        <f t="shared" si="511"/>
        <v>33000641.5</v>
      </c>
      <c r="O1388" s="2"/>
      <c r="P1388" s="83"/>
    </row>
    <row r="1389" spans="1:19" ht="12.75" hidden="1" customHeight="1" x14ac:dyDescent="0.25">
      <c r="A1389" s="51"/>
      <c r="B1389" s="45" t="s">
        <v>177</v>
      </c>
      <c r="C1389" s="24">
        <v>136</v>
      </c>
      <c r="D1389" s="82"/>
      <c r="E1389" s="82"/>
      <c r="F1389" s="82"/>
      <c r="G1389" s="218"/>
      <c r="H1389" s="27">
        <f>H1358-H1414</f>
        <v>188026.40000000002</v>
      </c>
      <c r="I1389" s="27">
        <f t="shared" ref="I1389:N1389" si="512">I1358-I1414</f>
        <v>0</v>
      </c>
      <c r="J1389" s="27">
        <f t="shared" si="512"/>
        <v>13334.1</v>
      </c>
      <c r="K1389" s="27">
        <f t="shared" si="512"/>
        <v>7552.6835100000008</v>
      </c>
      <c r="L1389" s="27">
        <f t="shared" si="512"/>
        <v>167139.61649000001</v>
      </c>
      <c r="M1389" s="27">
        <f t="shared" si="512"/>
        <v>0</v>
      </c>
      <c r="N1389" s="27">
        <f t="shared" si="512"/>
        <v>0</v>
      </c>
      <c r="O1389" s="2"/>
      <c r="P1389" s="83"/>
    </row>
    <row r="1390" spans="1:19" ht="12.75" hidden="1" customHeight="1" x14ac:dyDescent="0.25">
      <c r="A1390" s="51"/>
      <c r="B1390" s="45" t="s">
        <v>57</v>
      </c>
      <c r="C1390" s="24">
        <v>136</v>
      </c>
      <c r="D1390" s="82"/>
      <c r="E1390" s="82"/>
      <c r="F1390" s="82"/>
      <c r="G1390" s="218"/>
      <c r="H1390" s="27">
        <f t="shared" ref="H1390:N1390" si="513">H1364-H1408</f>
        <v>73209.400000000023</v>
      </c>
      <c r="I1390" s="27">
        <f t="shared" si="513"/>
        <v>-12580.516229999999</v>
      </c>
      <c r="J1390" s="27">
        <f t="shared" si="513"/>
        <v>-2370.6534199999996</v>
      </c>
      <c r="K1390" s="27">
        <f t="shared" si="513"/>
        <v>51211.539650000013</v>
      </c>
      <c r="L1390" s="27">
        <f t="shared" si="513"/>
        <v>36949.03</v>
      </c>
      <c r="M1390" s="27">
        <f t="shared" si="513"/>
        <v>54573.899999999994</v>
      </c>
      <c r="N1390" s="27">
        <f t="shared" si="513"/>
        <v>54473.899999999994</v>
      </c>
      <c r="O1390" s="2"/>
      <c r="P1390" s="83"/>
    </row>
    <row r="1391" spans="1:19" ht="12.75" hidden="1" customHeight="1" x14ac:dyDescent="0.25">
      <c r="A1391" s="101"/>
      <c r="B1391" s="45" t="s">
        <v>58</v>
      </c>
      <c r="C1391" s="24">
        <v>124</v>
      </c>
      <c r="D1391" s="5"/>
      <c r="E1391" s="5"/>
      <c r="F1391" s="10"/>
      <c r="G1391" s="213"/>
      <c r="H1391" s="27">
        <f>H1371</f>
        <v>4519241</v>
      </c>
      <c r="I1391" s="27">
        <f t="shared" ref="I1391:N1393" si="514">I1371</f>
        <v>682260.37235000008</v>
      </c>
      <c r="J1391" s="27">
        <f t="shared" si="514"/>
        <v>1118757.18163</v>
      </c>
      <c r="K1391" s="27">
        <f t="shared" si="514"/>
        <v>1299997.3059999999</v>
      </c>
      <c r="L1391" s="27">
        <f t="shared" si="514"/>
        <v>1418226.1780000001</v>
      </c>
      <c r="M1391" s="27">
        <f t="shared" si="514"/>
        <v>3185412.5</v>
      </c>
      <c r="N1391" s="27">
        <f t="shared" si="514"/>
        <v>1656317.0000000002</v>
      </c>
      <c r="O1391" s="2"/>
      <c r="P1391" s="103"/>
    </row>
    <row r="1392" spans="1:19" ht="12.75" hidden="1" customHeight="1" x14ac:dyDescent="0.25">
      <c r="A1392" s="101"/>
      <c r="B1392" s="45" t="s">
        <v>62</v>
      </c>
      <c r="C1392" s="24">
        <v>124</v>
      </c>
      <c r="D1392" s="5"/>
      <c r="E1392" s="5"/>
      <c r="F1392" s="10"/>
      <c r="G1392" s="213"/>
      <c r="H1392" s="27">
        <f>H1372</f>
        <v>3469170.5</v>
      </c>
      <c r="I1392" s="27">
        <f t="shared" si="514"/>
        <v>205100</v>
      </c>
      <c r="J1392" s="27">
        <f t="shared" si="514"/>
        <v>723019.72730000003</v>
      </c>
      <c r="K1392" s="27">
        <f t="shared" si="514"/>
        <v>878252.10000000009</v>
      </c>
      <c r="L1392" s="27">
        <f t="shared" si="514"/>
        <v>1662798.6600000001</v>
      </c>
      <c r="M1392" s="27">
        <f t="shared" si="514"/>
        <v>1418867.0999999999</v>
      </c>
      <c r="N1392" s="27">
        <f t="shared" si="514"/>
        <v>663941.69999999995</v>
      </c>
      <c r="O1392" s="2"/>
      <c r="P1392" s="103"/>
    </row>
    <row r="1393" spans="1:16" ht="12.75" hidden="1" customHeight="1" x14ac:dyDescent="0.25">
      <c r="A1393" s="101"/>
      <c r="B1393" s="45" t="s">
        <v>59</v>
      </c>
      <c r="C1393" s="24">
        <v>124</v>
      </c>
      <c r="D1393" s="5"/>
      <c r="E1393" s="5"/>
      <c r="F1393" s="10"/>
      <c r="G1393" s="213"/>
      <c r="H1393" s="27">
        <f>H1373</f>
        <v>100389.6</v>
      </c>
      <c r="I1393" s="27">
        <f t="shared" si="514"/>
        <v>8065.7</v>
      </c>
      <c r="J1393" s="27">
        <f t="shared" si="514"/>
        <v>9870.4</v>
      </c>
      <c r="K1393" s="27">
        <f t="shared" si="514"/>
        <v>52779.7</v>
      </c>
      <c r="L1393" s="27">
        <f t="shared" si="514"/>
        <v>29673.800000000003</v>
      </c>
      <c r="M1393" s="27">
        <f t="shared" si="514"/>
        <v>25322.699999999997</v>
      </c>
      <c r="N1393" s="27">
        <f t="shared" si="514"/>
        <v>4956</v>
      </c>
      <c r="O1393" s="2"/>
      <c r="P1393" s="103"/>
    </row>
    <row r="1394" spans="1:16" ht="12.75" hidden="1" customHeight="1" x14ac:dyDescent="0.25">
      <c r="A1394" s="242" t="s">
        <v>24</v>
      </c>
      <c r="B1394" s="104" t="s">
        <v>65</v>
      </c>
      <c r="C1394" s="4"/>
      <c r="D1394" s="5"/>
      <c r="E1394" s="5"/>
      <c r="F1394" s="10"/>
      <c r="G1394" s="213"/>
      <c r="H1394" s="27">
        <f t="shared" ref="H1394:N1398" si="515">H762</f>
        <v>7804</v>
      </c>
      <c r="I1394" s="27">
        <f t="shared" si="515"/>
        <v>0</v>
      </c>
      <c r="J1394" s="27">
        <f t="shared" si="515"/>
        <v>0</v>
      </c>
      <c r="K1394" s="27">
        <f t="shared" si="515"/>
        <v>0</v>
      </c>
      <c r="L1394" s="27">
        <f t="shared" si="515"/>
        <v>7804</v>
      </c>
      <c r="M1394" s="27">
        <f t="shared" si="515"/>
        <v>0</v>
      </c>
      <c r="N1394" s="27">
        <f t="shared" si="515"/>
        <v>0</v>
      </c>
      <c r="O1394" s="2"/>
      <c r="P1394" s="103"/>
    </row>
    <row r="1395" spans="1:16" ht="12.75" hidden="1" customHeight="1" x14ac:dyDescent="0.25">
      <c r="A1395" s="243"/>
      <c r="B1395" s="104" t="s">
        <v>13</v>
      </c>
      <c r="C1395" s="4"/>
      <c r="D1395" s="5"/>
      <c r="E1395" s="5"/>
      <c r="F1395" s="10"/>
      <c r="G1395" s="213"/>
      <c r="H1395" s="27">
        <f t="shared" si="515"/>
        <v>0</v>
      </c>
      <c r="I1395" s="27">
        <f t="shared" si="515"/>
        <v>0</v>
      </c>
      <c r="J1395" s="27">
        <f t="shared" si="515"/>
        <v>0</v>
      </c>
      <c r="K1395" s="27">
        <f t="shared" si="515"/>
        <v>0</v>
      </c>
      <c r="L1395" s="27">
        <f t="shared" si="515"/>
        <v>0</v>
      </c>
      <c r="M1395" s="27">
        <f t="shared" si="515"/>
        <v>0</v>
      </c>
      <c r="N1395" s="27">
        <f t="shared" si="515"/>
        <v>0</v>
      </c>
      <c r="O1395" s="2"/>
      <c r="P1395" s="103"/>
    </row>
    <row r="1396" spans="1:16" ht="12.75" hidden="1" customHeight="1" x14ac:dyDescent="0.25">
      <c r="A1396" s="243"/>
      <c r="B1396" s="104" t="s">
        <v>14</v>
      </c>
      <c r="C1396" s="4"/>
      <c r="D1396" s="5"/>
      <c r="E1396" s="5"/>
      <c r="F1396" s="10"/>
      <c r="G1396" s="213"/>
      <c r="H1396" s="27">
        <f t="shared" si="515"/>
        <v>0</v>
      </c>
      <c r="I1396" s="27">
        <f t="shared" si="515"/>
        <v>0</v>
      </c>
      <c r="J1396" s="27">
        <f t="shared" si="515"/>
        <v>0</v>
      </c>
      <c r="K1396" s="27">
        <f t="shared" si="515"/>
        <v>0</v>
      </c>
      <c r="L1396" s="27">
        <f t="shared" si="515"/>
        <v>0</v>
      </c>
      <c r="M1396" s="27">
        <f t="shared" si="515"/>
        <v>0</v>
      </c>
      <c r="N1396" s="27">
        <f t="shared" si="515"/>
        <v>0</v>
      </c>
      <c r="O1396" s="2"/>
      <c r="P1396" s="103"/>
    </row>
    <row r="1397" spans="1:16" ht="12.75" hidden="1" customHeight="1" x14ac:dyDescent="0.25">
      <c r="A1397" s="243"/>
      <c r="B1397" s="104" t="s">
        <v>15</v>
      </c>
      <c r="C1397" s="4"/>
      <c r="D1397" s="5"/>
      <c r="E1397" s="5"/>
      <c r="F1397" s="10"/>
      <c r="G1397" s="213"/>
      <c r="H1397" s="27">
        <f t="shared" si="515"/>
        <v>0</v>
      </c>
      <c r="I1397" s="27">
        <f t="shared" si="515"/>
        <v>0</v>
      </c>
      <c r="J1397" s="27">
        <f t="shared" si="515"/>
        <v>0</v>
      </c>
      <c r="K1397" s="27">
        <f t="shared" si="515"/>
        <v>0</v>
      </c>
      <c r="L1397" s="27">
        <f t="shared" si="515"/>
        <v>0</v>
      </c>
      <c r="M1397" s="27">
        <f t="shared" si="515"/>
        <v>0</v>
      </c>
      <c r="N1397" s="27">
        <f t="shared" si="515"/>
        <v>0</v>
      </c>
      <c r="O1397" s="2"/>
      <c r="P1397" s="103"/>
    </row>
    <row r="1398" spans="1:16" ht="25.5" hidden="1" customHeight="1" x14ac:dyDescent="0.25">
      <c r="A1398" s="244"/>
      <c r="B1398" s="104" t="s">
        <v>12</v>
      </c>
      <c r="C1398" s="4"/>
      <c r="D1398" s="5"/>
      <c r="E1398" s="5"/>
      <c r="F1398" s="10"/>
      <c r="G1398" s="213"/>
      <c r="H1398" s="27">
        <f t="shared" si="515"/>
        <v>0</v>
      </c>
      <c r="I1398" s="27">
        <f t="shared" si="515"/>
        <v>0</v>
      </c>
      <c r="J1398" s="27">
        <f t="shared" si="515"/>
        <v>0</v>
      </c>
      <c r="K1398" s="27">
        <f t="shared" si="515"/>
        <v>0</v>
      </c>
      <c r="L1398" s="27">
        <f t="shared" si="515"/>
        <v>0</v>
      </c>
      <c r="M1398" s="27">
        <f t="shared" si="515"/>
        <v>0</v>
      </c>
      <c r="N1398" s="27">
        <f t="shared" si="515"/>
        <v>0</v>
      </c>
      <c r="O1398" s="2"/>
      <c r="P1398" s="103"/>
    </row>
    <row r="1399" spans="1:16" ht="12.75" hidden="1" customHeight="1" x14ac:dyDescent="0.25">
      <c r="A1399" s="105" t="s">
        <v>186</v>
      </c>
      <c r="B1399" s="84"/>
      <c r="C1399" s="84"/>
      <c r="D1399" s="84"/>
      <c r="E1399" s="84"/>
      <c r="F1399" s="84"/>
      <c r="G1399" s="217"/>
      <c r="H1399" s="180"/>
      <c r="I1399" s="180"/>
      <c r="J1399" s="180"/>
      <c r="K1399" s="180"/>
      <c r="L1399" s="180"/>
      <c r="M1399" s="180"/>
      <c r="N1399" s="180"/>
      <c r="O1399" s="2"/>
      <c r="P1399" s="85"/>
    </row>
    <row r="1400" spans="1:16" ht="12.75" hidden="1" customHeight="1" x14ac:dyDescent="0.25">
      <c r="A1400" s="101"/>
      <c r="B1400" s="45" t="s">
        <v>56</v>
      </c>
      <c r="C1400" s="4">
        <v>136</v>
      </c>
      <c r="D1400" s="5"/>
      <c r="E1400" s="5"/>
      <c r="F1400" s="10"/>
      <c r="G1400" s="213"/>
      <c r="H1400" s="27">
        <f t="shared" ref="H1400:N1400" si="516">H1395</f>
        <v>0</v>
      </c>
      <c r="I1400" s="27">
        <f t="shared" si="516"/>
        <v>0</v>
      </c>
      <c r="J1400" s="27">
        <f t="shared" si="516"/>
        <v>0</v>
      </c>
      <c r="K1400" s="27">
        <f t="shared" si="516"/>
        <v>0</v>
      </c>
      <c r="L1400" s="27">
        <f t="shared" si="516"/>
        <v>0</v>
      </c>
      <c r="M1400" s="27">
        <f t="shared" si="516"/>
        <v>0</v>
      </c>
      <c r="N1400" s="27">
        <f t="shared" si="516"/>
        <v>0</v>
      </c>
      <c r="O1400" s="2"/>
      <c r="P1400" s="103"/>
    </row>
    <row r="1401" spans="1:16" ht="12.75" hidden="1" customHeight="1" x14ac:dyDescent="0.25">
      <c r="A1401" s="242" t="s">
        <v>28</v>
      </c>
      <c r="B1401" s="104" t="s">
        <v>65</v>
      </c>
      <c r="C1401" s="4"/>
      <c r="D1401" s="5"/>
      <c r="E1401" s="5"/>
      <c r="F1401" s="10"/>
      <c r="G1401" s="213"/>
      <c r="H1401" s="27">
        <f t="shared" ref="H1401:N1405" si="517">H1215</f>
        <v>0</v>
      </c>
      <c r="I1401" s="27">
        <f t="shared" si="517"/>
        <v>0</v>
      </c>
      <c r="J1401" s="27">
        <f t="shared" si="517"/>
        <v>0</v>
      </c>
      <c r="K1401" s="27">
        <f t="shared" si="517"/>
        <v>0</v>
      </c>
      <c r="L1401" s="27">
        <f t="shared" si="517"/>
        <v>0</v>
      </c>
      <c r="M1401" s="27">
        <f t="shared" si="517"/>
        <v>0</v>
      </c>
      <c r="N1401" s="27">
        <f t="shared" si="517"/>
        <v>0</v>
      </c>
      <c r="O1401" s="2"/>
      <c r="P1401" s="103"/>
    </row>
    <row r="1402" spans="1:16" ht="12.75" hidden="1" customHeight="1" x14ac:dyDescent="0.25">
      <c r="A1402" s="243"/>
      <c r="B1402" s="104" t="s">
        <v>13</v>
      </c>
      <c r="C1402" s="4"/>
      <c r="D1402" s="5"/>
      <c r="E1402" s="5"/>
      <c r="F1402" s="10"/>
      <c r="G1402" s="213"/>
      <c r="H1402" s="27">
        <f t="shared" si="517"/>
        <v>7</v>
      </c>
      <c r="I1402" s="27">
        <f t="shared" si="517"/>
        <v>0</v>
      </c>
      <c r="J1402" s="27">
        <f t="shared" si="517"/>
        <v>0</v>
      </c>
      <c r="K1402" s="27">
        <f t="shared" si="517"/>
        <v>0</v>
      </c>
      <c r="L1402" s="27">
        <f t="shared" si="517"/>
        <v>7</v>
      </c>
      <c r="M1402" s="27">
        <f t="shared" si="517"/>
        <v>7</v>
      </c>
      <c r="N1402" s="27">
        <f t="shared" si="517"/>
        <v>7</v>
      </c>
      <c r="O1402" s="2"/>
      <c r="P1402" s="103"/>
    </row>
    <row r="1403" spans="1:16" ht="12.75" hidden="1" customHeight="1" x14ac:dyDescent="0.25">
      <c r="A1403" s="243"/>
      <c r="B1403" s="104" t="s">
        <v>14</v>
      </c>
      <c r="C1403" s="4"/>
      <c r="D1403" s="5"/>
      <c r="E1403" s="5"/>
      <c r="F1403" s="10"/>
      <c r="G1403" s="213"/>
      <c r="H1403" s="27">
        <f t="shared" si="517"/>
        <v>50</v>
      </c>
      <c r="I1403" s="27" t="str">
        <f t="shared" si="517"/>
        <v>х</v>
      </c>
      <c r="J1403" s="27" t="str">
        <f t="shared" si="517"/>
        <v>х</v>
      </c>
      <c r="K1403" s="27" t="str">
        <f t="shared" si="517"/>
        <v>х</v>
      </c>
      <c r="L1403" s="27" t="str">
        <f t="shared" si="517"/>
        <v>х</v>
      </c>
      <c r="M1403" s="27">
        <f t="shared" si="517"/>
        <v>50</v>
      </c>
      <c r="N1403" s="27">
        <f t="shared" si="517"/>
        <v>50</v>
      </c>
      <c r="O1403" s="2"/>
      <c r="P1403" s="103"/>
    </row>
    <row r="1404" spans="1:16" ht="12.75" hidden="1" customHeight="1" x14ac:dyDescent="0.25">
      <c r="A1404" s="243"/>
      <c r="B1404" s="104" t="s">
        <v>15</v>
      </c>
      <c r="C1404" s="4"/>
      <c r="D1404" s="5"/>
      <c r="E1404" s="5"/>
      <c r="F1404" s="10"/>
      <c r="G1404" s="213"/>
      <c r="H1404" s="27">
        <f t="shared" si="517"/>
        <v>350</v>
      </c>
      <c r="I1404" s="27">
        <f t="shared" si="517"/>
        <v>0</v>
      </c>
      <c r="J1404" s="27">
        <f t="shared" si="517"/>
        <v>350</v>
      </c>
      <c r="K1404" s="27">
        <f t="shared" si="517"/>
        <v>0</v>
      </c>
      <c r="L1404" s="27">
        <f t="shared" si="517"/>
        <v>0</v>
      </c>
      <c r="M1404" s="27">
        <f t="shared" si="517"/>
        <v>350</v>
      </c>
      <c r="N1404" s="27">
        <f t="shared" si="517"/>
        <v>350</v>
      </c>
      <c r="O1404" s="2"/>
      <c r="P1404" s="103"/>
    </row>
    <row r="1405" spans="1:16" ht="25.5" hidden="1" customHeight="1" x14ac:dyDescent="0.25">
      <c r="A1405" s="244"/>
      <c r="B1405" s="104" t="s">
        <v>12</v>
      </c>
      <c r="C1405" s="4"/>
      <c r="D1405" s="5"/>
      <c r="E1405" s="5"/>
      <c r="F1405" s="10"/>
      <c r="G1405" s="213"/>
      <c r="H1405" s="27">
        <f t="shared" si="517"/>
        <v>350</v>
      </c>
      <c r="I1405" s="27">
        <f t="shared" si="517"/>
        <v>0</v>
      </c>
      <c r="J1405" s="27">
        <f t="shared" si="517"/>
        <v>350</v>
      </c>
      <c r="K1405" s="27">
        <f t="shared" si="517"/>
        <v>0</v>
      </c>
      <c r="L1405" s="27">
        <f t="shared" si="517"/>
        <v>0</v>
      </c>
      <c r="M1405" s="27">
        <f t="shared" si="517"/>
        <v>350</v>
      </c>
      <c r="N1405" s="27">
        <f t="shared" si="517"/>
        <v>350</v>
      </c>
      <c r="O1405" s="2"/>
      <c r="P1405" s="103"/>
    </row>
    <row r="1406" spans="1:16" ht="12.75" hidden="1" customHeight="1" x14ac:dyDescent="0.25">
      <c r="A1406" s="105" t="s">
        <v>186</v>
      </c>
      <c r="B1406" s="84"/>
      <c r="C1406" s="84"/>
      <c r="D1406" s="84"/>
      <c r="E1406" s="84"/>
      <c r="F1406" s="84"/>
      <c r="G1406" s="217"/>
      <c r="H1406" s="180"/>
      <c r="I1406" s="180"/>
      <c r="J1406" s="180"/>
      <c r="K1406" s="180"/>
      <c r="L1406" s="180"/>
      <c r="M1406" s="180"/>
      <c r="N1406" s="180"/>
      <c r="O1406" s="2"/>
      <c r="P1406" s="85"/>
    </row>
    <row r="1407" spans="1:16" ht="12.75" hidden="1" customHeight="1" x14ac:dyDescent="0.25">
      <c r="A1407" s="101"/>
      <c r="B1407" s="45" t="s">
        <v>56</v>
      </c>
      <c r="C1407" s="4">
        <v>136</v>
      </c>
      <c r="D1407" s="5"/>
      <c r="E1407" s="5"/>
      <c r="F1407" s="10"/>
      <c r="G1407" s="213"/>
      <c r="H1407" s="27">
        <f>H1402-H1411-H1410-H1409</f>
        <v>-1993</v>
      </c>
      <c r="I1407" s="27">
        <f t="shared" ref="I1407:N1407" si="518">I1402-I1411-I1410-I1409</f>
        <v>-1060</v>
      </c>
      <c r="J1407" s="27">
        <f t="shared" si="518"/>
        <v>-618.79999999999995</v>
      </c>
      <c r="K1407" s="27">
        <f t="shared" si="518"/>
        <v>-60</v>
      </c>
      <c r="L1407" s="27">
        <f t="shared" si="518"/>
        <v>-254.2</v>
      </c>
      <c r="M1407" s="27">
        <f t="shared" si="518"/>
        <v>-1993</v>
      </c>
      <c r="N1407" s="27">
        <f t="shared" si="518"/>
        <v>-1993</v>
      </c>
      <c r="O1407" s="2"/>
      <c r="P1407" s="100"/>
    </row>
    <row r="1408" spans="1:16" ht="12.75" hidden="1" customHeight="1" x14ac:dyDescent="0.25">
      <c r="A1408" s="101"/>
      <c r="B1408" s="45" t="s">
        <v>57</v>
      </c>
      <c r="C1408" s="4">
        <v>136</v>
      </c>
      <c r="D1408" s="5"/>
      <c r="E1408" s="5"/>
      <c r="F1408" s="10"/>
      <c r="G1408" s="213"/>
      <c r="H1408" s="27">
        <f t="shared" ref="H1408:N1408" si="519">H780+H826</f>
        <v>62000</v>
      </c>
      <c r="I1408" s="27">
        <f t="shared" si="519"/>
        <v>12580.516229999999</v>
      </c>
      <c r="J1408" s="27">
        <f t="shared" si="519"/>
        <v>4195.6534199999996</v>
      </c>
      <c r="K1408" s="27">
        <f t="shared" si="519"/>
        <v>45223.830349999997</v>
      </c>
      <c r="L1408" s="27">
        <f t="shared" si="519"/>
        <v>0</v>
      </c>
      <c r="M1408" s="27">
        <f t="shared" si="519"/>
        <v>62000</v>
      </c>
      <c r="N1408" s="27">
        <f t="shared" si="519"/>
        <v>62000</v>
      </c>
      <c r="O1408" s="2"/>
      <c r="P1408" s="100"/>
    </row>
    <row r="1409" spans="1:16" ht="12.75" hidden="1" customHeight="1" x14ac:dyDescent="0.25">
      <c r="A1409" s="101"/>
      <c r="B1409" s="45" t="s">
        <v>53</v>
      </c>
      <c r="C1409" s="4"/>
      <c r="D1409" s="5"/>
      <c r="E1409" s="5"/>
      <c r="F1409" s="10"/>
      <c r="G1409" s="213"/>
      <c r="H1409" s="27"/>
      <c r="I1409" s="27"/>
      <c r="J1409" s="27"/>
      <c r="K1409" s="27"/>
      <c r="L1409" s="27"/>
      <c r="M1409" s="27"/>
      <c r="N1409" s="27"/>
      <c r="O1409" s="2"/>
      <c r="P1409" s="100"/>
    </row>
    <row r="1410" spans="1:16" ht="12.75" hidden="1" customHeight="1" x14ac:dyDescent="0.25">
      <c r="A1410" s="101"/>
      <c r="B1410" s="45" t="s">
        <v>55</v>
      </c>
      <c r="C1410" s="4">
        <v>105</v>
      </c>
      <c r="D1410" s="5"/>
      <c r="E1410" s="5"/>
      <c r="F1410" s="10"/>
      <c r="G1410" s="213"/>
      <c r="H1410" s="27"/>
      <c r="I1410" s="27"/>
      <c r="J1410" s="27"/>
      <c r="K1410" s="27"/>
      <c r="L1410" s="27"/>
      <c r="M1410" s="27"/>
      <c r="N1410" s="27"/>
      <c r="O1410" s="2"/>
      <c r="P1410" s="100"/>
    </row>
    <row r="1411" spans="1:16" ht="12.75" hidden="1" customHeight="1" x14ac:dyDescent="0.25">
      <c r="A1411" s="101"/>
      <c r="B1411" s="45" t="s">
        <v>54</v>
      </c>
      <c r="C1411" s="4">
        <v>131</v>
      </c>
      <c r="D1411" s="5"/>
      <c r="E1411" s="5"/>
      <c r="F1411" s="10"/>
      <c r="G1411" s="213"/>
      <c r="H1411" s="27">
        <f>H1368</f>
        <v>2000</v>
      </c>
      <c r="I1411" s="27">
        <f t="shared" ref="I1411:N1411" si="520">I1368</f>
        <v>1060</v>
      </c>
      <c r="J1411" s="27">
        <f t="shared" si="520"/>
        <v>618.79999999999995</v>
      </c>
      <c r="K1411" s="27">
        <f t="shared" si="520"/>
        <v>60</v>
      </c>
      <c r="L1411" s="27">
        <f t="shared" si="520"/>
        <v>261.2</v>
      </c>
      <c r="M1411" s="27">
        <f t="shared" si="520"/>
        <v>2000</v>
      </c>
      <c r="N1411" s="27">
        <f t="shared" si="520"/>
        <v>2000</v>
      </c>
      <c r="O1411" s="2"/>
      <c r="P1411" s="100"/>
    </row>
    <row r="1412" spans="1:16" ht="21.75" hidden="1" customHeight="1" x14ac:dyDescent="0.25">
      <c r="A1412" s="242" t="s">
        <v>32</v>
      </c>
      <c r="B1412" s="104" t="s">
        <v>65</v>
      </c>
      <c r="C1412" s="4"/>
      <c r="D1412" s="5"/>
      <c r="E1412" s="5"/>
      <c r="F1412" s="10"/>
      <c r="G1412" s="213"/>
      <c r="H1412" s="27">
        <f t="shared" ref="H1412:N1416" si="521">H1336</f>
        <v>67797.8</v>
      </c>
      <c r="I1412" s="27">
        <f t="shared" si="521"/>
        <v>4091.8</v>
      </c>
      <c r="J1412" s="27">
        <f t="shared" si="521"/>
        <v>8444.7999999999993</v>
      </c>
      <c r="K1412" s="27">
        <f t="shared" si="521"/>
        <v>7586.7</v>
      </c>
      <c r="L1412" s="27">
        <f t="shared" si="521"/>
        <v>47674.5</v>
      </c>
      <c r="M1412" s="27">
        <f t="shared" si="521"/>
        <v>68557</v>
      </c>
      <c r="N1412" s="27">
        <f t="shared" si="521"/>
        <v>68665.7</v>
      </c>
      <c r="O1412" s="2"/>
      <c r="P1412" s="242"/>
    </row>
    <row r="1413" spans="1:16" ht="114" hidden="1" customHeight="1" x14ac:dyDescent="0.25">
      <c r="A1413" s="243"/>
      <c r="B1413" s="104" t="s">
        <v>13</v>
      </c>
      <c r="C1413" s="4"/>
      <c r="D1413" s="5"/>
      <c r="E1413" s="5"/>
      <c r="F1413" s="10"/>
      <c r="G1413" s="213"/>
      <c r="H1413" s="27">
        <f t="shared" si="521"/>
        <v>65070.8</v>
      </c>
      <c r="I1413" s="27">
        <f t="shared" si="521"/>
        <v>4091.8</v>
      </c>
      <c r="J1413" s="27">
        <f t="shared" si="521"/>
        <v>8444.7999999999993</v>
      </c>
      <c r="K1413" s="27">
        <f t="shared" si="521"/>
        <v>7586.7</v>
      </c>
      <c r="L1413" s="27">
        <f t="shared" si="521"/>
        <v>44947.5</v>
      </c>
      <c r="M1413" s="27">
        <f t="shared" si="521"/>
        <v>68557</v>
      </c>
      <c r="N1413" s="27">
        <f t="shared" si="521"/>
        <v>68665.7</v>
      </c>
      <c r="O1413" s="2"/>
      <c r="P1413" s="243"/>
    </row>
    <row r="1414" spans="1:16" ht="12.75" hidden="1" customHeight="1" x14ac:dyDescent="0.25">
      <c r="A1414" s="243"/>
      <c r="B1414" s="104" t="s">
        <v>14</v>
      </c>
      <c r="C1414" s="4"/>
      <c r="D1414" s="5"/>
      <c r="E1414" s="5"/>
      <c r="F1414" s="10"/>
      <c r="G1414" s="213"/>
      <c r="H1414" s="27">
        <f t="shared" si="521"/>
        <v>2727</v>
      </c>
      <c r="I1414" s="27">
        <f t="shared" si="521"/>
        <v>0</v>
      </c>
      <c r="J1414" s="27">
        <f t="shared" si="521"/>
        <v>0</v>
      </c>
      <c r="K1414" s="27">
        <f t="shared" si="521"/>
        <v>0</v>
      </c>
      <c r="L1414" s="27">
        <f t="shared" si="521"/>
        <v>2727</v>
      </c>
      <c r="M1414" s="27">
        <f t="shared" si="521"/>
        <v>0</v>
      </c>
      <c r="N1414" s="27">
        <f t="shared" si="521"/>
        <v>0</v>
      </c>
      <c r="O1414" s="2"/>
      <c r="P1414" s="243"/>
    </row>
    <row r="1415" spans="1:16" ht="12.75" hidden="1" customHeight="1" x14ac:dyDescent="0.25">
      <c r="A1415" s="243"/>
      <c r="B1415" s="104" t="s">
        <v>15</v>
      </c>
      <c r="C1415" s="4"/>
      <c r="D1415" s="5"/>
      <c r="E1415" s="5"/>
      <c r="F1415" s="10"/>
      <c r="G1415" s="213"/>
      <c r="H1415" s="27">
        <f t="shared" si="521"/>
        <v>0</v>
      </c>
      <c r="I1415" s="27">
        <f t="shared" si="521"/>
        <v>0</v>
      </c>
      <c r="J1415" s="27">
        <f t="shared" si="521"/>
        <v>0</v>
      </c>
      <c r="K1415" s="27">
        <f t="shared" si="521"/>
        <v>0</v>
      </c>
      <c r="L1415" s="27">
        <f t="shared" si="521"/>
        <v>0</v>
      </c>
      <c r="M1415" s="27">
        <f t="shared" si="521"/>
        <v>0</v>
      </c>
      <c r="N1415" s="27">
        <f t="shared" si="521"/>
        <v>0</v>
      </c>
      <c r="O1415" s="2"/>
      <c r="P1415" s="243"/>
    </row>
    <row r="1416" spans="1:16" ht="25.5" hidden="1" customHeight="1" x14ac:dyDescent="0.25">
      <c r="A1416" s="244"/>
      <c r="B1416" s="104" t="s">
        <v>12</v>
      </c>
      <c r="C1416" s="4"/>
      <c r="D1416" s="5"/>
      <c r="E1416" s="5"/>
      <c r="F1416" s="10"/>
      <c r="G1416" s="213"/>
      <c r="H1416" s="27">
        <f t="shared" si="521"/>
        <v>0</v>
      </c>
      <c r="I1416" s="27">
        <f t="shared" si="521"/>
        <v>0</v>
      </c>
      <c r="J1416" s="27">
        <f t="shared" si="521"/>
        <v>0</v>
      </c>
      <c r="K1416" s="27">
        <f t="shared" si="521"/>
        <v>0</v>
      </c>
      <c r="L1416" s="27">
        <f t="shared" si="521"/>
        <v>0</v>
      </c>
      <c r="M1416" s="27">
        <f t="shared" si="521"/>
        <v>0</v>
      </c>
      <c r="N1416" s="27">
        <f t="shared" si="521"/>
        <v>0</v>
      </c>
      <c r="O1416" s="2"/>
      <c r="P1416" s="244"/>
    </row>
    <row r="1417" spans="1:16" ht="12.75" hidden="1" customHeight="1" x14ac:dyDescent="0.25">
      <c r="A1417" s="105" t="s">
        <v>186</v>
      </c>
      <c r="B1417" s="84"/>
      <c r="C1417" s="84"/>
      <c r="D1417" s="84"/>
      <c r="E1417" s="84"/>
      <c r="F1417" s="84"/>
      <c r="G1417" s="217"/>
      <c r="H1417" s="180"/>
      <c r="I1417" s="180"/>
      <c r="J1417" s="180"/>
      <c r="K1417" s="180"/>
      <c r="L1417" s="180"/>
      <c r="M1417" s="180"/>
      <c r="N1417" s="180"/>
      <c r="O1417" s="2"/>
      <c r="P1417" s="85"/>
    </row>
    <row r="1418" spans="1:16" ht="12.75" hidden="1" customHeight="1" x14ac:dyDescent="0.25">
      <c r="A1418" s="102"/>
      <c r="B1418" s="45" t="s">
        <v>56</v>
      </c>
      <c r="C1418" s="4">
        <v>136</v>
      </c>
      <c r="D1418" s="5"/>
      <c r="E1418" s="5"/>
      <c r="F1418" s="10"/>
      <c r="G1418" s="213"/>
      <c r="H1418" s="27">
        <f>H1413</f>
        <v>65070.8</v>
      </c>
      <c r="I1418" s="27">
        <f t="shared" ref="I1418:N1419" si="522">I1413</f>
        <v>4091.8</v>
      </c>
      <c r="J1418" s="27">
        <f t="shared" si="522"/>
        <v>8444.7999999999993</v>
      </c>
      <c r="K1418" s="27">
        <f t="shared" si="522"/>
        <v>7586.7</v>
      </c>
      <c r="L1418" s="27">
        <f t="shared" si="522"/>
        <v>44947.5</v>
      </c>
      <c r="M1418" s="27">
        <f t="shared" si="522"/>
        <v>68557</v>
      </c>
      <c r="N1418" s="27">
        <f t="shared" si="522"/>
        <v>68665.7</v>
      </c>
      <c r="O1418" s="2"/>
      <c r="P1418" s="102"/>
    </row>
    <row r="1419" spans="1:16" ht="12.75" hidden="1" customHeight="1" x14ac:dyDescent="0.25">
      <c r="A1419" s="102"/>
      <c r="B1419" s="45" t="s">
        <v>177</v>
      </c>
      <c r="C1419" s="4">
        <v>136</v>
      </c>
      <c r="D1419" s="5"/>
      <c r="E1419" s="5"/>
      <c r="F1419" s="10"/>
      <c r="G1419" s="213"/>
      <c r="H1419" s="27">
        <f>H1414</f>
        <v>2727</v>
      </c>
      <c r="I1419" s="27">
        <f t="shared" si="522"/>
        <v>0</v>
      </c>
      <c r="J1419" s="27">
        <f t="shared" si="522"/>
        <v>0</v>
      </c>
      <c r="K1419" s="27">
        <f t="shared" si="522"/>
        <v>0</v>
      </c>
      <c r="L1419" s="27">
        <f t="shared" si="522"/>
        <v>2727</v>
      </c>
      <c r="M1419" s="27">
        <f t="shared" si="522"/>
        <v>0</v>
      </c>
      <c r="N1419" s="27">
        <f t="shared" si="522"/>
        <v>0</v>
      </c>
      <c r="O1419" s="2"/>
      <c r="P1419" s="102"/>
    </row>
    <row r="1420" spans="1:16" ht="15" hidden="1" customHeight="1" x14ac:dyDescent="0.25">
      <c r="A1420" s="268" t="s">
        <v>34</v>
      </c>
      <c r="B1420" s="52" t="s">
        <v>40</v>
      </c>
      <c r="C1420" s="29"/>
      <c r="D1420" s="30"/>
      <c r="E1420" s="30"/>
      <c r="F1420" s="10"/>
      <c r="G1420" s="213"/>
      <c r="H1420" s="27">
        <f t="shared" ref="H1420:N1420" si="523">H1421+H1422+H1423+H1424</f>
        <v>94237.1</v>
      </c>
      <c r="I1420" s="27" t="e">
        <f t="shared" si="523"/>
        <v>#VALUE!</v>
      </c>
      <c r="J1420" s="27" t="e">
        <f t="shared" si="523"/>
        <v>#VALUE!</v>
      </c>
      <c r="K1420" s="27" t="e">
        <f t="shared" si="523"/>
        <v>#VALUE!</v>
      </c>
      <c r="L1420" s="27" t="e">
        <f t="shared" si="523"/>
        <v>#VALUE!</v>
      </c>
      <c r="M1420" s="27">
        <f t="shared" si="523"/>
        <v>69314</v>
      </c>
      <c r="N1420" s="27">
        <f t="shared" si="523"/>
        <v>69422.7</v>
      </c>
      <c r="O1420" s="2"/>
      <c r="P1420" s="103"/>
    </row>
    <row r="1421" spans="1:16" ht="12.75" hidden="1" customHeight="1" x14ac:dyDescent="0.25">
      <c r="A1421" s="268"/>
      <c r="B1421" s="104" t="s">
        <v>13</v>
      </c>
      <c r="C1421" s="4"/>
      <c r="D1421" s="5"/>
      <c r="E1421" s="5"/>
      <c r="F1421" s="10"/>
      <c r="G1421" s="213"/>
      <c r="H1421" s="27">
        <f>H1383+H1395+H1402+H1413</f>
        <v>65077.8</v>
      </c>
      <c r="I1421" s="27">
        <f>I1383+I1395+I1402+I1413</f>
        <v>4091.8</v>
      </c>
      <c r="J1421" s="27">
        <f t="shared" ref="I1421:N1424" si="524">J1383+J1395+J1402+J1413</f>
        <v>8444.7999999999993</v>
      </c>
      <c r="K1421" s="27">
        <f t="shared" si="524"/>
        <v>7586.7</v>
      </c>
      <c r="L1421" s="27">
        <f t="shared" si="524"/>
        <v>44954.5</v>
      </c>
      <c r="M1421" s="27">
        <f t="shared" si="524"/>
        <v>68564</v>
      </c>
      <c r="N1421" s="27">
        <f t="shared" si="524"/>
        <v>68672.7</v>
      </c>
      <c r="O1421" s="2"/>
      <c r="P1421" s="268"/>
    </row>
    <row r="1422" spans="1:16" ht="12.75" hidden="1" customHeight="1" x14ac:dyDescent="0.25">
      <c r="A1422" s="268"/>
      <c r="B1422" s="104" t="s">
        <v>14</v>
      </c>
      <c r="C1422" s="4"/>
      <c r="D1422" s="5"/>
      <c r="E1422" s="5"/>
      <c r="F1422" s="10"/>
      <c r="G1422" s="213"/>
      <c r="H1422" s="27">
        <f>H1384+H1396+H1403+H1414</f>
        <v>2777</v>
      </c>
      <c r="I1422" s="27" t="e">
        <f t="shared" si="524"/>
        <v>#VALUE!</v>
      </c>
      <c r="J1422" s="27" t="e">
        <f t="shared" si="524"/>
        <v>#VALUE!</v>
      </c>
      <c r="K1422" s="27" t="e">
        <f t="shared" si="524"/>
        <v>#VALUE!</v>
      </c>
      <c r="L1422" s="27" t="e">
        <f t="shared" si="524"/>
        <v>#VALUE!</v>
      </c>
      <c r="M1422" s="27">
        <f t="shared" si="524"/>
        <v>50</v>
      </c>
      <c r="N1422" s="27">
        <f t="shared" si="524"/>
        <v>50</v>
      </c>
      <c r="O1422" s="2"/>
      <c r="P1422" s="268"/>
    </row>
    <row r="1423" spans="1:16" ht="12.75" hidden="1" customHeight="1" x14ac:dyDescent="0.25">
      <c r="A1423" s="268"/>
      <c r="B1423" s="104" t="s">
        <v>15</v>
      </c>
      <c r="C1423" s="4"/>
      <c r="D1423" s="5"/>
      <c r="E1423" s="5"/>
      <c r="F1423" s="10"/>
      <c r="G1423" s="213"/>
      <c r="H1423" s="27">
        <f>H1385+H1397+H1404+H1415</f>
        <v>26032.3</v>
      </c>
      <c r="I1423" s="27">
        <f>I1385+I1397+I1404+I1415</f>
        <v>0</v>
      </c>
      <c r="J1423" s="27">
        <f t="shared" si="524"/>
        <v>14165</v>
      </c>
      <c r="K1423" s="27">
        <f t="shared" si="524"/>
        <v>3454</v>
      </c>
      <c r="L1423" s="27">
        <f t="shared" si="524"/>
        <v>8413.2999999999993</v>
      </c>
      <c r="M1423" s="27">
        <f t="shared" si="524"/>
        <v>350</v>
      </c>
      <c r="N1423" s="27">
        <f t="shared" si="524"/>
        <v>350</v>
      </c>
      <c r="O1423" s="2"/>
      <c r="P1423" s="268"/>
    </row>
    <row r="1424" spans="1:16" ht="25.5" hidden="1" customHeight="1" x14ac:dyDescent="0.25">
      <c r="A1424" s="268"/>
      <c r="B1424" s="104" t="s">
        <v>12</v>
      </c>
      <c r="C1424" s="4"/>
      <c r="D1424" s="5"/>
      <c r="E1424" s="5"/>
      <c r="F1424" s="10"/>
      <c r="G1424" s="213"/>
      <c r="H1424" s="27">
        <f>H1386+H1398+H1405+H1416</f>
        <v>350</v>
      </c>
      <c r="I1424" s="27">
        <f t="shared" si="524"/>
        <v>0</v>
      </c>
      <c r="J1424" s="27">
        <f t="shared" si="524"/>
        <v>350</v>
      </c>
      <c r="K1424" s="27">
        <f t="shared" si="524"/>
        <v>0</v>
      </c>
      <c r="L1424" s="27">
        <f t="shared" si="524"/>
        <v>0</v>
      </c>
      <c r="M1424" s="27">
        <f t="shared" si="524"/>
        <v>350</v>
      </c>
      <c r="N1424" s="27">
        <f t="shared" si="524"/>
        <v>350</v>
      </c>
      <c r="O1424" s="2"/>
      <c r="P1424" s="268"/>
    </row>
    <row r="1425" spans="1:16" hidden="1" x14ac:dyDescent="0.25">
      <c r="A1425" s="103"/>
      <c r="B1425" s="106" t="s">
        <v>449</v>
      </c>
      <c r="C1425" s="107"/>
      <c r="D1425" s="108"/>
      <c r="E1425" s="108"/>
      <c r="F1425" s="109"/>
      <c r="G1425" s="219"/>
      <c r="H1425" s="181" t="e">
        <f>H15+H671+#REF!+#REF!+H128</f>
        <v>#REF!</v>
      </c>
      <c r="I1425" s="181" t="e">
        <f>I15+I671+#REF!+#REF!+I128</f>
        <v>#REF!</v>
      </c>
      <c r="J1425" s="181" t="e">
        <f>J15+J671+#REF!+#REF!+J128</f>
        <v>#REF!</v>
      </c>
      <c r="K1425" s="181" t="e">
        <f>K15+K671+#REF!+#REF!+K128</f>
        <v>#REF!</v>
      </c>
      <c r="L1425" s="181" t="e">
        <f>L15+L671+#REF!+#REF!+L128</f>
        <v>#REF!</v>
      </c>
      <c r="M1425" s="181" t="e">
        <f>M15+M671+#REF!+#REF!+M128</f>
        <v>#REF!</v>
      </c>
      <c r="N1425" s="181" t="e">
        <f>N15+N671+#REF!+#REF!+N128</f>
        <v>#REF!</v>
      </c>
      <c r="O1425" s="2"/>
      <c r="P1425" s="103"/>
    </row>
    <row r="1426" spans="1:16" hidden="1" x14ac:dyDescent="0.25">
      <c r="A1426" s="332" t="s">
        <v>648</v>
      </c>
      <c r="B1426" s="333"/>
      <c r="C1426" s="333"/>
      <c r="D1426" s="333"/>
      <c r="E1426" s="333"/>
      <c r="F1426" s="333"/>
      <c r="G1426" s="333"/>
      <c r="H1426" s="333"/>
      <c r="I1426" s="333"/>
      <c r="J1426" s="333"/>
      <c r="K1426" s="333"/>
      <c r="L1426" s="333"/>
      <c r="M1426" s="333"/>
      <c r="N1426" s="333"/>
      <c r="O1426" s="333"/>
      <c r="P1426" s="333"/>
    </row>
    <row r="1427" spans="1:16" hidden="1" x14ac:dyDescent="0.25">
      <c r="A1427" s="333"/>
      <c r="B1427" s="333"/>
      <c r="C1427" s="333"/>
      <c r="D1427" s="333"/>
      <c r="E1427" s="333"/>
      <c r="F1427" s="333"/>
      <c r="G1427" s="333"/>
      <c r="H1427" s="333"/>
      <c r="I1427" s="333"/>
      <c r="J1427" s="333"/>
      <c r="K1427" s="333"/>
      <c r="L1427" s="333"/>
      <c r="M1427" s="333"/>
      <c r="N1427" s="333"/>
      <c r="O1427" s="333"/>
      <c r="P1427" s="333"/>
    </row>
    <row r="1428" spans="1:16" ht="21" hidden="1" customHeight="1" x14ac:dyDescent="0.25">
      <c r="A1428" s="333"/>
      <c r="B1428" s="333"/>
      <c r="C1428" s="333"/>
      <c r="D1428" s="333"/>
      <c r="E1428" s="333"/>
      <c r="F1428" s="333"/>
      <c r="G1428" s="333"/>
      <c r="H1428" s="333"/>
      <c r="I1428" s="333"/>
      <c r="J1428" s="333"/>
      <c r="K1428" s="333"/>
      <c r="L1428" s="333"/>
      <c r="M1428" s="333"/>
      <c r="N1428" s="333"/>
      <c r="O1428" s="333"/>
      <c r="P1428" s="333"/>
    </row>
    <row r="1429" spans="1:16" x14ac:dyDescent="0.25">
      <c r="A1429" s="333"/>
      <c r="B1429" s="333"/>
      <c r="C1429" s="333"/>
      <c r="D1429" s="333"/>
      <c r="E1429" s="333"/>
      <c r="F1429" s="333"/>
      <c r="G1429" s="333"/>
      <c r="H1429" s="333"/>
      <c r="I1429" s="333"/>
      <c r="J1429" s="333"/>
      <c r="K1429" s="333"/>
      <c r="L1429" s="333"/>
      <c r="M1429" s="333"/>
      <c r="N1429" s="333"/>
      <c r="O1429" s="333"/>
      <c r="P1429" s="333"/>
    </row>
    <row r="1430" spans="1:16" x14ac:dyDescent="0.25">
      <c r="A1430" s="333"/>
      <c r="B1430" s="333"/>
      <c r="C1430" s="333"/>
      <c r="D1430" s="333"/>
      <c r="E1430" s="333"/>
      <c r="F1430" s="333"/>
      <c r="G1430" s="333"/>
      <c r="H1430" s="333"/>
      <c r="I1430" s="333"/>
      <c r="J1430" s="333"/>
      <c r="K1430" s="333"/>
      <c r="L1430" s="333"/>
      <c r="M1430" s="333"/>
      <c r="N1430" s="333"/>
      <c r="O1430" s="333"/>
      <c r="P1430" s="333"/>
    </row>
    <row r="1431" spans="1:16" x14ac:dyDescent="0.25">
      <c r="A1431" s="333"/>
      <c r="B1431" s="333"/>
      <c r="C1431" s="333"/>
      <c r="D1431" s="333"/>
      <c r="E1431" s="333"/>
      <c r="F1431" s="333"/>
      <c r="G1431" s="333"/>
      <c r="H1431" s="333"/>
      <c r="I1431" s="333"/>
      <c r="J1431" s="333"/>
      <c r="K1431" s="333"/>
      <c r="L1431" s="333"/>
      <c r="M1431" s="333"/>
      <c r="N1431" s="333"/>
      <c r="O1431" s="333"/>
      <c r="P1431" s="333"/>
    </row>
    <row r="1432" spans="1:16" ht="69" customHeight="1" x14ac:dyDescent="0.25">
      <c r="A1432" s="333"/>
      <c r="B1432" s="333"/>
      <c r="C1432" s="333"/>
      <c r="D1432" s="333"/>
      <c r="E1432" s="333"/>
      <c r="F1432" s="333"/>
      <c r="G1432" s="333"/>
      <c r="H1432" s="333"/>
      <c r="I1432" s="333"/>
      <c r="J1432" s="333"/>
      <c r="K1432" s="333"/>
      <c r="L1432" s="333"/>
      <c r="M1432" s="333"/>
      <c r="N1432" s="333"/>
      <c r="O1432" s="333"/>
      <c r="P1432" s="333"/>
    </row>
    <row r="1433" spans="1:16" ht="69" customHeight="1" x14ac:dyDescent="0.25">
      <c r="A1433" s="333"/>
      <c r="B1433" s="333"/>
      <c r="C1433" s="333"/>
      <c r="D1433" s="333"/>
      <c r="E1433" s="333"/>
      <c r="F1433" s="333"/>
      <c r="G1433" s="333"/>
      <c r="H1433" s="333"/>
      <c r="I1433" s="333"/>
      <c r="J1433" s="333"/>
      <c r="K1433" s="333"/>
      <c r="L1433" s="333"/>
      <c r="M1433" s="333"/>
      <c r="N1433" s="333"/>
      <c r="O1433" s="333"/>
      <c r="P1433" s="333"/>
    </row>
    <row r="1434" spans="1:16" ht="69" customHeight="1" x14ac:dyDescent="0.25">
      <c r="A1434" s="333"/>
      <c r="B1434" s="333"/>
      <c r="C1434" s="333"/>
      <c r="D1434" s="333"/>
      <c r="E1434" s="333"/>
      <c r="F1434" s="333"/>
      <c r="G1434" s="333"/>
      <c r="H1434" s="333"/>
      <c r="I1434" s="333"/>
      <c r="J1434" s="333"/>
      <c r="K1434" s="333"/>
      <c r="L1434" s="333"/>
      <c r="M1434" s="333"/>
      <c r="N1434" s="333"/>
      <c r="O1434" s="333"/>
      <c r="P1434" s="333"/>
    </row>
    <row r="1435" spans="1:16" ht="69" customHeight="1" x14ac:dyDescent="0.25">
      <c r="A1435" s="333"/>
      <c r="B1435" s="333"/>
      <c r="C1435" s="333"/>
      <c r="D1435" s="333"/>
      <c r="E1435" s="333"/>
      <c r="F1435" s="333"/>
      <c r="G1435" s="333"/>
      <c r="H1435" s="333"/>
      <c r="I1435" s="333"/>
      <c r="J1435" s="333"/>
      <c r="K1435" s="333"/>
      <c r="L1435" s="333"/>
      <c r="M1435" s="333"/>
      <c r="N1435" s="333"/>
      <c r="O1435" s="333"/>
      <c r="P1435" s="333"/>
    </row>
    <row r="1436" spans="1:16" ht="69" customHeight="1" x14ac:dyDescent="0.25">
      <c r="A1436" s="333"/>
      <c r="B1436" s="333"/>
      <c r="C1436" s="333"/>
      <c r="D1436" s="333"/>
      <c r="E1436" s="333"/>
      <c r="F1436" s="333"/>
      <c r="G1436" s="333"/>
      <c r="H1436" s="333"/>
      <c r="I1436" s="333"/>
      <c r="J1436" s="333"/>
      <c r="K1436" s="333"/>
      <c r="L1436" s="333"/>
      <c r="M1436" s="333"/>
      <c r="N1436" s="333"/>
      <c r="O1436" s="333"/>
      <c r="P1436" s="333"/>
    </row>
    <row r="1437" spans="1:16" ht="69" customHeight="1" x14ac:dyDescent="0.25">
      <c r="A1437" s="333"/>
      <c r="B1437" s="333"/>
      <c r="C1437" s="333"/>
      <c r="D1437" s="333"/>
      <c r="E1437" s="333"/>
      <c r="F1437" s="333"/>
      <c r="G1437" s="333"/>
      <c r="H1437" s="333"/>
      <c r="I1437" s="333"/>
      <c r="J1437" s="333"/>
      <c r="K1437" s="333"/>
      <c r="L1437" s="333"/>
      <c r="M1437" s="333"/>
      <c r="N1437" s="333"/>
      <c r="O1437" s="333"/>
      <c r="P1437" s="333"/>
    </row>
    <row r="1438" spans="1:16" ht="93" customHeight="1" x14ac:dyDescent="0.25">
      <c r="A1438" s="333"/>
      <c r="B1438" s="333"/>
      <c r="C1438" s="333"/>
      <c r="D1438" s="333"/>
      <c r="E1438" s="333"/>
      <c r="F1438" s="333"/>
      <c r="G1438" s="333"/>
      <c r="H1438" s="333"/>
      <c r="I1438" s="333"/>
      <c r="J1438" s="333"/>
      <c r="K1438" s="333"/>
      <c r="L1438" s="333"/>
      <c r="M1438" s="333"/>
      <c r="N1438" s="333"/>
      <c r="O1438" s="333"/>
      <c r="P1438" s="333"/>
    </row>
    <row r="1442" spans="1:16" ht="15.6" x14ac:dyDescent="0.25">
      <c r="A1442" s="324"/>
      <c r="B1442" s="324"/>
      <c r="C1442" s="324"/>
      <c r="D1442" s="324"/>
      <c r="E1442" s="324"/>
      <c r="F1442" s="324"/>
      <c r="G1442" s="324"/>
      <c r="H1442" s="324"/>
      <c r="I1442" s="324"/>
      <c r="J1442" s="324"/>
      <c r="K1442" s="324"/>
      <c r="L1442" s="324"/>
      <c r="M1442" s="324"/>
      <c r="N1442" s="324"/>
      <c r="O1442" s="324"/>
      <c r="P1442" s="324"/>
    </row>
  </sheetData>
  <sheetProtection formatCells="0" autoFilter="0"/>
  <autoFilter ref="A10:X1380">
    <filterColumn colId="16" showButton="0"/>
  </autoFilter>
  <mergeCells count="605">
    <mergeCell ref="H1320:N1320"/>
    <mergeCell ref="H784:N784"/>
    <mergeCell ref="H791:N791"/>
    <mergeCell ref="A1054:A1060"/>
    <mergeCell ref="A1061:A1068"/>
    <mergeCell ref="O1061:O1068"/>
    <mergeCell ref="P1061:P1068"/>
    <mergeCell ref="B1064:B1065"/>
    <mergeCell ref="O1054:O1060"/>
    <mergeCell ref="P1054:P1060"/>
    <mergeCell ref="A1036:A1045"/>
    <mergeCell ref="O1036:O1045"/>
    <mergeCell ref="P1036:P1045"/>
    <mergeCell ref="A1046:A1053"/>
    <mergeCell ref="O1046:O1053"/>
    <mergeCell ref="P1046:P1053"/>
    <mergeCell ref="B1049:B1050"/>
    <mergeCell ref="B1039:B1042"/>
    <mergeCell ref="B1146:B1147"/>
    <mergeCell ref="A1151:A1157"/>
    <mergeCell ref="O1228:O1232"/>
    <mergeCell ref="P1228:P1232"/>
    <mergeCell ref="A1188:A1194"/>
    <mergeCell ref="A1137:A1141"/>
    <mergeCell ref="A40:A46"/>
    <mergeCell ref="A34:A39"/>
    <mergeCell ref="P34:P39"/>
    <mergeCell ref="P40:P46"/>
    <mergeCell ref="O40:O46"/>
    <mergeCell ref="O34:O39"/>
    <mergeCell ref="O1258:O1262"/>
    <mergeCell ref="A1228:A1232"/>
    <mergeCell ref="A861:A869"/>
    <mergeCell ref="O861:O869"/>
    <mergeCell ref="P861:P869"/>
    <mergeCell ref="B864:B866"/>
    <mergeCell ref="A870:A876"/>
    <mergeCell ref="O870:O876"/>
    <mergeCell ref="P870:P876"/>
    <mergeCell ref="A877:A883"/>
    <mergeCell ref="O877:O883"/>
    <mergeCell ref="P877:P883"/>
    <mergeCell ref="A1158:A1164"/>
    <mergeCell ref="O1158:O1164"/>
    <mergeCell ref="B696:B699"/>
    <mergeCell ref="A912:A918"/>
    <mergeCell ref="O912:O918"/>
    <mergeCell ref="P1158:P1164"/>
    <mergeCell ref="A1142:P1142"/>
    <mergeCell ref="O1137:O1141"/>
    <mergeCell ref="P1137:P1141"/>
    <mergeCell ref="P1100:P1106"/>
    <mergeCell ref="A1123:A1129"/>
    <mergeCell ref="O1123:O1129"/>
    <mergeCell ref="A1181:A1187"/>
    <mergeCell ref="O1223:O1227"/>
    <mergeCell ref="P1223:P1227"/>
    <mergeCell ref="O1195:O1201"/>
    <mergeCell ref="O1174:O1180"/>
    <mergeCell ref="P1174:P1180"/>
    <mergeCell ref="O1188:O1194"/>
    <mergeCell ref="P1188:P1194"/>
    <mergeCell ref="A1174:A1180"/>
    <mergeCell ref="B1110:B1111"/>
    <mergeCell ref="P912:P918"/>
    <mergeCell ref="O1181:O1187"/>
    <mergeCell ref="P1195:P1201"/>
    <mergeCell ref="A1202:A1208"/>
    <mergeCell ref="O1202:O1208"/>
    <mergeCell ref="P1202:P1208"/>
    <mergeCell ref="A1209:A1215"/>
    <mergeCell ref="O1209:O1215"/>
    <mergeCell ref="P1209:P1215"/>
    <mergeCell ref="A1100:A1106"/>
    <mergeCell ref="O1100:O1106"/>
    <mergeCell ref="A1143:A1150"/>
    <mergeCell ref="O1143:O1150"/>
    <mergeCell ref="P1143:P1150"/>
    <mergeCell ref="O1151:O1157"/>
    <mergeCell ref="P1151:P1157"/>
    <mergeCell ref="B1168:B1170"/>
    <mergeCell ref="P1022:P1028"/>
    <mergeCell ref="A1029:A1035"/>
    <mergeCell ref="O1029:O1035"/>
    <mergeCell ref="P1029:P1035"/>
    <mergeCell ref="A1005:A1013"/>
    <mergeCell ref="O1005:O1013"/>
    <mergeCell ref="P1005:P1013"/>
    <mergeCell ref="A884:A890"/>
    <mergeCell ref="O884:O890"/>
    <mergeCell ref="P884:P890"/>
    <mergeCell ref="A898:A904"/>
    <mergeCell ref="O898:O904"/>
    <mergeCell ref="P898:P904"/>
    <mergeCell ref="A905:A911"/>
    <mergeCell ref="O905:O911"/>
    <mergeCell ref="P905:P911"/>
    <mergeCell ref="O891:O897"/>
    <mergeCell ref="P891:P897"/>
    <mergeCell ref="A891:A897"/>
    <mergeCell ref="O669:O675"/>
    <mergeCell ref="P669:P675"/>
    <mergeCell ref="A676:A682"/>
    <mergeCell ref="O676:O682"/>
    <mergeCell ref="P676:P682"/>
    <mergeCell ref="A1290:A1296"/>
    <mergeCell ref="A1275:A1281"/>
    <mergeCell ref="O1275:O1281"/>
    <mergeCell ref="P1275:P1281"/>
    <mergeCell ref="P1258:P1262"/>
    <mergeCell ref="A1282:A1289"/>
    <mergeCell ref="O1282:O1289"/>
    <mergeCell ref="P1282:P1289"/>
    <mergeCell ref="B1285:B1286"/>
    <mergeCell ref="A1223:A1227"/>
    <mergeCell ref="A1195:A1201"/>
    <mergeCell ref="A1264:A1274"/>
    <mergeCell ref="O1264:O1274"/>
    <mergeCell ref="P1264:P1274"/>
    <mergeCell ref="B1267:B1271"/>
    <mergeCell ref="A1234:P1234"/>
    <mergeCell ref="A1235:P1235"/>
    <mergeCell ref="O1290:O1296"/>
    <mergeCell ref="P1290:P1296"/>
    <mergeCell ref="A1442:P1442"/>
    <mergeCell ref="A1341:A1345"/>
    <mergeCell ref="A1382:A1386"/>
    <mergeCell ref="A1394:A1398"/>
    <mergeCell ref="A1401:A1405"/>
    <mergeCell ref="O1341:O1345"/>
    <mergeCell ref="P1341:P1345"/>
    <mergeCell ref="A1236:P1236"/>
    <mergeCell ref="A1237:A1243"/>
    <mergeCell ref="O1237:O1243"/>
    <mergeCell ref="P1237:P1243"/>
    <mergeCell ref="A1244:A1250"/>
    <mergeCell ref="O1244:O1250"/>
    <mergeCell ref="P1244:P1250"/>
    <mergeCell ref="A1251:A1257"/>
    <mergeCell ref="O1251:O1257"/>
    <mergeCell ref="P1251:P1257"/>
    <mergeCell ref="A1258:A1262"/>
    <mergeCell ref="A1263:P1263"/>
    <mergeCell ref="A1420:A1424"/>
    <mergeCell ref="P1421:P1424"/>
    <mergeCell ref="A1426:P1438"/>
    <mergeCell ref="A1336:A1340"/>
    <mergeCell ref="O1336:O1340"/>
    <mergeCell ref="A1412:A1416"/>
    <mergeCell ref="P1412:P1416"/>
    <mergeCell ref="A1331:A1335"/>
    <mergeCell ref="P1336:P1340"/>
    <mergeCell ref="O1331:O1335"/>
    <mergeCell ref="P1331:P1335"/>
    <mergeCell ref="A1165:A1173"/>
    <mergeCell ref="O1165:O1173"/>
    <mergeCell ref="P1165:P1173"/>
    <mergeCell ref="A1317:A1323"/>
    <mergeCell ref="O1317:O1323"/>
    <mergeCell ref="P1317:P1323"/>
    <mergeCell ref="A1324:A1330"/>
    <mergeCell ref="O1324:O1330"/>
    <mergeCell ref="P1324:P1330"/>
    <mergeCell ref="A1311:A1315"/>
    <mergeCell ref="O1311:O1315"/>
    <mergeCell ref="P1311:P1315"/>
    <mergeCell ref="P1216:P1222"/>
    <mergeCell ref="A1216:A1222"/>
    <mergeCell ref="O1216:O1222"/>
    <mergeCell ref="P1181:P1187"/>
    <mergeCell ref="A1316:P1316"/>
    <mergeCell ref="H1327:N1327"/>
    <mergeCell ref="A1297:A1303"/>
    <mergeCell ref="O1297:O1303"/>
    <mergeCell ref="P1297:P1303"/>
    <mergeCell ref="A1304:A1310"/>
    <mergeCell ref="A1093:A1099"/>
    <mergeCell ref="O1093:O1099"/>
    <mergeCell ref="P1093:P1099"/>
    <mergeCell ref="A1069:A1075"/>
    <mergeCell ref="O1069:O1075"/>
    <mergeCell ref="P1069:P1075"/>
    <mergeCell ref="A1076:A1085"/>
    <mergeCell ref="O1076:O1085"/>
    <mergeCell ref="P1076:P1085"/>
    <mergeCell ref="B1079:B1082"/>
    <mergeCell ref="O1086:O1092"/>
    <mergeCell ref="P1086:P1092"/>
    <mergeCell ref="A1086:A1092"/>
    <mergeCell ref="O1304:O1310"/>
    <mergeCell ref="P1304:P1310"/>
    <mergeCell ref="P1123:P1129"/>
    <mergeCell ref="A1130:A1136"/>
    <mergeCell ref="O1130:O1136"/>
    <mergeCell ref="P1130:P1136"/>
    <mergeCell ref="A1233:P1233"/>
    <mergeCell ref="B1008:B1010"/>
    <mergeCell ref="A1014:A1021"/>
    <mergeCell ref="O1014:O1021"/>
    <mergeCell ref="P1014:P1021"/>
    <mergeCell ref="B1017:B1018"/>
    <mergeCell ref="O1022:O1028"/>
    <mergeCell ref="A1022:A1028"/>
    <mergeCell ref="A989:A993"/>
    <mergeCell ref="A994:P994"/>
    <mergeCell ref="A995:A1004"/>
    <mergeCell ref="O995:O1004"/>
    <mergeCell ref="P995:P1004"/>
    <mergeCell ref="B998:B1001"/>
    <mergeCell ref="A982:A988"/>
    <mergeCell ref="O982:O988"/>
    <mergeCell ref="P982:P988"/>
    <mergeCell ref="O989:O993"/>
    <mergeCell ref="P989:P993"/>
    <mergeCell ref="A975:A981"/>
    <mergeCell ref="O975:O981"/>
    <mergeCell ref="P975:P981"/>
    <mergeCell ref="A960:A966"/>
    <mergeCell ref="O960:O966"/>
    <mergeCell ref="P960:P966"/>
    <mergeCell ref="A967:A974"/>
    <mergeCell ref="O967:O974"/>
    <mergeCell ref="P967:P974"/>
    <mergeCell ref="B970:B971"/>
    <mergeCell ref="A919:A923"/>
    <mergeCell ref="A924:A928"/>
    <mergeCell ref="A944:A952"/>
    <mergeCell ref="O944:O952"/>
    <mergeCell ref="P944:P952"/>
    <mergeCell ref="B947:B949"/>
    <mergeCell ref="A953:A959"/>
    <mergeCell ref="O953:O959"/>
    <mergeCell ref="P953:P959"/>
    <mergeCell ref="A929:P929"/>
    <mergeCell ref="A930:P930"/>
    <mergeCell ref="A931:P931"/>
    <mergeCell ref="A932:P932"/>
    <mergeCell ref="A933:A943"/>
    <mergeCell ref="O933:O943"/>
    <mergeCell ref="P933:P943"/>
    <mergeCell ref="B936:B940"/>
    <mergeCell ref="O919:O928"/>
    <mergeCell ref="P919:P928"/>
    <mergeCell ref="A837:A843"/>
    <mergeCell ref="O837:O843"/>
    <mergeCell ref="P837:P843"/>
    <mergeCell ref="A823:A829"/>
    <mergeCell ref="O823:O829"/>
    <mergeCell ref="P823:P829"/>
    <mergeCell ref="A844:A850"/>
    <mergeCell ref="O844:O850"/>
    <mergeCell ref="P844:P850"/>
    <mergeCell ref="A830:A836"/>
    <mergeCell ref="O830:O836"/>
    <mergeCell ref="P830:P836"/>
    <mergeCell ref="A809:A813"/>
    <mergeCell ref="A814:P814"/>
    <mergeCell ref="A815:A822"/>
    <mergeCell ref="O815:O822"/>
    <mergeCell ref="P815:P822"/>
    <mergeCell ref="A781:A787"/>
    <mergeCell ref="O781:O787"/>
    <mergeCell ref="P781:P787"/>
    <mergeCell ref="A774:A780"/>
    <mergeCell ref="O774:O780"/>
    <mergeCell ref="P774:P780"/>
    <mergeCell ref="A795:A801"/>
    <mergeCell ref="O795:O801"/>
    <mergeCell ref="P795:P801"/>
    <mergeCell ref="A802:A808"/>
    <mergeCell ref="O802:O808"/>
    <mergeCell ref="P802:P808"/>
    <mergeCell ref="O809:O813"/>
    <mergeCell ref="P809:P813"/>
    <mergeCell ref="A788:A794"/>
    <mergeCell ref="O788:O794"/>
    <mergeCell ref="P788:P794"/>
    <mergeCell ref="B818:B819"/>
    <mergeCell ref="A764:P764"/>
    <mergeCell ref="A765:P765"/>
    <mergeCell ref="A766:P766"/>
    <mergeCell ref="A767:A773"/>
    <mergeCell ref="O767:O773"/>
    <mergeCell ref="P767:P773"/>
    <mergeCell ref="A753:A757"/>
    <mergeCell ref="A758:A762"/>
    <mergeCell ref="A763:P763"/>
    <mergeCell ref="O758:O762"/>
    <mergeCell ref="P758:P762"/>
    <mergeCell ref="O753:O757"/>
    <mergeCell ref="P753:P757"/>
    <mergeCell ref="A739:A745"/>
    <mergeCell ref="O739:O745"/>
    <mergeCell ref="P739:P745"/>
    <mergeCell ref="A746:A752"/>
    <mergeCell ref="O746:O752"/>
    <mergeCell ref="P746:P752"/>
    <mergeCell ref="A732:A738"/>
    <mergeCell ref="O732:O738"/>
    <mergeCell ref="P732:P738"/>
    <mergeCell ref="A725:A729"/>
    <mergeCell ref="A730:P730"/>
    <mergeCell ref="A731:P731"/>
    <mergeCell ref="O725:O729"/>
    <mergeCell ref="P725:P729"/>
    <mergeCell ref="A637:A652"/>
    <mergeCell ref="O637:O652"/>
    <mergeCell ref="P637:P652"/>
    <mergeCell ref="B640:B644"/>
    <mergeCell ref="B645:B650"/>
    <mergeCell ref="A653:A668"/>
    <mergeCell ref="O653:O668"/>
    <mergeCell ref="P653:P668"/>
    <mergeCell ref="B656:B660"/>
    <mergeCell ref="B661:B666"/>
    <mergeCell ref="A683:A692"/>
    <mergeCell ref="O683:O692"/>
    <mergeCell ref="P683:P692"/>
    <mergeCell ref="A693:A702"/>
    <mergeCell ref="O693:O702"/>
    <mergeCell ref="P693:P702"/>
    <mergeCell ref="A703:A709"/>
    <mergeCell ref="O703:O709"/>
    <mergeCell ref="A669:A675"/>
    <mergeCell ref="A605:A620"/>
    <mergeCell ref="O605:O620"/>
    <mergeCell ref="P605:P620"/>
    <mergeCell ref="B608:B612"/>
    <mergeCell ref="B613:B618"/>
    <mergeCell ref="A621:A636"/>
    <mergeCell ref="O621:O636"/>
    <mergeCell ref="P621:P636"/>
    <mergeCell ref="B624:B628"/>
    <mergeCell ref="B629:B634"/>
    <mergeCell ref="A589:A604"/>
    <mergeCell ref="O589:O604"/>
    <mergeCell ref="P589:P604"/>
    <mergeCell ref="B592:B596"/>
    <mergeCell ref="B597:B602"/>
    <mergeCell ref="A573:A588"/>
    <mergeCell ref="O573:O588"/>
    <mergeCell ref="P573:P588"/>
    <mergeCell ref="B576:B580"/>
    <mergeCell ref="B581:B586"/>
    <mergeCell ref="A547:A557"/>
    <mergeCell ref="O547:O557"/>
    <mergeCell ref="P547:P557"/>
    <mergeCell ref="B550:B552"/>
    <mergeCell ref="B553:B555"/>
    <mergeCell ref="A558:A572"/>
    <mergeCell ref="O558:O572"/>
    <mergeCell ref="P558:P572"/>
    <mergeCell ref="B561:B565"/>
    <mergeCell ref="B566:B570"/>
    <mergeCell ref="A525:A535"/>
    <mergeCell ref="O525:O535"/>
    <mergeCell ref="P525:P535"/>
    <mergeCell ref="B528:B530"/>
    <mergeCell ref="B531:B533"/>
    <mergeCell ref="A536:A546"/>
    <mergeCell ref="O536:O546"/>
    <mergeCell ref="P536:P546"/>
    <mergeCell ref="B539:B541"/>
    <mergeCell ref="B542:B544"/>
    <mergeCell ref="A503:A513"/>
    <mergeCell ref="O503:O513"/>
    <mergeCell ref="P503:P513"/>
    <mergeCell ref="B506:B508"/>
    <mergeCell ref="B509:B511"/>
    <mergeCell ref="A514:A524"/>
    <mergeCell ref="O514:O524"/>
    <mergeCell ref="P514:P524"/>
    <mergeCell ref="B517:B519"/>
    <mergeCell ref="B520:B522"/>
    <mergeCell ref="A479:A491"/>
    <mergeCell ref="O479:O491"/>
    <mergeCell ref="P479:P491"/>
    <mergeCell ref="B482:B485"/>
    <mergeCell ref="B486:B489"/>
    <mergeCell ref="A492:A502"/>
    <mergeCell ref="O492:O502"/>
    <mergeCell ref="P492:P502"/>
    <mergeCell ref="B495:B497"/>
    <mergeCell ref="B498:B500"/>
    <mergeCell ref="A471:A478"/>
    <mergeCell ref="O471:O478"/>
    <mergeCell ref="P471:P478"/>
    <mergeCell ref="B474:B475"/>
    <mergeCell ref="A451:A463"/>
    <mergeCell ref="O451:O463"/>
    <mergeCell ref="P451:P463"/>
    <mergeCell ref="B454:B457"/>
    <mergeCell ref="B458:B461"/>
    <mergeCell ref="A464:A470"/>
    <mergeCell ref="O464:O470"/>
    <mergeCell ref="P464:P470"/>
    <mergeCell ref="A429:A443"/>
    <mergeCell ref="O429:O443"/>
    <mergeCell ref="P429:P443"/>
    <mergeCell ref="B432:B437"/>
    <mergeCell ref="B438:B441"/>
    <mergeCell ref="A444:A450"/>
    <mergeCell ref="O444:O450"/>
    <mergeCell ref="P444:P450"/>
    <mergeCell ref="A422:A428"/>
    <mergeCell ref="O422:O428"/>
    <mergeCell ref="P422:P428"/>
    <mergeCell ref="A408:A414"/>
    <mergeCell ref="O408:O414"/>
    <mergeCell ref="P408:P414"/>
    <mergeCell ref="A415:A421"/>
    <mergeCell ref="O415:O421"/>
    <mergeCell ref="P415:P421"/>
    <mergeCell ref="A393:A400"/>
    <mergeCell ref="O393:O400"/>
    <mergeCell ref="P393:P400"/>
    <mergeCell ref="B396:B397"/>
    <mergeCell ref="A401:A407"/>
    <mergeCell ref="O401:O407"/>
    <mergeCell ref="P401:P407"/>
    <mergeCell ref="A383:A392"/>
    <mergeCell ref="O383:O392"/>
    <mergeCell ref="P383:P392"/>
    <mergeCell ref="B386:B389"/>
    <mergeCell ref="A364:A375"/>
    <mergeCell ref="O364:O375"/>
    <mergeCell ref="P364:P375"/>
    <mergeCell ref="B367:B372"/>
    <mergeCell ref="A376:A382"/>
    <mergeCell ref="O376:O382"/>
    <mergeCell ref="P376:P382"/>
    <mergeCell ref="A350:A356"/>
    <mergeCell ref="O350:O356"/>
    <mergeCell ref="P350:P356"/>
    <mergeCell ref="A357:A363"/>
    <mergeCell ref="O357:O363"/>
    <mergeCell ref="P357:P363"/>
    <mergeCell ref="A336:A342"/>
    <mergeCell ref="O336:O342"/>
    <mergeCell ref="P336:P342"/>
    <mergeCell ref="A343:A349"/>
    <mergeCell ref="O343:O349"/>
    <mergeCell ref="P343:P349"/>
    <mergeCell ref="A309:A313"/>
    <mergeCell ref="A314:P314"/>
    <mergeCell ref="A315:A335"/>
    <mergeCell ref="O315:O335"/>
    <mergeCell ref="P315:P335"/>
    <mergeCell ref="B318:B332"/>
    <mergeCell ref="O309:O313"/>
    <mergeCell ref="P309:P313"/>
    <mergeCell ref="A286:P286"/>
    <mergeCell ref="A287:P287"/>
    <mergeCell ref="A302:A308"/>
    <mergeCell ref="O302:O308"/>
    <mergeCell ref="P302:P308"/>
    <mergeCell ref="A288:A294"/>
    <mergeCell ref="O288:O294"/>
    <mergeCell ref="P288:P294"/>
    <mergeCell ref="A295:A301"/>
    <mergeCell ref="O295:O301"/>
    <mergeCell ref="P295:P301"/>
    <mergeCell ref="A281:A285"/>
    <mergeCell ref="O281:O285"/>
    <mergeCell ref="P281:P285"/>
    <mergeCell ref="A244:A251"/>
    <mergeCell ref="O244:O251"/>
    <mergeCell ref="P244:P251"/>
    <mergeCell ref="B247:B248"/>
    <mergeCell ref="A252:A258"/>
    <mergeCell ref="O252:O258"/>
    <mergeCell ref="P252:P258"/>
    <mergeCell ref="A259:A269"/>
    <mergeCell ref="O259:O269"/>
    <mergeCell ref="P259:P269"/>
    <mergeCell ref="B262:B265"/>
    <mergeCell ref="B266:B267"/>
    <mergeCell ref="A270:A280"/>
    <mergeCell ref="O270:O280"/>
    <mergeCell ref="P270:P280"/>
    <mergeCell ref="B273:B276"/>
    <mergeCell ref="B277:B278"/>
    <mergeCell ref="A203:A210"/>
    <mergeCell ref="O203:O210"/>
    <mergeCell ref="P203:P210"/>
    <mergeCell ref="B206:B207"/>
    <mergeCell ref="A227:A234"/>
    <mergeCell ref="O227:O234"/>
    <mergeCell ref="P227:P234"/>
    <mergeCell ref="B230:B231"/>
    <mergeCell ref="A235:A243"/>
    <mergeCell ref="O235:O243"/>
    <mergeCell ref="P235:P243"/>
    <mergeCell ref="B238:B240"/>
    <mergeCell ref="A211:A218"/>
    <mergeCell ref="O211:O218"/>
    <mergeCell ref="P211:P218"/>
    <mergeCell ref="B214:B215"/>
    <mergeCell ref="A219:A226"/>
    <mergeCell ref="O219:O226"/>
    <mergeCell ref="P219:P226"/>
    <mergeCell ref="B222:B223"/>
    <mergeCell ref="A196:A202"/>
    <mergeCell ref="O196:O202"/>
    <mergeCell ref="P196:P202"/>
    <mergeCell ref="A169:A179"/>
    <mergeCell ref="O169:O179"/>
    <mergeCell ref="P169:P179"/>
    <mergeCell ref="B172:B176"/>
    <mergeCell ref="B177:B178"/>
    <mergeCell ref="A180:A195"/>
    <mergeCell ref="O180:O195"/>
    <mergeCell ref="P180:P195"/>
    <mergeCell ref="B183:B190"/>
    <mergeCell ref="B192:B194"/>
    <mergeCell ref="O149:O168"/>
    <mergeCell ref="P149:P168"/>
    <mergeCell ref="B152:B163"/>
    <mergeCell ref="B165:B167"/>
    <mergeCell ref="O142:O147"/>
    <mergeCell ref="P142:P147"/>
    <mergeCell ref="A134:A141"/>
    <mergeCell ref="O134:O141"/>
    <mergeCell ref="P134:P141"/>
    <mergeCell ref="B137:B138"/>
    <mergeCell ref="A149:A168"/>
    <mergeCell ref="A7:P7"/>
    <mergeCell ref="H8:N8"/>
    <mergeCell ref="A9:A10"/>
    <mergeCell ref="B9:B10"/>
    <mergeCell ref="C9:G9"/>
    <mergeCell ref="H9:H10"/>
    <mergeCell ref="I9:L9"/>
    <mergeCell ref="M9:M10"/>
    <mergeCell ref="A20:A26"/>
    <mergeCell ref="O20:O26"/>
    <mergeCell ref="P20:P26"/>
    <mergeCell ref="N9:N10"/>
    <mergeCell ref="O9:O10"/>
    <mergeCell ref="P9:P10"/>
    <mergeCell ref="A73:A83"/>
    <mergeCell ref="A47:P47"/>
    <mergeCell ref="A48:P48"/>
    <mergeCell ref="A49:P49"/>
    <mergeCell ref="P84:P104"/>
    <mergeCell ref="B87:B95"/>
    <mergeCell ref="A105:A125"/>
    <mergeCell ref="O105:O125"/>
    <mergeCell ref="P105:P125"/>
    <mergeCell ref="B108:B116"/>
    <mergeCell ref="O73:O83"/>
    <mergeCell ref="P73:P83"/>
    <mergeCell ref="B76:B79"/>
    <mergeCell ref="B81:B82"/>
    <mergeCell ref="B123:B124"/>
    <mergeCell ref="O84:O104"/>
    <mergeCell ref="B96:B101"/>
    <mergeCell ref="Q9:R10"/>
    <mergeCell ref="A12:P12"/>
    <mergeCell ref="A13:A19"/>
    <mergeCell ref="O13:O19"/>
    <mergeCell ref="P13:P19"/>
    <mergeCell ref="A27:A33"/>
    <mergeCell ref="O27:O33"/>
    <mergeCell ref="P27:P33"/>
    <mergeCell ref="O126:O133"/>
    <mergeCell ref="P126:P133"/>
    <mergeCell ref="A50:P50"/>
    <mergeCell ref="A51:A62"/>
    <mergeCell ref="O51:O62"/>
    <mergeCell ref="B129:B130"/>
    <mergeCell ref="A126:A133"/>
    <mergeCell ref="B54:B58"/>
    <mergeCell ref="B60:B61"/>
    <mergeCell ref="P51:P62"/>
    <mergeCell ref="A63:A72"/>
    <mergeCell ref="O63:O72"/>
    <mergeCell ref="P63:P72"/>
    <mergeCell ref="B66:B68"/>
    <mergeCell ref="B70:B71"/>
    <mergeCell ref="B117:B122"/>
    <mergeCell ref="B713:B714"/>
    <mergeCell ref="B854:B857"/>
    <mergeCell ref="B686:B689"/>
    <mergeCell ref="A84:A104"/>
    <mergeCell ref="A1115:A1122"/>
    <mergeCell ref="O1115:O1122"/>
    <mergeCell ref="P1115:P1122"/>
    <mergeCell ref="P703:P709"/>
    <mergeCell ref="A1107:A1114"/>
    <mergeCell ref="O1107:O1114"/>
    <mergeCell ref="P1107:P1114"/>
    <mergeCell ref="A710:A717"/>
    <mergeCell ref="O710:O717"/>
    <mergeCell ref="P710:P717"/>
    <mergeCell ref="A718:A724"/>
    <mergeCell ref="O718:O724"/>
    <mergeCell ref="P718:P724"/>
    <mergeCell ref="A851:A860"/>
    <mergeCell ref="O851:O860"/>
    <mergeCell ref="P851:P860"/>
    <mergeCell ref="B102:B103"/>
    <mergeCell ref="A142:A147"/>
    <mergeCell ref="B145:B146"/>
    <mergeCell ref="A148:P148"/>
  </mergeCells>
  <printOptions horizontalCentered="1"/>
  <pageMargins left="0.19685039370078741" right="0.19685039370078741" top="0.19685039370078741" bottom="0.19685039370078741" header="0" footer="0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Образование (!)</vt:lpstr>
      <vt:lpstr>'ГП Образование (!)'!Заголовки_для_печати</vt:lpstr>
      <vt:lpstr>'ГП Образование (!)'!Область_печати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Аничкин Дмитрий Олегович</cp:lastModifiedBy>
  <cp:lastPrinted>2019-10-22T08:35:31Z</cp:lastPrinted>
  <dcterms:created xsi:type="dcterms:W3CDTF">2015-04-09T06:00:42Z</dcterms:created>
  <dcterms:modified xsi:type="dcterms:W3CDTF">2019-11-15T05:44:29Z</dcterms:modified>
</cp:coreProperties>
</file>