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Ы\ГП РАД 2018-2020 4 кв\2 вариант\"/>
    </mc:Choice>
  </mc:AlternateContent>
  <bookViews>
    <workbookView xWindow="0" yWindow="0" windowWidth="28800" windowHeight="11700"/>
  </bookViews>
  <sheets>
    <sheet name="Индикаторы " sheetId="9" r:id="rId1"/>
    <sheet name="Мероприятия" sheetId="6" r:id="rId2"/>
    <sheet name="Подробный перечень" sheetId="5" r:id="rId3"/>
    <sheet name="Лист3" sheetId="10" r:id="rId4"/>
  </sheets>
  <definedNames>
    <definedName name="_xlnm.Print_Titles" localSheetId="0">'Индикаторы '!$11:$14</definedName>
    <definedName name="_xlnm.Print_Titles" localSheetId="1">Мероприятия!$8:$11</definedName>
    <definedName name="_xlnm.Print_Titles" localSheetId="2">'Подробный перечень'!$6:$9</definedName>
    <definedName name="_xlnm.Print_Area" localSheetId="0">'Индикаторы '!$A$1:$R$60</definedName>
    <definedName name="_xlnm.Print_Area" localSheetId="1">Мероприятия!$A$1:$Z$520</definedName>
    <definedName name="_xlnm.Print_Area" localSheetId="2">'Подробный перечень'!$A$1:$Y$935</definedName>
  </definedNames>
  <calcPr calcId="162913"/>
</workbook>
</file>

<file path=xl/calcChain.xml><?xml version="1.0" encoding="utf-8"?>
<calcChain xmlns="http://schemas.openxmlformats.org/spreadsheetml/2006/main">
  <c r="V928" i="5" l="1"/>
  <c r="Q867" i="5" l="1"/>
  <c r="U867" i="5"/>
  <c r="V414" i="6"/>
  <c r="R414" i="6"/>
  <c r="V462" i="6"/>
  <c r="V436" i="6" l="1"/>
  <c r="R436" i="6"/>
  <c r="V426" i="6"/>
  <c r="R426" i="6"/>
  <c r="V420" i="6"/>
  <c r="R420" i="6"/>
  <c r="V410" i="6"/>
  <c r="R410" i="6"/>
  <c r="V406" i="6"/>
  <c r="R406" i="6"/>
  <c r="V402" i="6"/>
  <c r="R402" i="6"/>
  <c r="V384" i="6"/>
  <c r="R384" i="6"/>
  <c r="U262" i="5"/>
  <c r="W247" i="6" l="1"/>
  <c r="W246" i="6"/>
  <c r="W245" i="6"/>
  <c r="W244" i="6"/>
  <c r="W243" i="6"/>
  <c r="W242" i="6"/>
  <c r="W241" i="6"/>
  <c r="W240" i="6"/>
  <c r="W239" i="6"/>
  <c r="W238" i="6"/>
  <c r="W237" i="6"/>
  <c r="W236" i="6"/>
  <c r="W235" i="6"/>
  <c r="W234" i="6"/>
  <c r="W233" i="6"/>
  <c r="W232" i="6"/>
  <c r="W231" i="6"/>
  <c r="W230" i="6"/>
  <c r="W229" i="6"/>
  <c r="W228" i="6"/>
  <c r="W227" i="6"/>
  <c r="W226" i="6"/>
  <c r="W225" i="6"/>
  <c r="W224" i="6"/>
  <c r="W223" i="6"/>
  <c r="W222" i="6"/>
  <c r="W221" i="6"/>
  <c r="W220" i="6"/>
  <c r="W219" i="6"/>
  <c r="W218" i="6"/>
  <c r="U633" i="5" l="1"/>
  <c r="R245" i="6" l="1"/>
  <c r="R244" i="6"/>
  <c r="R243" i="6"/>
  <c r="R242" i="6"/>
  <c r="R241" i="6"/>
  <c r="R240" i="6"/>
  <c r="R239" i="6"/>
  <c r="R238" i="6"/>
  <c r="R237" i="6"/>
  <c r="R236" i="6"/>
  <c r="R235" i="6"/>
  <c r="R234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AE13" i="5" l="1"/>
  <c r="T633" i="5" l="1"/>
  <c r="Q633" i="5" s="1"/>
  <c r="U629" i="5"/>
  <c r="U859" i="5" l="1"/>
  <c r="Q860" i="5"/>
  <c r="T860" i="5"/>
  <c r="Q630" i="5"/>
  <c r="U634" i="5"/>
  <c r="T634" i="5"/>
  <c r="Q634" i="5" s="1"/>
  <c r="S97" i="6" l="1"/>
  <c r="S510" i="6" s="1"/>
  <c r="T97" i="6"/>
  <c r="T510" i="6" s="1"/>
  <c r="U97" i="6"/>
  <c r="U510" i="6" s="1"/>
  <c r="S96" i="6"/>
  <c r="S509" i="6" s="1"/>
  <c r="T96" i="6"/>
  <c r="T509" i="6" s="1"/>
  <c r="S80" i="6"/>
  <c r="T80" i="6"/>
  <c r="U80" i="6"/>
  <c r="X82" i="6"/>
  <c r="X97" i="6" s="1"/>
  <c r="X510" i="6" s="1"/>
  <c r="X84" i="6"/>
  <c r="X77" i="6" s="1"/>
  <c r="X512" i="6" s="1"/>
  <c r="S77" i="6"/>
  <c r="S512" i="6" s="1"/>
  <c r="T77" i="6"/>
  <c r="T512" i="6" s="1"/>
  <c r="U77" i="6"/>
  <c r="U512" i="6" s="1"/>
  <c r="V75" i="6"/>
  <c r="V436" i="5"/>
  <c r="W84" i="6" s="1"/>
  <c r="W77" i="6" s="1"/>
  <c r="W512" i="6" s="1"/>
  <c r="W436" i="5"/>
  <c r="R435" i="5"/>
  <c r="S75" i="6" s="1"/>
  <c r="S435" i="5"/>
  <c r="T75" i="6" s="1"/>
  <c r="T435" i="5"/>
  <c r="U75" i="6" s="1"/>
  <c r="U435" i="5"/>
  <c r="V82" i="6" s="1"/>
  <c r="V97" i="6" s="1"/>
  <c r="V510" i="6" s="1"/>
  <c r="V435" i="5"/>
  <c r="W82" i="6" s="1"/>
  <c r="W97" i="6" s="1"/>
  <c r="W510" i="6" s="1"/>
  <c r="W435" i="5"/>
  <c r="R439" i="5"/>
  <c r="S439" i="5"/>
  <c r="T439" i="5"/>
  <c r="U439" i="5"/>
  <c r="V439" i="5"/>
  <c r="W439" i="5"/>
  <c r="Q441" i="5"/>
  <c r="Q439" i="5" s="1"/>
  <c r="Q442" i="5"/>
  <c r="V454" i="6"/>
  <c r="U453" i="6"/>
  <c r="R453" i="6"/>
  <c r="U263" i="5"/>
  <c r="Q435" i="5" l="1"/>
  <c r="R82" i="6" s="1"/>
  <c r="R97" i="6" s="1"/>
  <c r="W80" i="6"/>
  <c r="X80" i="6"/>
  <c r="R342" i="6" l="1"/>
  <c r="R354" i="6"/>
  <c r="V248" i="6"/>
  <c r="R248" i="6"/>
  <c r="R87" i="6" l="1"/>
  <c r="W88" i="6"/>
  <c r="W87" i="6" s="1"/>
  <c r="W86" i="6" s="1"/>
  <c r="X88" i="6"/>
  <c r="X87" i="6" s="1"/>
  <c r="X86" i="6" s="1"/>
  <c r="S95" i="6"/>
  <c r="H98" i="6"/>
  <c r="V445" i="5"/>
  <c r="V444" i="5" s="1"/>
  <c r="W445" i="5"/>
  <c r="W444" i="5" s="1"/>
  <c r="AF454" i="5"/>
  <c r="R434" i="5" l="1"/>
  <c r="S434" i="5"/>
  <c r="T434" i="5"/>
  <c r="U434" i="5"/>
  <c r="V434" i="5"/>
  <c r="V432" i="5" s="1"/>
  <c r="W434" i="5"/>
  <c r="W432" i="5" s="1"/>
  <c r="Q434" i="5"/>
  <c r="R436" i="5"/>
  <c r="S436" i="5"/>
  <c r="T436" i="5"/>
  <c r="U436" i="5"/>
  <c r="V84" i="6" s="1"/>
  <c r="Q436" i="5"/>
  <c r="R84" i="6" s="1"/>
  <c r="R77" i="6" l="1"/>
  <c r="R80" i="6"/>
  <c r="V77" i="6"/>
  <c r="V80" i="6"/>
  <c r="S74" i="6"/>
  <c r="S73" i="6" s="1"/>
  <c r="T74" i="6"/>
  <c r="T73" i="6" s="1"/>
  <c r="U74" i="6"/>
  <c r="U73" i="6" s="1"/>
  <c r="V74" i="6"/>
  <c r="W74" i="6"/>
  <c r="R74" i="6"/>
  <c r="W99" i="6"/>
  <c r="X99" i="6"/>
  <c r="S99" i="6"/>
  <c r="T99" i="6"/>
  <c r="U99" i="6"/>
  <c r="R99" i="6"/>
  <c r="V73" i="6" l="1"/>
  <c r="V512" i="6"/>
  <c r="V99" i="6"/>
  <c r="R512" i="6"/>
  <c r="R404" i="6"/>
  <c r="V404" i="6"/>
  <c r="V388" i="6"/>
  <c r="R388" i="6" s="1"/>
  <c r="R454" i="6"/>
  <c r="T923" i="5" l="1"/>
  <c r="T919" i="5"/>
  <c r="T904" i="5"/>
  <c r="T892" i="5"/>
  <c r="T855" i="5"/>
  <c r="T859" i="5"/>
  <c r="Q859" i="5" s="1"/>
  <c r="T856" i="5"/>
  <c r="Q856" i="5" s="1"/>
  <c r="T883" i="5"/>
  <c r="T884" i="5"/>
  <c r="Q884" i="5"/>
  <c r="T828" i="5"/>
  <c r="T820" i="5"/>
  <c r="T796" i="5"/>
  <c r="Q796" i="5" s="1"/>
  <c r="T763" i="5"/>
  <c r="T616" i="5" l="1"/>
  <c r="U606" i="5"/>
  <c r="T536" i="5"/>
  <c r="U508" i="5"/>
  <c r="R507" i="5"/>
  <c r="S507" i="5"/>
  <c r="T507" i="5"/>
  <c r="U507" i="5"/>
  <c r="Q515" i="5"/>
  <c r="T514" i="5"/>
  <c r="U428" i="5"/>
  <c r="U361" i="5"/>
  <c r="U349" i="5"/>
  <c r="Q263" i="5"/>
  <c r="V121" i="5"/>
  <c r="U81" i="5"/>
  <c r="U77" i="5"/>
  <c r="U362" i="6" l="1"/>
  <c r="W322" i="6"/>
  <c r="U432" i="5" l="1"/>
  <c r="R322" i="6" l="1"/>
  <c r="W457" i="6"/>
  <c r="W459" i="6" s="1"/>
  <c r="W456" i="6" s="1"/>
  <c r="W449" i="6"/>
  <c r="W451" i="6" s="1"/>
  <c r="W448" i="6" s="1"/>
  <c r="W396" i="6"/>
  <c r="V415" i="6"/>
  <c r="R415" i="6"/>
  <c r="V392" i="6"/>
  <c r="V393" i="6" s="1"/>
  <c r="R392" i="6"/>
  <c r="V879" i="5"/>
  <c r="V871" i="5"/>
  <c r="V870" i="5" s="1"/>
  <c r="V855" i="5"/>
  <c r="V856" i="5"/>
  <c r="V804" i="5"/>
  <c r="V803" i="5" s="1"/>
  <c r="T928" i="5"/>
  <c r="Q928" i="5" s="1"/>
  <c r="R202" i="6" s="1"/>
  <c r="T906" i="5"/>
  <c r="T808" i="5"/>
  <c r="V680" i="5"/>
  <c r="V676" i="5" s="1"/>
  <c r="V606" i="5"/>
  <c r="T722" i="5"/>
  <c r="U718" i="5"/>
  <c r="T712" i="5"/>
  <c r="T698" i="5"/>
  <c r="Q698" i="5" s="1"/>
  <c r="T662" i="5"/>
  <c r="T618" i="5"/>
  <c r="Q618" i="5" s="1"/>
  <c r="Q606" i="5"/>
  <c r="Q605" i="5"/>
  <c r="T562" i="5"/>
  <c r="Q562" i="5" s="1"/>
  <c r="T560" i="5"/>
  <c r="U552" i="5"/>
  <c r="T548" i="5"/>
  <c r="T528" i="5"/>
  <c r="T516" i="5"/>
  <c r="Q516" i="5" s="1"/>
  <c r="AI14" i="5"/>
  <c r="AH14" i="5" s="1"/>
  <c r="L432" i="5"/>
  <c r="M432" i="5"/>
  <c r="N432" i="5"/>
  <c r="O432" i="5"/>
  <c r="P432" i="5"/>
  <c r="S432" i="5"/>
  <c r="T432" i="5"/>
  <c r="X74" i="6"/>
  <c r="V428" i="5"/>
  <c r="V313" i="5"/>
  <c r="V312" i="5" s="1"/>
  <c r="Q428" i="5"/>
  <c r="Q427" i="5" s="1"/>
  <c r="R70" i="6" s="1"/>
  <c r="U275" i="5"/>
  <c r="Q275" i="5" s="1"/>
  <c r="Q274" i="5" s="1"/>
  <c r="U261" i="5"/>
  <c r="T168" i="5"/>
  <c r="AA213" i="6"/>
  <c r="AA215" i="6" s="1"/>
  <c r="AF248" i="6"/>
  <c r="V254" i="5"/>
  <c r="R709" i="5"/>
  <c r="S709" i="5"/>
  <c r="T709" i="5"/>
  <c r="U709" i="5"/>
  <c r="U360" i="6"/>
  <c r="V360" i="6" s="1"/>
  <c r="R847" i="5"/>
  <c r="R866" i="5"/>
  <c r="S866" i="5"/>
  <c r="S847" i="5" s="1"/>
  <c r="T866" i="5"/>
  <c r="U866" i="5"/>
  <c r="U847" i="5" s="1"/>
  <c r="T621" i="5"/>
  <c r="U139" i="6" s="1"/>
  <c r="Q717" i="5"/>
  <c r="T664" i="5"/>
  <c r="Q552" i="5"/>
  <c r="U263" i="6"/>
  <c r="U261" i="6" s="1"/>
  <c r="V396" i="6"/>
  <c r="R396" i="6"/>
  <c r="R397" i="6" s="1"/>
  <c r="R385" i="6"/>
  <c r="W271" i="6"/>
  <c r="Q731" i="5"/>
  <c r="R153" i="6" s="1"/>
  <c r="R543" i="5"/>
  <c r="S543" i="5"/>
  <c r="T543" i="5"/>
  <c r="Q543" i="5"/>
  <c r="W438" i="6"/>
  <c r="V438" i="6"/>
  <c r="V439" i="6" s="1"/>
  <c r="R438" i="6"/>
  <c r="R621" i="5"/>
  <c r="S621" i="5"/>
  <c r="S279" i="6"/>
  <c r="S277" i="6" s="1"/>
  <c r="T279" i="6"/>
  <c r="T277" i="6" s="1"/>
  <c r="U279" i="6"/>
  <c r="U277" i="6" s="1"/>
  <c r="V279" i="6"/>
  <c r="V277" i="6" s="1"/>
  <c r="V285" i="6"/>
  <c r="R370" i="6"/>
  <c r="R369" i="6" s="1"/>
  <c r="S370" i="6"/>
  <c r="S369" i="6" s="1"/>
  <c r="V464" i="6"/>
  <c r="V460" i="6" s="1"/>
  <c r="Q922" i="5"/>
  <c r="Q920" i="5" s="1"/>
  <c r="Q762" i="5"/>
  <c r="Q758" i="5" s="1"/>
  <c r="W923" i="5"/>
  <c r="Q904" i="5"/>
  <c r="V884" i="5"/>
  <c r="V883" i="5"/>
  <c r="V787" i="5"/>
  <c r="T631" i="5"/>
  <c r="T615" i="5"/>
  <c r="Q636" i="5"/>
  <c r="V633" i="5"/>
  <c r="V554" i="5"/>
  <c r="V544" i="5" s="1"/>
  <c r="W129" i="6" s="1"/>
  <c r="T554" i="5"/>
  <c r="Q554" i="5" s="1"/>
  <c r="V508" i="5"/>
  <c r="Q514" i="5"/>
  <c r="V510" i="5"/>
  <c r="W288" i="5"/>
  <c r="W287" i="5" s="1"/>
  <c r="W266" i="5"/>
  <c r="V266" i="5"/>
  <c r="V262" i="5"/>
  <c r="V308" i="5"/>
  <c r="V268" i="5"/>
  <c r="V263" i="5"/>
  <c r="V147" i="5"/>
  <c r="V149" i="5"/>
  <c r="W44" i="6" s="1"/>
  <c r="V152" i="5"/>
  <c r="V148" i="5" s="1"/>
  <c r="Q361" i="5"/>
  <c r="U337" i="5"/>
  <c r="Q81" i="5"/>
  <c r="Q80" i="5" s="1"/>
  <c r="Q77" i="5"/>
  <c r="Q76" i="5" s="1"/>
  <c r="U44" i="5"/>
  <c r="Q44" i="5" s="1"/>
  <c r="R217" i="6"/>
  <c r="W217" i="6"/>
  <c r="W216" i="6" s="1"/>
  <c r="X217" i="6"/>
  <c r="X216" i="6" s="1"/>
  <c r="W209" i="6"/>
  <c r="W207" i="6" s="1"/>
  <c r="W206" i="6" s="1"/>
  <c r="X209" i="6"/>
  <c r="X207" i="6" s="1"/>
  <c r="X206" i="6" s="1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C216" i="6"/>
  <c r="S317" i="6"/>
  <c r="S304" i="6" s="1"/>
  <c r="R317" i="6"/>
  <c r="R311" i="6" s="1"/>
  <c r="S256" i="6"/>
  <c r="S254" i="6" s="1"/>
  <c r="R256" i="6"/>
  <c r="R254" i="6" s="1"/>
  <c r="W333" i="6"/>
  <c r="W332" i="6" s="1"/>
  <c r="W331" i="6" s="1"/>
  <c r="X333" i="6"/>
  <c r="X332" i="6" s="1"/>
  <c r="X331" i="6" s="1"/>
  <c r="W311" i="6"/>
  <c r="W310" i="6" s="1"/>
  <c r="X311" i="6"/>
  <c r="X310" i="6" s="1"/>
  <c r="S310" i="6"/>
  <c r="T310" i="6"/>
  <c r="U310" i="6"/>
  <c r="W287" i="6"/>
  <c r="W285" i="6" s="1"/>
  <c r="X287" i="6"/>
  <c r="X285" i="6" s="1"/>
  <c r="V22" i="5"/>
  <c r="V27" i="5"/>
  <c r="Q347" i="5"/>
  <c r="Q335" i="5" s="1"/>
  <c r="Q273" i="5"/>
  <c r="V34" i="6"/>
  <c r="R18" i="5"/>
  <c r="S18" i="5"/>
  <c r="V457" i="6"/>
  <c r="V459" i="6" s="1"/>
  <c r="V456" i="6" s="1"/>
  <c r="R457" i="6"/>
  <c r="R459" i="6" s="1"/>
  <c r="V455" i="6"/>
  <c r="R455" i="6"/>
  <c r="R452" i="6" s="1"/>
  <c r="V449" i="6"/>
  <c r="V451" i="6" s="1"/>
  <c r="V448" i="6" s="1"/>
  <c r="R449" i="6"/>
  <c r="R451" i="6" s="1"/>
  <c r="V445" i="6"/>
  <c r="V447" i="6" s="1"/>
  <c r="R445" i="6"/>
  <c r="R447" i="6" s="1"/>
  <c r="V442" i="6"/>
  <c r="V443" i="6" s="1"/>
  <c r="R442" i="6"/>
  <c r="R443" i="6" s="1"/>
  <c r="V440" i="6"/>
  <c r="V441" i="6" s="1"/>
  <c r="R440" i="6"/>
  <c r="R441" i="6" s="1"/>
  <c r="V437" i="6"/>
  <c r="R437" i="6"/>
  <c r="V434" i="6"/>
  <c r="V435" i="6" s="1"/>
  <c r="R434" i="6"/>
  <c r="R435" i="6" s="1"/>
  <c r="V432" i="6"/>
  <c r="V433" i="6" s="1"/>
  <c r="R432" i="6"/>
  <c r="R433" i="6" s="1"/>
  <c r="V430" i="6"/>
  <c r="V431" i="6" s="1"/>
  <c r="R430" i="6"/>
  <c r="R431" i="6" s="1"/>
  <c r="V428" i="6"/>
  <c r="V429" i="6" s="1"/>
  <c r="R428" i="6"/>
  <c r="R429" i="6" s="1"/>
  <c r="V427" i="6"/>
  <c r="R427" i="6"/>
  <c r="V424" i="6"/>
  <c r="V425" i="6" s="1"/>
  <c r="R424" i="6"/>
  <c r="R425" i="6" s="1"/>
  <c r="V422" i="6"/>
  <c r="V423" i="6" s="1"/>
  <c r="R422" i="6"/>
  <c r="R423" i="6" s="1"/>
  <c r="V421" i="6"/>
  <c r="R421" i="6"/>
  <c r="V418" i="6"/>
  <c r="V419" i="6" s="1"/>
  <c r="R418" i="6"/>
  <c r="R419" i="6" s="1"/>
  <c r="S416" i="6"/>
  <c r="S379" i="6" s="1"/>
  <c r="R416" i="6"/>
  <c r="R417" i="6" s="1"/>
  <c r="V416" i="6"/>
  <c r="V417" i="6" s="1"/>
  <c r="V412" i="6"/>
  <c r="V413" i="6" s="1"/>
  <c r="R412" i="6"/>
  <c r="R413" i="6" s="1"/>
  <c r="V411" i="6"/>
  <c r="R411" i="6"/>
  <c r="V408" i="6"/>
  <c r="V409" i="6" s="1"/>
  <c r="R408" i="6"/>
  <c r="R409" i="6" s="1"/>
  <c r="V407" i="6"/>
  <c r="R407" i="6"/>
  <c r="V405" i="6"/>
  <c r="R405" i="6"/>
  <c r="V403" i="6"/>
  <c r="R403" i="6"/>
  <c r="V400" i="6"/>
  <c r="V401" i="6" s="1"/>
  <c r="R400" i="6"/>
  <c r="R401" i="6" s="1"/>
  <c r="V398" i="6"/>
  <c r="V399" i="6" s="1"/>
  <c r="R398" i="6"/>
  <c r="R399" i="6" s="1"/>
  <c r="V394" i="6"/>
  <c r="V395" i="6" s="1"/>
  <c r="R394" i="6"/>
  <c r="R395" i="6" s="1"/>
  <c r="V389" i="6"/>
  <c r="V386" i="6"/>
  <c r="V387" i="6" s="1"/>
  <c r="R386" i="6"/>
  <c r="R387" i="6" s="1"/>
  <c r="U189" i="6"/>
  <c r="Q905" i="5"/>
  <c r="R798" i="5"/>
  <c r="S798" i="5"/>
  <c r="T798" i="5"/>
  <c r="R800" i="5"/>
  <c r="S800" i="5"/>
  <c r="U800" i="5"/>
  <c r="R807" i="5"/>
  <c r="R799" i="5" s="1"/>
  <c r="S807" i="5"/>
  <c r="S799" i="5" s="1"/>
  <c r="T807" i="5"/>
  <c r="T799" i="5" s="1"/>
  <c r="Q806" i="5"/>
  <c r="Q798" i="5" s="1"/>
  <c r="R758" i="5"/>
  <c r="S758" i="5"/>
  <c r="T758" i="5"/>
  <c r="R921" i="5"/>
  <c r="S921" i="5"/>
  <c r="T921" i="5"/>
  <c r="U198" i="6" s="1"/>
  <c r="R920" i="5"/>
  <c r="S920" i="5"/>
  <c r="T920" i="5"/>
  <c r="Q923" i="5"/>
  <c r="Q921" i="5" s="1"/>
  <c r="R198" i="6" s="1"/>
  <c r="R916" i="5"/>
  <c r="S916" i="5"/>
  <c r="T916" i="5"/>
  <c r="R917" i="5"/>
  <c r="S917" i="5"/>
  <c r="T917" i="5"/>
  <c r="U197" i="6" s="1"/>
  <c r="Q918" i="5"/>
  <c r="Q919" i="5"/>
  <c r="Q917" i="5" s="1"/>
  <c r="R197" i="6" s="1"/>
  <c r="Q906" i="5"/>
  <c r="Q903" i="5"/>
  <c r="R889" i="5"/>
  <c r="S889" i="5"/>
  <c r="T889" i="5"/>
  <c r="R890" i="5"/>
  <c r="S890" i="5"/>
  <c r="T890" i="5"/>
  <c r="U190" i="6" s="1"/>
  <c r="Q891" i="5"/>
  <c r="Q889" i="5" s="1"/>
  <c r="Q892" i="5"/>
  <c r="Q890" i="5" s="1"/>
  <c r="R190" i="6" s="1"/>
  <c r="Q883" i="5"/>
  <c r="Q882" i="5" s="1"/>
  <c r="Q875" i="5"/>
  <c r="Q874" i="5" s="1"/>
  <c r="R825" i="5"/>
  <c r="S825" i="5"/>
  <c r="T825" i="5"/>
  <c r="R826" i="5"/>
  <c r="S826" i="5"/>
  <c r="T826" i="5"/>
  <c r="U182" i="6" s="1"/>
  <c r="Q827" i="5"/>
  <c r="Q825" i="5" s="1"/>
  <c r="Q828" i="5"/>
  <c r="Q819" i="5"/>
  <c r="Q815" i="5" s="1"/>
  <c r="Q820" i="5"/>
  <c r="T787" i="5"/>
  <c r="Q787" i="5" s="1"/>
  <c r="Q785" i="5" s="1"/>
  <c r="R172" i="6" s="1"/>
  <c r="R759" i="5"/>
  <c r="S759" i="5"/>
  <c r="T759" i="5"/>
  <c r="U168" i="6" s="1"/>
  <c r="R168" i="6" s="1"/>
  <c r="Q763" i="5"/>
  <c r="Q759" i="5" s="1"/>
  <c r="R720" i="5"/>
  <c r="S720" i="5"/>
  <c r="T720" i="5"/>
  <c r="U151" i="6"/>
  <c r="R719" i="5"/>
  <c r="S719" i="5"/>
  <c r="T719" i="5"/>
  <c r="Q721" i="5"/>
  <c r="Q719" i="5" s="1"/>
  <c r="Q722" i="5"/>
  <c r="Q720" i="5" s="1"/>
  <c r="R151" i="6" s="1"/>
  <c r="T683" i="5"/>
  <c r="Q683" i="5"/>
  <c r="Q682" i="5"/>
  <c r="Q676" i="5" s="1"/>
  <c r="R145" i="6" s="1"/>
  <c r="Q664" i="5"/>
  <c r="Q661" i="5"/>
  <c r="Q662" i="5"/>
  <c r="R613" i="5"/>
  <c r="S613" i="5"/>
  <c r="Q616" i="5"/>
  <c r="Q584" i="5"/>
  <c r="R558" i="5"/>
  <c r="S558" i="5"/>
  <c r="R557" i="5"/>
  <c r="S557" i="5"/>
  <c r="T557" i="5"/>
  <c r="Q559" i="5"/>
  <c r="Q557" i="5" s="1"/>
  <c r="T534" i="5"/>
  <c r="Q535" i="5"/>
  <c r="Q531" i="5" s="1"/>
  <c r="R517" i="5"/>
  <c r="S517" i="5"/>
  <c r="T517" i="5"/>
  <c r="R519" i="5"/>
  <c r="R518" i="5" s="1"/>
  <c r="S519" i="5"/>
  <c r="S518" i="5" s="1"/>
  <c r="Q527" i="5"/>
  <c r="Q517" i="5" s="1"/>
  <c r="R508" i="5"/>
  <c r="S508" i="5"/>
  <c r="T126" i="6" s="1"/>
  <c r="Q507" i="5"/>
  <c r="T499" i="5"/>
  <c r="Q505" i="5"/>
  <c r="Q506" i="5"/>
  <c r="Q855" i="5"/>
  <c r="Q359" i="5"/>
  <c r="R348" i="5"/>
  <c r="S348" i="5"/>
  <c r="T348" i="5"/>
  <c r="Q166" i="5"/>
  <c r="AB13" i="5" s="1"/>
  <c r="R54" i="5"/>
  <c r="S54" i="5"/>
  <c r="T54" i="5"/>
  <c r="U35" i="6" s="1"/>
  <c r="U21" i="6" s="1"/>
  <c r="U93" i="6" s="1"/>
  <c r="R61" i="5"/>
  <c r="S61" i="5"/>
  <c r="T61" i="5"/>
  <c r="U61" i="5"/>
  <c r="Q62" i="5"/>
  <c r="Q61" i="5" s="1"/>
  <c r="Q349" i="5"/>
  <c r="Q348" i="5" s="1"/>
  <c r="R845" i="5"/>
  <c r="S845" i="5"/>
  <c r="T845" i="5"/>
  <c r="R790" i="5"/>
  <c r="S790" i="5"/>
  <c r="T790" i="5"/>
  <c r="R675" i="5"/>
  <c r="S675" i="5"/>
  <c r="T675" i="5"/>
  <c r="U675" i="5"/>
  <c r="U619" i="5"/>
  <c r="R619" i="5"/>
  <c r="S619" i="5"/>
  <c r="R599" i="5"/>
  <c r="S599" i="5"/>
  <c r="T599" i="5"/>
  <c r="R335" i="5"/>
  <c r="S335" i="5"/>
  <c r="T335" i="5"/>
  <c r="U335" i="5"/>
  <c r="R254" i="5"/>
  <c r="S254" i="5"/>
  <c r="T254" i="5"/>
  <c r="U254" i="5"/>
  <c r="R52" i="5"/>
  <c r="S52" i="5"/>
  <c r="T52" i="5"/>
  <c r="T56" i="6"/>
  <c r="T24" i="6" s="1"/>
  <c r="V35" i="6"/>
  <c r="V21" i="6" s="1"/>
  <c r="V93" i="6" s="1"/>
  <c r="S380" i="6"/>
  <c r="T380" i="6"/>
  <c r="U380" i="6"/>
  <c r="V380" i="6"/>
  <c r="W380" i="6"/>
  <c r="X380" i="6"/>
  <c r="R380" i="6"/>
  <c r="S385" i="6"/>
  <c r="T385" i="6"/>
  <c r="U385" i="6"/>
  <c r="W385" i="6"/>
  <c r="X385" i="6"/>
  <c r="S387" i="6"/>
  <c r="T387" i="6"/>
  <c r="U387" i="6"/>
  <c r="W387" i="6"/>
  <c r="X387" i="6"/>
  <c r="S389" i="6"/>
  <c r="T389" i="6"/>
  <c r="U389" i="6"/>
  <c r="W389" i="6"/>
  <c r="X389" i="6"/>
  <c r="S391" i="6"/>
  <c r="T391" i="6"/>
  <c r="U391" i="6"/>
  <c r="V391" i="6"/>
  <c r="W391" i="6"/>
  <c r="X391" i="6"/>
  <c r="R391" i="6"/>
  <c r="S393" i="6"/>
  <c r="T393" i="6"/>
  <c r="U393" i="6"/>
  <c r="W393" i="6"/>
  <c r="X393" i="6"/>
  <c r="R393" i="6"/>
  <c r="S395" i="6"/>
  <c r="T395" i="6"/>
  <c r="U395" i="6"/>
  <c r="W395" i="6"/>
  <c r="X395" i="6"/>
  <c r="S397" i="6"/>
  <c r="T397" i="6"/>
  <c r="U397" i="6"/>
  <c r="V397" i="6"/>
  <c r="W397" i="6"/>
  <c r="X397" i="6"/>
  <c r="S399" i="6"/>
  <c r="T399" i="6"/>
  <c r="U399" i="6"/>
  <c r="W399" i="6"/>
  <c r="X399" i="6"/>
  <c r="S401" i="6"/>
  <c r="T401" i="6"/>
  <c r="U401" i="6"/>
  <c r="W401" i="6"/>
  <c r="X401" i="6"/>
  <c r="S403" i="6"/>
  <c r="T403" i="6"/>
  <c r="U403" i="6"/>
  <c r="W403" i="6"/>
  <c r="X403" i="6"/>
  <c r="S405" i="6"/>
  <c r="T405" i="6"/>
  <c r="U405" i="6"/>
  <c r="W405" i="6"/>
  <c r="X405" i="6"/>
  <c r="S407" i="6"/>
  <c r="T407" i="6"/>
  <c r="U407" i="6"/>
  <c r="W407" i="6"/>
  <c r="X407" i="6"/>
  <c r="S409" i="6"/>
  <c r="T409" i="6"/>
  <c r="U409" i="6"/>
  <c r="W409" i="6"/>
  <c r="X409" i="6"/>
  <c r="S411" i="6"/>
  <c r="T411" i="6"/>
  <c r="U411" i="6"/>
  <c r="W411" i="6"/>
  <c r="X411" i="6"/>
  <c r="S413" i="6"/>
  <c r="T413" i="6"/>
  <c r="U413" i="6"/>
  <c r="W413" i="6"/>
  <c r="X413" i="6"/>
  <c r="S415" i="6"/>
  <c r="T415" i="6"/>
  <c r="U415" i="6"/>
  <c r="W415" i="6"/>
  <c r="X415" i="6"/>
  <c r="T417" i="6"/>
  <c r="U417" i="6"/>
  <c r="W417" i="6"/>
  <c r="X417" i="6"/>
  <c r="S419" i="6"/>
  <c r="T419" i="6"/>
  <c r="U419" i="6"/>
  <c r="W419" i="6"/>
  <c r="X419" i="6"/>
  <c r="S421" i="6"/>
  <c r="T421" i="6"/>
  <c r="U421" i="6"/>
  <c r="W421" i="6"/>
  <c r="X421" i="6"/>
  <c r="S423" i="6"/>
  <c r="T423" i="6"/>
  <c r="U423" i="6"/>
  <c r="W423" i="6"/>
  <c r="X423" i="6"/>
  <c r="S425" i="6"/>
  <c r="T425" i="6"/>
  <c r="U425" i="6"/>
  <c r="W425" i="6"/>
  <c r="X425" i="6"/>
  <c r="S427" i="6"/>
  <c r="T427" i="6"/>
  <c r="U427" i="6"/>
  <c r="W427" i="6"/>
  <c r="X427" i="6"/>
  <c r="S431" i="6"/>
  <c r="T431" i="6"/>
  <c r="U431" i="6"/>
  <c r="W431" i="6"/>
  <c r="X431" i="6"/>
  <c r="S429" i="6"/>
  <c r="T429" i="6"/>
  <c r="U429" i="6"/>
  <c r="W429" i="6"/>
  <c r="X429" i="6"/>
  <c r="S433" i="6"/>
  <c r="T433" i="6"/>
  <c r="U433" i="6"/>
  <c r="W433" i="6"/>
  <c r="X433" i="6"/>
  <c r="S435" i="6"/>
  <c r="T435" i="6"/>
  <c r="U435" i="6"/>
  <c r="W435" i="6"/>
  <c r="X435" i="6"/>
  <c r="S437" i="6"/>
  <c r="T437" i="6"/>
  <c r="U437" i="6"/>
  <c r="W437" i="6"/>
  <c r="X437" i="6"/>
  <c r="S439" i="6"/>
  <c r="T439" i="6"/>
  <c r="U439" i="6"/>
  <c r="X439" i="6"/>
  <c r="R439" i="6"/>
  <c r="S441" i="6"/>
  <c r="T441" i="6"/>
  <c r="U441" i="6"/>
  <c r="W441" i="6"/>
  <c r="X441" i="6"/>
  <c r="S443" i="6"/>
  <c r="T443" i="6"/>
  <c r="U443" i="6"/>
  <c r="W443" i="6"/>
  <c r="X443" i="6"/>
  <c r="S447" i="6"/>
  <c r="S444" i="6" s="1"/>
  <c r="T447" i="6"/>
  <c r="T444" i="6" s="1"/>
  <c r="U447" i="6"/>
  <c r="U444" i="6" s="1"/>
  <c r="W447" i="6"/>
  <c r="W444" i="6" s="1"/>
  <c r="X447" i="6"/>
  <c r="X444" i="6" s="1"/>
  <c r="S451" i="6"/>
  <c r="S448" i="6" s="1"/>
  <c r="T451" i="6"/>
  <c r="T448" i="6" s="1"/>
  <c r="U451" i="6"/>
  <c r="U448" i="6" s="1"/>
  <c r="X451" i="6"/>
  <c r="X448" i="6" s="1"/>
  <c r="S455" i="6"/>
  <c r="S452" i="6" s="1"/>
  <c r="T455" i="6"/>
  <c r="T452" i="6" s="1"/>
  <c r="U455" i="6"/>
  <c r="U452" i="6" s="1"/>
  <c r="W455" i="6"/>
  <c r="W452" i="6" s="1"/>
  <c r="X455" i="6"/>
  <c r="X452" i="6" s="1"/>
  <c r="S459" i="6"/>
  <c r="S456" i="6" s="1"/>
  <c r="T459" i="6"/>
  <c r="T456" i="6" s="1"/>
  <c r="U459" i="6"/>
  <c r="U456" i="6" s="1"/>
  <c r="X459" i="6"/>
  <c r="X456" i="6" s="1"/>
  <c r="T464" i="6"/>
  <c r="T460" i="6" s="1"/>
  <c r="U464" i="6"/>
  <c r="U460" i="6" s="1"/>
  <c r="W464" i="6"/>
  <c r="W460" i="6" s="1"/>
  <c r="X464" i="6"/>
  <c r="X460" i="6" s="1"/>
  <c r="S464" i="6"/>
  <c r="S460" i="6" s="1"/>
  <c r="T628" i="5"/>
  <c r="T694" i="5"/>
  <c r="U148" i="6" s="1"/>
  <c r="T682" i="5"/>
  <c r="U632" i="5"/>
  <c r="R265" i="5"/>
  <c r="S265" i="5"/>
  <c r="U265" i="5"/>
  <c r="Q268" i="5"/>
  <c r="Q121" i="5"/>
  <c r="R41" i="6" s="1"/>
  <c r="Q548" i="5"/>
  <c r="Q534" i="5"/>
  <c r="T70" i="6"/>
  <c r="R274" i="5"/>
  <c r="S274" i="5"/>
  <c r="T274" i="5"/>
  <c r="U274" i="5"/>
  <c r="T266" i="5"/>
  <c r="T265" i="5" s="1"/>
  <c r="R120" i="5"/>
  <c r="S120" i="5"/>
  <c r="T120" i="5"/>
  <c r="S80" i="5"/>
  <c r="T80" i="5"/>
  <c r="U80" i="5"/>
  <c r="S76" i="5"/>
  <c r="T76" i="5"/>
  <c r="R40" i="5"/>
  <c r="S31" i="6" s="1"/>
  <c r="S40" i="5"/>
  <c r="S39" i="5" s="1"/>
  <c r="T40" i="5"/>
  <c r="T39" i="5" s="1"/>
  <c r="U31" i="6" s="1"/>
  <c r="U40" i="5"/>
  <c r="U39" i="5" s="1"/>
  <c r="V31" i="6" s="1"/>
  <c r="R43" i="5"/>
  <c r="U364" i="6"/>
  <c r="V364" i="6" s="1"/>
  <c r="V363" i="6"/>
  <c r="V362" i="6"/>
  <c r="V361" i="6"/>
  <c r="V359" i="6"/>
  <c r="V358" i="6"/>
  <c r="V357" i="6"/>
  <c r="V356" i="6"/>
  <c r="U355" i="6"/>
  <c r="V355" i="6" s="1"/>
  <c r="T354" i="6"/>
  <c r="V354" i="6" s="1"/>
  <c r="V353" i="6"/>
  <c r="T352" i="6"/>
  <c r="V352" i="6" s="1"/>
  <c r="T351" i="6"/>
  <c r="V351" i="6" s="1"/>
  <c r="U350" i="6"/>
  <c r="S349" i="6"/>
  <c r="S333" i="6" s="1"/>
  <c r="S332" i="6" s="1"/>
  <c r="U348" i="6"/>
  <c r="V348" i="6" s="1"/>
  <c r="V347" i="6"/>
  <c r="V346" i="6"/>
  <c r="V345" i="6"/>
  <c r="U344" i="6"/>
  <c r="V344" i="6" s="1"/>
  <c r="U343" i="6"/>
  <c r="V343" i="6" s="1"/>
  <c r="V342" i="6"/>
  <c r="U341" i="6"/>
  <c r="V341" i="6" s="1"/>
  <c r="U340" i="6"/>
  <c r="V340" i="6" s="1"/>
  <c r="V339" i="6"/>
  <c r="U338" i="6"/>
  <c r="V338" i="6" s="1"/>
  <c r="V337" i="6"/>
  <c r="V336" i="6"/>
  <c r="T335" i="6"/>
  <c r="R75" i="6"/>
  <c r="R73" i="6" s="1"/>
  <c r="W75" i="6"/>
  <c r="W73" i="6" s="1"/>
  <c r="X75" i="6"/>
  <c r="W84" i="5"/>
  <c r="AF13" i="5"/>
  <c r="X277" i="6"/>
  <c r="U785" i="5"/>
  <c r="V172" i="6" s="1"/>
  <c r="W924" i="5"/>
  <c r="W925" i="5"/>
  <c r="X199" i="6" s="1"/>
  <c r="W845" i="5"/>
  <c r="V845" i="5"/>
  <c r="R848" i="5"/>
  <c r="S848" i="5"/>
  <c r="T188" i="6" s="1"/>
  <c r="T848" i="5"/>
  <c r="U188" i="6" s="1"/>
  <c r="U848" i="5"/>
  <c r="W847" i="5"/>
  <c r="X187" i="6" s="1"/>
  <c r="Q848" i="5"/>
  <c r="U845" i="5"/>
  <c r="Q845" i="5"/>
  <c r="R874" i="5"/>
  <c r="S874" i="5"/>
  <c r="U874" i="5"/>
  <c r="R858" i="5"/>
  <c r="S858" i="5"/>
  <c r="U858" i="5"/>
  <c r="V801" i="5"/>
  <c r="W178" i="6" s="1"/>
  <c r="T795" i="5"/>
  <c r="T153" i="6"/>
  <c r="U676" i="5"/>
  <c r="V145" i="6" s="1"/>
  <c r="W543" i="5"/>
  <c r="U694" i="5"/>
  <c r="V148" i="6" s="1"/>
  <c r="W658" i="5"/>
  <c r="X143" i="6" s="1"/>
  <c r="V621" i="5"/>
  <c r="W139" i="6" s="1"/>
  <c r="R622" i="5"/>
  <c r="R454" i="5" s="1"/>
  <c r="S622" i="5"/>
  <c r="S454" i="5" s="1"/>
  <c r="U622" i="5"/>
  <c r="V632" i="5"/>
  <c r="R614" i="5"/>
  <c r="S614" i="5"/>
  <c r="U614" i="5"/>
  <c r="V137" i="6" s="1"/>
  <c r="R601" i="5"/>
  <c r="R600" i="5" s="1"/>
  <c r="S601" i="5"/>
  <c r="S600" i="5" s="1"/>
  <c r="T601" i="5"/>
  <c r="U136" i="6" s="1"/>
  <c r="U601" i="5"/>
  <c r="U558" i="5"/>
  <c r="V130" i="6" s="1"/>
  <c r="R620" i="5"/>
  <c r="R337" i="5"/>
  <c r="R336" i="5" s="1"/>
  <c r="S337" i="5"/>
  <c r="S336" i="5" s="1"/>
  <c r="T337" i="5"/>
  <c r="U59" i="6" s="1"/>
  <c r="W254" i="5"/>
  <c r="W259" i="5"/>
  <c r="X56" i="6" s="1"/>
  <c r="X24" i="6" s="1"/>
  <c r="R256" i="5"/>
  <c r="S54" i="6" s="1"/>
  <c r="S256" i="5"/>
  <c r="R261" i="5"/>
  <c r="S261" i="5"/>
  <c r="T261" i="5"/>
  <c r="W261" i="5"/>
  <c r="U256" i="5"/>
  <c r="V54" i="6" s="1"/>
  <c r="U192" i="5"/>
  <c r="T192" i="5"/>
  <c r="S192" i="5"/>
  <c r="T191" i="5"/>
  <c r="U48" i="6" s="1"/>
  <c r="S191" i="5"/>
  <c r="T48" i="6" s="1"/>
  <c r="U190" i="5"/>
  <c r="Q190" i="5"/>
  <c r="R144" i="5"/>
  <c r="S144" i="5"/>
  <c r="T144" i="5"/>
  <c r="U144" i="5"/>
  <c r="Q144" i="5"/>
  <c r="Q141" i="5" s="1"/>
  <c r="R105" i="5"/>
  <c r="R104" i="5" s="1"/>
  <c r="S105" i="5"/>
  <c r="S104" i="5" s="1"/>
  <c r="T105" i="5"/>
  <c r="T104" i="5" s="1"/>
  <c r="U41" i="6" s="1"/>
  <c r="U105" i="5"/>
  <c r="U120" i="5"/>
  <c r="R55" i="5"/>
  <c r="S55" i="5"/>
  <c r="T55" i="5"/>
  <c r="U36" i="6" s="1"/>
  <c r="U55" i="5"/>
  <c r="V36" i="6" s="1"/>
  <c r="R53" i="5"/>
  <c r="T336" i="5"/>
  <c r="T89" i="5"/>
  <c r="T90" i="5"/>
  <c r="Q912" i="5"/>
  <c r="Q911" i="5"/>
  <c r="Q871" i="5"/>
  <c r="Q870" i="5" s="1"/>
  <c r="Q851" i="5"/>
  <c r="T850" i="5"/>
  <c r="Q864" i="5"/>
  <c r="Q863" i="5"/>
  <c r="Q844" i="5"/>
  <c r="Q840" i="5" s="1"/>
  <c r="R185" i="6" s="1"/>
  <c r="Q838" i="5"/>
  <c r="Q818" i="5"/>
  <c r="Q783" i="5"/>
  <c r="Q781" i="5" s="1"/>
  <c r="R171" i="6" s="1"/>
  <c r="Q777" i="5"/>
  <c r="V153" i="6"/>
  <c r="Q730" i="5"/>
  <c r="Q726" i="5" s="1"/>
  <c r="Q656" i="5"/>
  <c r="Q644" i="5" s="1"/>
  <c r="R142" i="6" s="1"/>
  <c r="Q642" i="5"/>
  <c r="Q598" i="5"/>
  <c r="Q592" i="5" s="1"/>
  <c r="R135" i="6" s="1"/>
  <c r="Q588" i="5"/>
  <c r="Q586" i="5" s="1"/>
  <c r="Q574" i="5"/>
  <c r="Q568" i="5"/>
  <c r="Q556" i="5"/>
  <c r="Q536" i="5"/>
  <c r="Q532" i="5" s="1"/>
  <c r="Q511" i="5"/>
  <c r="Q504" i="5"/>
  <c r="R39" i="6"/>
  <c r="U39" i="6" s="1"/>
  <c r="R38" i="6"/>
  <c r="U38" i="6" s="1"/>
  <c r="Q405" i="5"/>
  <c r="Q377" i="5"/>
  <c r="Q378" i="5"/>
  <c r="Q374" i="5" s="1"/>
  <c r="Q292" i="5"/>
  <c r="T291" i="5"/>
  <c r="Q211" i="5"/>
  <c r="S210" i="5"/>
  <c r="U167" i="5"/>
  <c r="U152" i="5"/>
  <c r="U132" i="6"/>
  <c r="U153" i="6"/>
  <c r="U23" i="6"/>
  <c r="R258" i="5"/>
  <c r="S258" i="5"/>
  <c r="T258" i="5"/>
  <c r="U258" i="5"/>
  <c r="Q258" i="5"/>
  <c r="R23" i="6"/>
  <c r="R299" i="5"/>
  <c r="S299" i="5"/>
  <c r="T299" i="5"/>
  <c r="Q301" i="5"/>
  <c r="Q299" i="5" s="1"/>
  <c r="U299" i="5"/>
  <c r="Q199" i="5"/>
  <c r="Q192" i="5" s="1"/>
  <c r="U198" i="5"/>
  <c r="U191" i="5" s="1"/>
  <c r="V48" i="6" s="1"/>
  <c r="T117" i="5"/>
  <c r="Q118" i="5"/>
  <c r="Q117" i="5" s="1"/>
  <c r="R271" i="6"/>
  <c r="R269" i="6" s="1"/>
  <c r="T379" i="6"/>
  <c r="U379" i="6"/>
  <c r="X379" i="6"/>
  <c r="X381" i="6" s="1"/>
  <c r="X477" i="6" s="1"/>
  <c r="X511" i="6" s="1"/>
  <c r="S21" i="6"/>
  <c r="S93" i="6" s="1"/>
  <c r="T21" i="6"/>
  <c r="T93" i="6" s="1"/>
  <c r="AA204" i="6"/>
  <c r="AC118" i="6"/>
  <c r="S467" i="6"/>
  <c r="T467" i="6"/>
  <c r="U467" i="6"/>
  <c r="V467" i="6"/>
  <c r="T302" i="6"/>
  <c r="U302" i="6"/>
  <c r="U269" i="6"/>
  <c r="S261" i="6"/>
  <c r="T261" i="6"/>
  <c r="V261" i="6"/>
  <c r="S159" i="6"/>
  <c r="U37" i="6"/>
  <c r="T43" i="5"/>
  <c r="R902" i="5"/>
  <c r="S902" i="5"/>
  <c r="T902" i="5"/>
  <c r="U902" i="5"/>
  <c r="V195" i="6" s="1"/>
  <c r="R901" i="5"/>
  <c r="R900" i="5" s="1"/>
  <c r="S901" i="5"/>
  <c r="S900" i="5" s="1"/>
  <c r="U901" i="5"/>
  <c r="V194" i="6" s="1"/>
  <c r="R899" i="5"/>
  <c r="S899" i="5"/>
  <c r="T899" i="5"/>
  <c r="U899" i="5"/>
  <c r="R882" i="5"/>
  <c r="S882" i="5"/>
  <c r="T882" i="5"/>
  <c r="U882" i="5"/>
  <c r="R870" i="5"/>
  <c r="S870" i="5"/>
  <c r="T870" i="5"/>
  <c r="U870" i="5"/>
  <c r="U854" i="5"/>
  <c r="R854" i="5"/>
  <c r="S854" i="5"/>
  <c r="T854" i="5"/>
  <c r="R839" i="5"/>
  <c r="S839" i="5"/>
  <c r="T839" i="5"/>
  <c r="U839" i="5"/>
  <c r="R840" i="5"/>
  <c r="S840" i="5"/>
  <c r="T840" i="5"/>
  <c r="U185" i="6" s="1"/>
  <c r="U840" i="5"/>
  <c r="R836" i="5"/>
  <c r="S836" i="5"/>
  <c r="T836" i="5"/>
  <c r="U184" i="6" s="1"/>
  <c r="U836" i="5"/>
  <c r="R829" i="5"/>
  <c r="S829" i="5"/>
  <c r="T829" i="5"/>
  <c r="U829" i="5"/>
  <c r="R830" i="5"/>
  <c r="S830" i="5"/>
  <c r="T830" i="5"/>
  <c r="U830" i="5"/>
  <c r="R815" i="5"/>
  <c r="S815" i="5"/>
  <c r="T815" i="5"/>
  <c r="R816" i="5"/>
  <c r="S816" i="5"/>
  <c r="T816" i="5"/>
  <c r="U180" i="6" s="1"/>
  <c r="R792" i="5"/>
  <c r="R738" i="5" s="1"/>
  <c r="S792" i="5"/>
  <c r="T792" i="5"/>
  <c r="Q792" i="5" s="1"/>
  <c r="R174" i="6" s="1"/>
  <c r="R793" i="5"/>
  <c r="S793" i="5"/>
  <c r="T793" i="5"/>
  <c r="U175" i="6" s="1"/>
  <c r="R780" i="5"/>
  <c r="S780" i="5"/>
  <c r="T780" i="5"/>
  <c r="R781" i="5"/>
  <c r="S781" i="5"/>
  <c r="T781" i="5"/>
  <c r="U171" i="6" s="1"/>
  <c r="R769" i="5"/>
  <c r="S769" i="5"/>
  <c r="T769" i="5"/>
  <c r="U170" i="6" s="1"/>
  <c r="U769" i="5"/>
  <c r="R764" i="5"/>
  <c r="S764" i="5"/>
  <c r="T764" i="5"/>
  <c r="U764" i="5"/>
  <c r="R765" i="5"/>
  <c r="S765" i="5"/>
  <c r="T765" i="5"/>
  <c r="U765" i="5"/>
  <c r="R657" i="5"/>
  <c r="S657" i="5"/>
  <c r="T657" i="5"/>
  <c r="R726" i="5"/>
  <c r="S726" i="5"/>
  <c r="T726" i="5"/>
  <c r="U726" i="5"/>
  <c r="V152" i="6" s="1"/>
  <c r="R725" i="5"/>
  <c r="S725" i="5"/>
  <c r="T725" i="5"/>
  <c r="U725" i="5"/>
  <c r="R710" i="5"/>
  <c r="S710" i="5"/>
  <c r="R677" i="5"/>
  <c r="R676" i="5" s="1"/>
  <c r="S677" i="5"/>
  <c r="S676" i="5" s="1"/>
  <c r="T677" i="5"/>
  <c r="T676" i="5" s="1"/>
  <c r="U145" i="6" s="1"/>
  <c r="U677" i="5"/>
  <c r="R658" i="5"/>
  <c r="S658" i="5"/>
  <c r="T658" i="5"/>
  <c r="U143" i="6" s="1"/>
  <c r="U658" i="5"/>
  <c r="R644" i="5"/>
  <c r="S644" i="5"/>
  <c r="T644" i="5"/>
  <c r="U142" i="6" s="1"/>
  <c r="U644" i="5"/>
  <c r="R638" i="5"/>
  <c r="S638" i="5"/>
  <c r="T638" i="5"/>
  <c r="U141" i="6" s="1"/>
  <c r="U638" i="5"/>
  <c r="R592" i="5"/>
  <c r="S592" i="5"/>
  <c r="T592" i="5"/>
  <c r="U135" i="6" s="1"/>
  <c r="U592" i="5"/>
  <c r="R586" i="5"/>
  <c r="S586" i="5"/>
  <c r="T586" i="5"/>
  <c r="U586" i="5"/>
  <c r="V134" i="6" s="1"/>
  <c r="R585" i="5"/>
  <c r="S585" i="5"/>
  <c r="T585" i="5"/>
  <c r="U585" i="5"/>
  <c r="R576" i="5"/>
  <c r="S576" i="5"/>
  <c r="T576" i="5"/>
  <c r="U133" i="6" s="1"/>
  <c r="U576" i="5"/>
  <c r="R570" i="5"/>
  <c r="S570" i="5"/>
  <c r="T570" i="5"/>
  <c r="U570" i="5"/>
  <c r="V132" i="6" s="1"/>
  <c r="R563" i="5"/>
  <c r="S563" i="5"/>
  <c r="R564" i="5"/>
  <c r="S131" i="6" s="1"/>
  <c r="S564" i="5"/>
  <c r="T131" i="6" s="1"/>
  <c r="T564" i="5"/>
  <c r="U131" i="6" s="1"/>
  <c r="U564" i="5"/>
  <c r="R544" i="5"/>
  <c r="S129" i="6" s="1"/>
  <c r="S544" i="5"/>
  <c r="T129" i="6" s="1"/>
  <c r="U544" i="5"/>
  <c r="V129" i="6" s="1"/>
  <c r="R531" i="5"/>
  <c r="S531" i="5"/>
  <c r="T531" i="5"/>
  <c r="U531" i="5"/>
  <c r="R532" i="5"/>
  <c r="S532" i="5"/>
  <c r="T532" i="5"/>
  <c r="U128" i="6" s="1"/>
  <c r="U532" i="5"/>
  <c r="V128" i="6" s="1"/>
  <c r="V126" i="6"/>
  <c r="R500" i="5"/>
  <c r="S500" i="5"/>
  <c r="T500" i="5"/>
  <c r="U500" i="5"/>
  <c r="R158" i="5"/>
  <c r="S158" i="5"/>
  <c r="T158" i="5"/>
  <c r="U158" i="5"/>
  <c r="R427" i="5"/>
  <c r="S427" i="5"/>
  <c r="T427" i="5"/>
  <c r="U70" i="6" s="1"/>
  <c r="R391" i="5"/>
  <c r="S391" i="5"/>
  <c r="T391" i="5"/>
  <c r="U391" i="5"/>
  <c r="R393" i="5"/>
  <c r="R392" i="5" s="1"/>
  <c r="S393" i="5"/>
  <c r="S392" i="5" s="1"/>
  <c r="T393" i="5"/>
  <c r="T392" i="5" s="1"/>
  <c r="U68" i="6" s="1"/>
  <c r="U393" i="5"/>
  <c r="U392" i="5" s="1"/>
  <c r="V68" i="6" s="1"/>
  <c r="R371" i="5"/>
  <c r="S371" i="5"/>
  <c r="T371" i="5"/>
  <c r="U371" i="5"/>
  <c r="R373" i="5"/>
  <c r="S373" i="5"/>
  <c r="T373" i="5"/>
  <c r="U64" i="6" s="1"/>
  <c r="U373" i="5"/>
  <c r="V64" i="6" s="1"/>
  <c r="R374" i="5"/>
  <c r="S374" i="5"/>
  <c r="S17" i="5" s="1"/>
  <c r="T374" i="5"/>
  <c r="U65" i="6" s="1"/>
  <c r="U374" i="5"/>
  <c r="R351" i="5"/>
  <c r="S351" i="5"/>
  <c r="T351" i="5"/>
  <c r="U351" i="5"/>
  <c r="R353" i="5"/>
  <c r="R352" i="5" s="1"/>
  <c r="S353" i="5"/>
  <c r="S352" i="5" s="1"/>
  <c r="T353" i="5"/>
  <c r="T352" i="5" s="1"/>
  <c r="U60" i="6" s="1"/>
  <c r="R259" i="5"/>
  <c r="S259" i="5"/>
  <c r="S16" i="5" s="1"/>
  <c r="T259" i="5"/>
  <c r="U259" i="5"/>
  <c r="V56" i="6" s="1"/>
  <c r="R201" i="5"/>
  <c r="S201" i="5"/>
  <c r="T201" i="5"/>
  <c r="R203" i="5"/>
  <c r="R202" i="5" s="1"/>
  <c r="S203" i="5"/>
  <c r="S202" i="5" s="1"/>
  <c r="T49" i="6" s="1"/>
  <c r="T203" i="5"/>
  <c r="T202" i="5" s="1"/>
  <c r="R190" i="5"/>
  <c r="S190" i="5"/>
  <c r="T190" i="5"/>
  <c r="R191" i="5"/>
  <c r="R192" i="5"/>
  <c r="R160" i="5"/>
  <c r="S160" i="5"/>
  <c r="S159" i="5" s="1"/>
  <c r="T45" i="6" s="1"/>
  <c r="U160" i="5"/>
  <c r="U159" i="5" s="1"/>
  <c r="V45" i="6" s="1"/>
  <c r="R147" i="5"/>
  <c r="S147" i="5"/>
  <c r="T147" i="5"/>
  <c r="U147" i="5"/>
  <c r="R149" i="5"/>
  <c r="R148" i="5" s="1"/>
  <c r="S149" i="5"/>
  <c r="S148" i="5" s="1"/>
  <c r="T149" i="5"/>
  <c r="T148" i="5" s="1"/>
  <c r="U149" i="5"/>
  <c r="U148" i="5" s="1"/>
  <c r="V44" i="6" s="1"/>
  <c r="R103" i="5"/>
  <c r="S103" i="5"/>
  <c r="T103" i="5"/>
  <c r="V70" i="6"/>
  <c r="U427" i="5"/>
  <c r="V658" i="5"/>
  <c r="W143" i="6" s="1"/>
  <c r="Q677" i="5"/>
  <c r="Q147" i="5"/>
  <c r="W677" i="5"/>
  <c r="X145" i="6" s="1"/>
  <c r="W878" i="5"/>
  <c r="V874" i="5"/>
  <c r="V858" i="5"/>
  <c r="R154" i="6"/>
  <c r="W278" i="5"/>
  <c r="V354" i="5"/>
  <c r="V204" i="5"/>
  <c r="V201" i="5"/>
  <c r="Q149" i="5"/>
  <c r="Q148" i="5" s="1"/>
  <c r="R44" i="6" s="1"/>
  <c r="Q152" i="5"/>
  <c r="P928" i="5"/>
  <c r="L928" i="5" s="1"/>
  <c r="G928" i="5"/>
  <c r="W921" i="5"/>
  <c r="X198" i="6" s="1"/>
  <c r="V921" i="5"/>
  <c r="L921" i="5"/>
  <c r="K921" i="5"/>
  <c r="J921" i="5"/>
  <c r="I921" i="5"/>
  <c r="H921" i="5"/>
  <c r="G921" i="5"/>
  <c r="W920" i="5"/>
  <c r="V920" i="5"/>
  <c r="L920" i="5"/>
  <c r="K920" i="5"/>
  <c r="J920" i="5"/>
  <c r="I920" i="5"/>
  <c r="H920" i="5"/>
  <c r="G920" i="5"/>
  <c r="J918" i="5"/>
  <c r="J915" i="5" s="1"/>
  <c r="L915" i="5"/>
  <c r="K915" i="5"/>
  <c r="I915" i="5"/>
  <c r="H915" i="5"/>
  <c r="G915" i="5"/>
  <c r="W910" i="5"/>
  <c r="V910" i="5"/>
  <c r="L904" i="5"/>
  <c r="L902" i="5" s="1"/>
  <c r="M193" i="6" s="1"/>
  <c r="J903" i="5"/>
  <c r="J899" i="5" s="1"/>
  <c r="W902" i="5"/>
  <c r="W739" i="5" s="1"/>
  <c r="X160" i="6" s="1"/>
  <c r="V902" i="5"/>
  <c r="W195" i="6" s="1"/>
  <c r="Q902" i="5"/>
  <c r="R195" i="6" s="1"/>
  <c r="P902" i="5"/>
  <c r="O902" i="5"/>
  <c r="N902" i="5"/>
  <c r="K902" i="5"/>
  <c r="J902" i="5"/>
  <c r="I902" i="5"/>
  <c r="H902" i="5"/>
  <c r="G902" i="5"/>
  <c r="W901" i="5"/>
  <c r="V901" i="5"/>
  <c r="W194" i="6" s="1"/>
  <c r="W899" i="5"/>
  <c r="V899" i="5"/>
  <c r="O899" i="5"/>
  <c r="N899" i="5"/>
  <c r="M899" i="5"/>
  <c r="L899" i="5"/>
  <c r="K899" i="5"/>
  <c r="I899" i="5"/>
  <c r="H899" i="5"/>
  <c r="G899" i="5"/>
  <c r="G896" i="5"/>
  <c r="G894" i="5" s="1"/>
  <c r="W894" i="5"/>
  <c r="V894" i="5"/>
  <c r="Q894" i="5"/>
  <c r="L894" i="5"/>
  <c r="K894" i="5"/>
  <c r="J894" i="5"/>
  <c r="I894" i="5"/>
  <c r="H894" i="5"/>
  <c r="W893" i="5"/>
  <c r="V893" i="5"/>
  <c r="Q893" i="5"/>
  <c r="L893" i="5"/>
  <c r="K893" i="5"/>
  <c r="J893" i="5"/>
  <c r="I893" i="5"/>
  <c r="H893" i="5"/>
  <c r="G893" i="5"/>
  <c r="V890" i="5"/>
  <c r="P890" i="5"/>
  <c r="O890" i="5"/>
  <c r="N890" i="5"/>
  <c r="M890" i="5"/>
  <c r="L890" i="5"/>
  <c r="M190" i="6" s="1"/>
  <c r="K890" i="5"/>
  <c r="J890" i="5"/>
  <c r="I890" i="5"/>
  <c r="H890" i="5"/>
  <c r="G890" i="5"/>
  <c r="V889" i="5"/>
  <c r="P889" i="5"/>
  <c r="O889" i="5"/>
  <c r="N889" i="5"/>
  <c r="M889" i="5"/>
  <c r="L889" i="5"/>
  <c r="K889" i="5"/>
  <c r="J889" i="5"/>
  <c r="I889" i="5"/>
  <c r="H889" i="5"/>
  <c r="G889" i="5"/>
  <c r="W886" i="5"/>
  <c r="V886" i="5"/>
  <c r="Q886" i="5"/>
  <c r="P886" i="5"/>
  <c r="O886" i="5"/>
  <c r="N886" i="5"/>
  <c r="M886" i="5"/>
  <c r="L886" i="5"/>
  <c r="M189" i="6" s="1"/>
  <c r="K886" i="5"/>
  <c r="J886" i="5"/>
  <c r="I886" i="5"/>
  <c r="H886" i="5"/>
  <c r="G886" i="5"/>
  <c r="W885" i="5"/>
  <c r="V885" i="5"/>
  <c r="Q885" i="5"/>
  <c r="P885" i="5"/>
  <c r="O885" i="5"/>
  <c r="N885" i="5"/>
  <c r="M885" i="5"/>
  <c r="L885" i="5"/>
  <c r="K885" i="5"/>
  <c r="J885" i="5"/>
  <c r="I885" i="5"/>
  <c r="H885" i="5"/>
  <c r="G885" i="5"/>
  <c r="W882" i="5"/>
  <c r="W870" i="5"/>
  <c r="L868" i="5"/>
  <c r="W866" i="5"/>
  <c r="V866" i="5"/>
  <c r="Q866" i="5"/>
  <c r="P864" i="5"/>
  <c r="L864" i="5" s="1"/>
  <c r="O856" i="5"/>
  <c r="O848" i="5" s="1"/>
  <c r="W854" i="5"/>
  <c r="Q854" i="5"/>
  <c r="L852" i="5"/>
  <c r="Q850" i="5"/>
  <c r="W850" i="5"/>
  <c r="V850" i="5"/>
  <c r="N848" i="5"/>
  <c r="M848" i="5"/>
  <c r="K848" i="5"/>
  <c r="J848" i="5"/>
  <c r="I848" i="5"/>
  <c r="H848" i="5"/>
  <c r="G848" i="5"/>
  <c r="P845" i="5"/>
  <c r="O845" i="5"/>
  <c r="N845" i="5"/>
  <c r="M845" i="5"/>
  <c r="L845" i="5"/>
  <c r="K845" i="5"/>
  <c r="J845" i="5"/>
  <c r="I845" i="5"/>
  <c r="H845" i="5"/>
  <c r="G845" i="5"/>
  <c r="W840" i="5"/>
  <c r="V840" i="5"/>
  <c r="W839" i="5"/>
  <c r="V839" i="5"/>
  <c r="Q839" i="5"/>
  <c r="L839" i="5"/>
  <c r="K839" i="5"/>
  <c r="J839" i="5"/>
  <c r="I839" i="5"/>
  <c r="H839" i="5"/>
  <c r="G839" i="5"/>
  <c r="W836" i="5"/>
  <c r="V836" i="5"/>
  <c r="Q836" i="5"/>
  <c r="R184" i="6" s="1"/>
  <c r="W835" i="5"/>
  <c r="V835" i="5"/>
  <c r="Q835" i="5"/>
  <c r="L835" i="5"/>
  <c r="K835" i="5"/>
  <c r="J835" i="5"/>
  <c r="I835" i="5"/>
  <c r="H835" i="5"/>
  <c r="G835" i="5"/>
  <c r="K832" i="5"/>
  <c r="G832" i="5" s="1"/>
  <c r="G830" i="5" s="1"/>
  <c r="W830" i="5"/>
  <c r="V830" i="5"/>
  <c r="W183" i="6" s="1"/>
  <c r="Q830" i="5"/>
  <c r="L830" i="5"/>
  <c r="J830" i="5"/>
  <c r="I830" i="5"/>
  <c r="H830" i="5"/>
  <c r="W829" i="5"/>
  <c r="V829" i="5"/>
  <c r="Q829" i="5"/>
  <c r="L829" i="5"/>
  <c r="K829" i="5"/>
  <c r="J829" i="5"/>
  <c r="I829" i="5"/>
  <c r="H829" i="5"/>
  <c r="G829" i="5"/>
  <c r="Q826" i="5"/>
  <c r="R182" i="6" s="1"/>
  <c r="L826" i="5"/>
  <c r="K826" i="5"/>
  <c r="J826" i="5"/>
  <c r="I826" i="5"/>
  <c r="H826" i="5"/>
  <c r="G826" i="5"/>
  <c r="G824" i="5"/>
  <c r="G822" i="5" s="1"/>
  <c r="G823" i="5"/>
  <c r="G821" i="5" s="1"/>
  <c r="W822" i="5"/>
  <c r="V822" i="5"/>
  <c r="Q822" i="5"/>
  <c r="L822" i="5"/>
  <c r="K822" i="5"/>
  <c r="J822" i="5"/>
  <c r="I822" i="5"/>
  <c r="H822" i="5"/>
  <c r="W821" i="5"/>
  <c r="V821" i="5"/>
  <c r="Q821" i="5"/>
  <c r="L821" i="5"/>
  <c r="K821" i="5"/>
  <c r="J821" i="5"/>
  <c r="I821" i="5"/>
  <c r="H821" i="5"/>
  <c r="J819" i="5"/>
  <c r="K819" i="5" s="1"/>
  <c r="P818" i="5"/>
  <c r="P816" i="5" s="1"/>
  <c r="K817" i="5"/>
  <c r="W816" i="5"/>
  <c r="V816" i="5"/>
  <c r="W180" i="6" s="1"/>
  <c r="O816" i="5"/>
  <c r="N816" i="5"/>
  <c r="M816" i="5"/>
  <c r="N180" i="6" s="1"/>
  <c r="L816" i="5"/>
  <c r="K816" i="5"/>
  <c r="J816" i="5"/>
  <c r="I816" i="5"/>
  <c r="H816" i="5"/>
  <c r="G816" i="5"/>
  <c r="W815" i="5"/>
  <c r="V815" i="5"/>
  <c r="P815" i="5"/>
  <c r="O815" i="5"/>
  <c r="N815" i="5"/>
  <c r="M815" i="5"/>
  <c r="L815" i="5"/>
  <c r="I815" i="5"/>
  <c r="H815" i="5"/>
  <c r="G815" i="5"/>
  <c r="Q812" i="5"/>
  <c r="Q810" i="5" s="1"/>
  <c r="P812" i="5"/>
  <c r="P810" i="5" s="1"/>
  <c r="J812" i="5"/>
  <c r="G812" i="5" s="1"/>
  <c r="G810" i="5" s="1"/>
  <c r="W810" i="5"/>
  <c r="X179" i="6" s="1"/>
  <c r="V810" i="5"/>
  <c r="W179" i="6" s="1"/>
  <c r="O810" i="5"/>
  <c r="N810" i="5"/>
  <c r="M810" i="5"/>
  <c r="L810" i="5"/>
  <c r="M179" i="6" s="1"/>
  <c r="K810" i="5"/>
  <c r="I810" i="5"/>
  <c r="H810" i="5"/>
  <c r="W809" i="5"/>
  <c r="V809" i="5"/>
  <c r="Q809" i="5"/>
  <c r="P809" i="5"/>
  <c r="O809" i="5"/>
  <c r="N809" i="5"/>
  <c r="M809" i="5"/>
  <c r="L809" i="5"/>
  <c r="K809" i="5"/>
  <c r="J809" i="5"/>
  <c r="I809" i="5"/>
  <c r="H809" i="5"/>
  <c r="G809" i="5"/>
  <c r="W801" i="5"/>
  <c r="X176" i="6" s="1"/>
  <c r="Q801" i="5"/>
  <c r="L801" i="5"/>
  <c r="K801" i="5"/>
  <c r="J801" i="5"/>
  <c r="I801" i="5"/>
  <c r="H801" i="5"/>
  <c r="G801" i="5"/>
  <c r="W798" i="5"/>
  <c r="V798" i="5"/>
  <c r="L798" i="5"/>
  <c r="K798" i="5"/>
  <c r="J798" i="5"/>
  <c r="I798" i="5"/>
  <c r="H798" i="5"/>
  <c r="G798" i="5"/>
  <c r="V795" i="5"/>
  <c r="Q795" i="5"/>
  <c r="V793" i="5"/>
  <c r="W175" i="6" s="1"/>
  <c r="Q793" i="5"/>
  <c r="R175" i="6" s="1"/>
  <c r="V792" i="5"/>
  <c r="W791" i="5"/>
  <c r="L791" i="5"/>
  <c r="K791" i="5"/>
  <c r="J791" i="5"/>
  <c r="I791" i="5"/>
  <c r="H791" i="5"/>
  <c r="G791" i="5"/>
  <c r="W790" i="5"/>
  <c r="V790" i="5"/>
  <c r="Q790" i="5"/>
  <c r="L790" i="5"/>
  <c r="K790" i="5"/>
  <c r="J790" i="5"/>
  <c r="I790" i="5"/>
  <c r="H790" i="5"/>
  <c r="G790" i="5"/>
  <c r="P787" i="5"/>
  <c r="P785" i="5" s="1"/>
  <c r="G787" i="5"/>
  <c r="G785" i="5" s="1"/>
  <c r="W785" i="5"/>
  <c r="X172" i="6" s="1"/>
  <c r="V785" i="5"/>
  <c r="O785" i="5"/>
  <c r="N785" i="5"/>
  <c r="M785" i="5"/>
  <c r="L785" i="5"/>
  <c r="K785" i="5"/>
  <c r="J785" i="5"/>
  <c r="I785" i="5"/>
  <c r="H785" i="5"/>
  <c r="W784" i="5"/>
  <c r="V784" i="5"/>
  <c r="Q784" i="5"/>
  <c r="P784" i="5"/>
  <c r="O784" i="5"/>
  <c r="N784" i="5"/>
  <c r="M784" i="5"/>
  <c r="L784" i="5"/>
  <c r="K784" i="5"/>
  <c r="J784" i="5"/>
  <c r="I784" i="5"/>
  <c r="H784" i="5"/>
  <c r="G784" i="5"/>
  <c r="W781" i="5"/>
  <c r="V781" i="5"/>
  <c r="P781" i="5"/>
  <c r="O781" i="5"/>
  <c r="N781" i="5"/>
  <c r="M781" i="5"/>
  <c r="N171" i="6" s="1"/>
  <c r="L781" i="5"/>
  <c r="K781" i="5"/>
  <c r="J781" i="5"/>
  <c r="I781" i="5"/>
  <c r="H781" i="5"/>
  <c r="G781" i="5"/>
  <c r="W780" i="5"/>
  <c r="V780" i="5"/>
  <c r="Q780" i="5"/>
  <c r="P780" i="5"/>
  <c r="O780" i="5"/>
  <c r="N780" i="5"/>
  <c r="M780" i="5"/>
  <c r="L780" i="5"/>
  <c r="K780" i="5"/>
  <c r="J780" i="5"/>
  <c r="I780" i="5"/>
  <c r="H780" i="5"/>
  <c r="G780" i="5"/>
  <c r="V779" i="5"/>
  <c r="V769" i="5" s="1"/>
  <c r="G777" i="5"/>
  <c r="G776" i="5"/>
  <c r="L775" i="5"/>
  <c r="L769" i="5" s="1"/>
  <c r="G775" i="5"/>
  <c r="G774" i="5"/>
  <c r="G773" i="5"/>
  <c r="G772" i="5"/>
  <c r="G771" i="5"/>
  <c r="G770" i="5"/>
  <c r="W769" i="5"/>
  <c r="Q769" i="5"/>
  <c r="P769" i="5"/>
  <c r="O769" i="5"/>
  <c r="N769" i="5"/>
  <c r="M769" i="5"/>
  <c r="K769" i="5"/>
  <c r="J769" i="5"/>
  <c r="I769" i="5"/>
  <c r="H769" i="5"/>
  <c r="W768" i="5"/>
  <c r="V768" i="5"/>
  <c r="Q768" i="5"/>
  <c r="M768" i="5"/>
  <c r="L768" i="5"/>
  <c r="K768" i="5"/>
  <c r="J768" i="5"/>
  <c r="I768" i="5"/>
  <c r="H768" i="5"/>
  <c r="W765" i="5"/>
  <c r="X169" i="6" s="1"/>
  <c r="V765" i="5"/>
  <c r="Q765" i="5"/>
  <c r="L765" i="5"/>
  <c r="K765" i="5"/>
  <c r="J765" i="5"/>
  <c r="I765" i="5"/>
  <c r="H765" i="5"/>
  <c r="G765" i="5"/>
  <c r="W764" i="5"/>
  <c r="V764" i="5"/>
  <c r="Q764" i="5"/>
  <c r="L764" i="5"/>
  <c r="K764" i="5"/>
  <c r="J764" i="5"/>
  <c r="I764" i="5"/>
  <c r="H764" i="5"/>
  <c r="G764" i="5"/>
  <c r="I763" i="5"/>
  <c r="I759" i="5" s="1"/>
  <c r="K762" i="5"/>
  <c r="K758" i="5" s="1"/>
  <c r="V759" i="5"/>
  <c r="P759" i="5"/>
  <c r="O759" i="5"/>
  <c r="N759" i="5"/>
  <c r="M759" i="5"/>
  <c r="N168" i="6" s="1"/>
  <c r="L759" i="5"/>
  <c r="K759" i="5"/>
  <c r="J759" i="5"/>
  <c r="H759" i="5"/>
  <c r="G759" i="5"/>
  <c r="V758" i="5"/>
  <c r="O758" i="5"/>
  <c r="N758" i="5"/>
  <c r="M758" i="5"/>
  <c r="L758" i="5"/>
  <c r="J758" i="5"/>
  <c r="I758" i="5"/>
  <c r="H758" i="5"/>
  <c r="G758" i="5"/>
  <c r="W755" i="5"/>
  <c r="X166" i="6" s="1"/>
  <c r="V755" i="5"/>
  <c r="Q755" i="5"/>
  <c r="W754" i="5"/>
  <c r="V754" i="5"/>
  <c r="Q754" i="5"/>
  <c r="Q752" i="5"/>
  <c r="L752" i="5"/>
  <c r="K752" i="5"/>
  <c r="J752" i="5"/>
  <c r="I752" i="5"/>
  <c r="H752" i="5"/>
  <c r="G752" i="5"/>
  <c r="G750" i="5"/>
  <c r="G748" i="5"/>
  <c r="W747" i="5"/>
  <c r="V747" i="5"/>
  <c r="Q747" i="5"/>
  <c r="P747" i="5"/>
  <c r="O747" i="5"/>
  <c r="N747" i="5"/>
  <c r="M747" i="5"/>
  <c r="L747" i="5"/>
  <c r="K747" i="5"/>
  <c r="J747" i="5"/>
  <c r="I747" i="5"/>
  <c r="H747" i="5"/>
  <c r="G747" i="5"/>
  <c r="W746" i="5"/>
  <c r="V746" i="5"/>
  <c r="Q746" i="5"/>
  <c r="P746" i="5"/>
  <c r="O746" i="5"/>
  <c r="N746" i="5"/>
  <c r="M746" i="5"/>
  <c r="L746" i="5"/>
  <c r="K746" i="5"/>
  <c r="J746" i="5"/>
  <c r="I746" i="5"/>
  <c r="H746" i="5"/>
  <c r="O745" i="5"/>
  <c r="O743" i="5" s="1"/>
  <c r="L745" i="5"/>
  <c r="L743" i="5" s="1"/>
  <c r="M164" i="6" s="1"/>
  <c r="W743" i="5"/>
  <c r="V743" i="5"/>
  <c r="W164" i="6" s="1"/>
  <c r="Q743" i="5"/>
  <c r="P743" i="5"/>
  <c r="N743" i="5"/>
  <c r="M743" i="5"/>
  <c r="K743" i="5"/>
  <c r="J743" i="5"/>
  <c r="I743" i="5"/>
  <c r="H743" i="5"/>
  <c r="G743" i="5"/>
  <c r="W742" i="5"/>
  <c r="V742" i="5"/>
  <c r="Q742" i="5"/>
  <c r="P742" i="5"/>
  <c r="O742" i="5"/>
  <c r="N742" i="5"/>
  <c r="M742" i="5"/>
  <c r="L742" i="5"/>
  <c r="K742" i="5"/>
  <c r="J742" i="5"/>
  <c r="I742" i="5"/>
  <c r="H742" i="5"/>
  <c r="G742" i="5"/>
  <c r="H732" i="5"/>
  <c r="G732" i="5" s="1"/>
  <c r="P731" i="5"/>
  <c r="L731" i="5" s="1"/>
  <c r="J731" i="5"/>
  <c r="G731" i="5" s="1"/>
  <c r="L730" i="5"/>
  <c r="L728" i="5"/>
  <c r="W726" i="5"/>
  <c r="V726" i="5"/>
  <c r="P726" i="5"/>
  <c r="O726" i="5"/>
  <c r="N726" i="5"/>
  <c r="M726" i="5"/>
  <c r="K726" i="5"/>
  <c r="J726" i="5"/>
  <c r="I726" i="5"/>
  <c r="H726" i="5"/>
  <c r="G726" i="5"/>
  <c r="W725" i="5"/>
  <c r="V725" i="5"/>
  <c r="P725" i="5"/>
  <c r="O725" i="5"/>
  <c r="N725" i="5"/>
  <c r="M725" i="5"/>
  <c r="L725" i="5"/>
  <c r="K725" i="5"/>
  <c r="J725" i="5"/>
  <c r="I725" i="5"/>
  <c r="H725" i="5"/>
  <c r="G725" i="5"/>
  <c r="W720" i="5"/>
  <c r="V720" i="5"/>
  <c r="P720" i="5"/>
  <c r="O720" i="5"/>
  <c r="N720" i="5"/>
  <c r="M720" i="5"/>
  <c r="L720" i="5"/>
  <c r="K720" i="5"/>
  <c r="J720" i="5"/>
  <c r="I720" i="5"/>
  <c r="H720" i="5"/>
  <c r="G720" i="5"/>
  <c r="W719" i="5"/>
  <c r="V719" i="5"/>
  <c r="P719" i="5"/>
  <c r="O719" i="5"/>
  <c r="N719" i="5"/>
  <c r="M719" i="5"/>
  <c r="L719" i="5"/>
  <c r="K719" i="5"/>
  <c r="J719" i="5"/>
  <c r="I719" i="5"/>
  <c r="H719" i="5"/>
  <c r="G719" i="5"/>
  <c r="G718" i="5"/>
  <c r="G710" i="5" s="1"/>
  <c r="I717" i="5"/>
  <c r="I709" i="5" s="1"/>
  <c r="L712" i="5"/>
  <c r="L710" i="5" s="1"/>
  <c r="M150" i="6" s="1"/>
  <c r="W710" i="5"/>
  <c r="X150" i="6" s="1"/>
  <c r="V710" i="5"/>
  <c r="W150" i="6" s="1"/>
  <c r="P710" i="5"/>
  <c r="O710" i="5"/>
  <c r="N710" i="5"/>
  <c r="M710" i="5"/>
  <c r="K710" i="5"/>
  <c r="J710" i="5"/>
  <c r="I710" i="5"/>
  <c r="H710" i="5"/>
  <c r="W709" i="5"/>
  <c r="V709" i="5"/>
  <c r="Q709" i="5"/>
  <c r="L709" i="5"/>
  <c r="K709" i="5"/>
  <c r="J709" i="5"/>
  <c r="H709" i="5"/>
  <c r="G709" i="5"/>
  <c r="J706" i="5"/>
  <c r="G706" i="5" s="1"/>
  <c r="G702" i="5" s="1"/>
  <c r="G705" i="5"/>
  <c r="G701" i="5" s="1"/>
  <c r="L704" i="5"/>
  <c r="L702" i="5" s="1"/>
  <c r="V702" i="5"/>
  <c r="Q702" i="5"/>
  <c r="P702" i="5"/>
  <c r="O702" i="5"/>
  <c r="N702" i="5"/>
  <c r="M702" i="5"/>
  <c r="N149" i="6" s="1"/>
  <c r="K702" i="5"/>
  <c r="I702" i="5"/>
  <c r="H702" i="5"/>
  <c r="V701" i="5"/>
  <c r="Q701" i="5"/>
  <c r="L701" i="5"/>
  <c r="K701" i="5"/>
  <c r="J701" i="5"/>
  <c r="I701" i="5"/>
  <c r="H701" i="5"/>
  <c r="O700" i="5"/>
  <c r="L700" i="5" s="1"/>
  <c r="L694" i="5" s="1"/>
  <c r="M148" i="6" s="1"/>
  <c r="J696" i="5"/>
  <c r="G696" i="5" s="1"/>
  <c r="G694" i="5" s="1"/>
  <c r="G695" i="5"/>
  <c r="G693" i="5" s="1"/>
  <c r="V694" i="5"/>
  <c r="W148" i="6" s="1"/>
  <c r="Q694" i="5"/>
  <c r="P694" i="5"/>
  <c r="N694" i="5"/>
  <c r="M694" i="5"/>
  <c r="K694" i="5"/>
  <c r="I694" i="5"/>
  <c r="H694" i="5"/>
  <c r="V693" i="5"/>
  <c r="Q693" i="5"/>
  <c r="P693" i="5"/>
  <c r="O693" i="5"/>
  <c r="N693" i="5"/>
  <c r="M693" i="5"/>
  <c r="L693" i="5"/>
  <c r="K693" i="5"/>
  <c r="J693" i="5"/>
  <c r="I693" i="5"/>
  <c r="H693" i="5"/>
  <c r="G691" i="5"/>
  <c r="V690" i="5"/>
  <c r="V688" i="5" s="1"/>
  <c r="M690" i="5"/>
  <c r="L690" i="5" s="1"/>
  <c r="L688" i="5" s="1"/>
  <c r="M147" i="6" s="1"/>
  <c r="G689" i="5"/>
  <c r="W688" i="5"/>
  <c r="X147" i="6" s="1"/>
  <c r="Q688" i="5"/>
  <c r="P688" i="5"/>
  <c r="O688" i="5"/>
  <c r="N688" i="5"/>
  <c r="K688" i="5"/>
  <c r="J688" i="5"/>
  <c r="I688" i="5"/>
  <c r="H688" i="5"/>
  <c r="G688" i="5"/>
  <c r="W687" i="5"/>
  <c r="V687" i="5"/>
  <c r="Q687" i="5"/>
  <c r="P687" i="5"/>
  <c r="O687" i="5"/>
  <c r="N687" i="5"/>
  <c r="M687" i="5"/>
  <c r="L687" i="5"/>
  <c r="K687" i="5"/>
  <c r="J687" i="5"/>
  <c r="I687" i="5"/>
  <c r="H687" i="5"/>
  <c r="O686" i="5"/>
  <c r="L684" i="5"/>
  <c r="L680" i="5"/>
  <c r="V678" i="5"/>
  <c r="Q678" i="5"/>
  <c r="R146" i="6" s="1"/>
  <c r="P678" i="5"/>
  <c r="N678" i="5"/>
  <c r="M678" i="5"/>
  <c r="K678" i="5"/>
  <c r="J678" i="5"/>
  <c r="I678" i="5"/>
  <c r="H678" i="5"/>
  <c r="G678" i="5"/>
  <c r="W675" i="5"/>
  <c r="V675" i="5"/>
  <c r="Q675" i="5"/>
  <c r="P675" i="5"/>
  <c r="O675" i="5"/>
  <c r="N675" i="5"/>
  <c r="M675" i="5"/>
  <c r="L675" i="5"/>
  <c r="K675" i="5"/>
  <c r="J675" i="5"/>
  <c r="I675" i="5"/>
  <c r="H675" i="5"/>
  <c r="G675" i="5"/>
  <c r="G674" i="5"/>
  <c r="G668" i="5" s="1"/>
  <c r="G673" i="5"/>
  <c r="G667" i="5" s="1"/>
  <c r="V668" i="5"/>
  <c r="Q668" i="5"/>
  <c r="P668" i="5"/>
  <c r="O668" i="5"/>
  <c r="P144" i="6" s="1"/>
  <c r="N668" i="5"/>
  <c r="M668" i="5"/>
  <c r="L668" i="5"/>
  <c r="M144" i="6" s="1"/>
  <c r="K668" i="5"/>
  <c r="J668" i="5"/>
  <c r="I668" i="5"/>
  <c r="H668" i="5"/>
  <c r="V667" i="5"/>
  <c r="Q667" i="5"/>
  <c r="L667" i="5"/>
  <c r="K667" i="5"/>
  <c r="J667" i="5"/>
  <c r="I667" i="5"/>
  <c r="H667" i="5"/>
  <c r="P664" i="5"/>
  <c r="J662" i="5"/>
  <c r="G662" i="5" s="1"/>
  <c r="G658" i="5" s="1"/>
  <c r="G661" i="5"/>
  <c r="G657" i="5" s="1"/>
  <c r="V660" i="5"/>
  <c r="L660" i="5"/>
  <c r="O658" i="5"/>
  <c r="N658" i="5"/>
  <c r="M658" i="5"/>
  <c r="N143" i="6" s="1"/>
  <c r="K658" i="5"/>
  <c r="I658" i="5"/>
  <c r="H658" i="5"/>
  <c r="W657" i="5"/>
  <c r="V657" i="5"/>
  <c r="Q657" i="5"/>
  <c r="P657" i="5"/>
  <c r="O657" i="5"/>
  <c r="N657" i="5"/>
  <c r="M657" i="5"/>
  <c r="L657" i="5"/>
  <c r="K657" i="5"/>
  <c r="J657" i="5"/>
  <c r="I657" i="5"/>
  <c r="H657" i="5"/>
  <c r="G655" i="5"/>
  <c r="G643" i="5" s="1"/>
  <c r="G651" i="5"/>
  <c r="O650" i="5"/>
  <c r="L650" i="5" s="1"/>
  <c r="L644" i="5" s="1"/>
  <c r="M142" i="6" s="1"/>
  <c r="G646" i="5"/>
  <c r="G644" i="5" s="1"/>
  <c r="W644" i="5"/>
  <c r="V644" i="5"/>
  <c r="P644" i="5"/>
  <c r="N644" i="5"/>
  <c r="M644" i="5"/>
  <c r="K644" i="5"/>
  <c r="J644" i="5"/>
  <c r="I644" i="5"/>
  <c r="H644" i="5"/>
  <c r="W643" i="5"/>
  <c r="V643" i="5"/>
  <c r="Q643" i="5"/>
  <c r="P643" i="5"/>
  <c r="O643" i="5"/>
  <c r="N643" i="5"/>
  <c r="M643" i="5"/>
  <c r="L643" i="5"/>
  <c r="K643" i="5"/>
  <c r="J643" i="5"/>
  <c r="I643" i="5"/>
  <c r="H643" i="5"/>
  <c r="J640" i="5"/>
  <c r="G640" i="5"/>
  <c r="G638" i="5" s="1"/>
  <c r="G639" i="5"/>
  <c r="W638" i="5"/>
  <c r="V638" i="5"/>
  <c r="Q638" i="5"/>
  <c r="R141" i="6" s="1"/>
  <c r="L638" i="5"/>
  <c r="K638" i="5"/>
  <c r="I638" i="5"/>
  <c r="H638" i="5"/>
  <c r="W637" i="5"/>
  <c r="V637" i="5"/>
  <c r="Q637" i="5"/>
  <c r="L637" i="5"/>
  <c r="K637" i="5"/>
  <c r="J637" i="5"/>
  <c r="I637" i="5"/>
  <c r="H637" i="5"/>
  <c r="G637" i="5"/>
  <c r="W622" i="5"/>
  <c r="V622" i="5"/>
  <c r="L622" i="5"/>
  <c r="K622" i="5"/>
  <c r="J622" i="5"/>
  <c r="I622" i="5"/>
  <c r="H622" i="5"/>
  <c r="G622" i="5"/>
  <c r="W619" i="5"/>
  <c r="V619" i="5"/>
  <c r="L619" i="5"/>
  <c r="K619" i="5"/>
  <c r="J619" i="5"/>
  <c r="I619" i="5"/>
  <c r="H619" i="5"/>
  <c r="G619" i="5"/>
  <c r="V616" i="5"/>
  <c r="V614" i="5" s="1"/>
  <c r="L616" i="5"/>
  <c r="L614" i="5" s="1"/>
  <c r="M137" i="6" s="1"/>
  <c r="W614" i="5"/>
  <c r="X137" i="6" s="1"/>
  <c r="P614" i="5"/>
  <c r="O614" i="5"/>
  <c r="N614" i="5"/>
  <c r="M614" i="5"/>
  <c r="K614" i="5"/>
  <c r="J614" i="5"/>
  <c r="I614" i="5"/>
  <c r="H614" i="5"/>
  <c r="G614" i="5"/>
  <c r="W613" i="5"/>
  <c r="V613" i="5"/>
  <c r="P613" i="5"/>
  <c r="O613" i="5"/>
  <c r="N613" i="5"/>
  <c r="M613" i="5"/>
  <c r="L613" i="5"/>
  <c r="K613" i="5"/>
  <c r="J613" i="5"/>
  <c r="I613" i="5"/>
  <c r="H613" i="5"/>
  <c r="G613" i="5"/>
  <c r="G612" i="5"/>
  <c r="G611" i="5"/>
  <c r="V610" i="5"/>
  <c r="Q610" i="5"/>
  <c r="L610" i="5"/>
  <c r="K610" i="5"/>
  <c r="J610" i="5"/>
  <c r="I610" i="5"/>
  <c r="H610" i="5"/>
  <c r="G608" i="5"/>
  <c r="G607" i="5"/>
  <c r="J606" i="5"/>
  <c r="G606" i="5" s="1"/>
  <c r="G605" i="5"/>
  <c r="V602" i="5"/>
  <c r="Q602" i="5"/>
  <c r="L602" i="5"/>
  <c r="K602" i="5"/>
  <c r="J602" i="5"/>
  <c r="I602" i="5"/>
  <c r="H602" i="5"/>
  <c r="W601" i="5"/>
  <c r="W600" i="5" s="1"/>
  <c r="V601" i="5"/>
  <c r="Q601" i="5"/>
  <c r="L601" i="5"/>
  <c r="K601" i="5"/>
  <c r="I601" i="5"/>
  <c r="H601" i="5"/>
  <c r="H600" i="5" s="1"/>
  <c r="W599" i="5"/>
  <c r="V599" i="5"/>
  <c r="Q599" i="5"/>
  <c r="L599" i="5"/>
  <c r="K599" i="5"/>
  <c r="J599" i="5"/>
  <c r="I599" i="5"/>
  <c r="H599" i="5"/>
  <c r="M598" i="5"/>
  <c r="M592" i="5" s="1"/>
  <c r="N135" i="6" s="1"/>
  <c r="G594" i="5"/>
  <c r="G592" i="5" s="1"/>
  <c r="V592" i="5"/>
  <c r="W135" i="6" s="1"/>
  <c r="P592" i="5"/>
  <c r="O592" i="5"/>
  <c r="N592" i="5"/>
  <c r="L592" i="5"/>
  <c r="M135" i="6" s="1"/>
  <c r="K592" i="5"/>
  <c r="J592" i="5"/>
  <c r="I592" i="5"/>
  <c r="H592" i="5"/>
  <c r="V591" i="5"/>
  <c r="Q591" i="5"/>
  <c r="L591" i="5"/>
  <c r="K591" i="5"/>
  <c r="J591" i="5"/>
  <c r="I591" i="5"/>
  <c r="H591" i="5"/>
  <c r="G591" i="5"/>
  <c r="L590" i="5"/>
  <c r="L586" i="5" s="1"/>
  <c r="J588" i="5"/>
  <c r="G588" i="5" s="1"/>
  <c r="G586" i="5" s="1"/>
  <c r="G587" i="5"/>
  <c r="G585" i="5" s="1"/>
  <c r="V586" i="5"/>
  <c r="M586" i="5"/>
  <c r="K586" i="5"/>
  <c r="I586" i="5"/>
  <c r="H586" i="5"/>
  <c r="V585" i="5"/>
  <c r="Q585" i="5"/>
  <c r="L585" i="5"/>
  <c r="K585" i="5"/>
  <c r="J585" i="5"/>
  <c r="I585" i="5"/>
  <c r="H585" i="5"/>
  <c r="L584" i="5"/>
  <c r="L576" i="5" s="1"/>
  <c r="M133" i="6" s="1"/>
  <c r="I578" i="5"/>
  <c r="W576" i="5"/>
  <c r="V576" i="5"/>
  <c r="Q576" i="5"/>
  <c r="P576" i="5"/>
  <c r="O576" i="5"/>
  <c r="N576" i="5"/>
  <c r="M576" i="5"/>
  <c r="K576" i="5"/>
  <c r="J576" i="5"/>
  <c r="H576" i="5"/>
  <c r="W575" i="5"/>
  <c r="V575" i="5"/>
  <c r="Q575" i="5"/>
  <c r="L575" i="5"/>
  <c r="K575" i="5"/>
  <c r="J575" i="5"/>
  <c r="I575" i="5"/>
  <c r="H575" i="5"/>
  <c r="G575" i="5"/>
  <c r="W570" i="5"/>
  <c r="V570" i="5"/>
  <c r="Q570" i="5"/>
  <c r="R132" i="6" s="1"/>
  <c r="P570" i="5"/>
  <c r="O570" i="5"/>
  <c r="N570" i="5"/>
  <c r="M570" i="5"/>
  <c r="L570" i="5"/>
  <c r="K570" i="5"/>
  <c r="J570" i="5"/>
  <c r="I570" i="5"/>
  <c r="H570" i="5"/>
  <c r="G570" i="5"/>
  <c r="W569" i="5"/>
  <c r="V569" i="5"/>
  <c r="Q569" i="5"/>
  <c r="L569" i="5"/>
  <c r="K569" i="5"/>
  <c r="J569" i="5"/>
  <c r="I569" i="5"/>
  <c r="H569" i="5"/>
  <c r="G569" i="5"/>
  <c r="W564" i="5"/>
  <c r="X131" i="6" s="1"/>
  <c r="V564" i="5"/>
  <c r="Q564" i="5"/>
  <c r="L564" i="5"/>
  <c r="K564" i="5"/>
  <c r="J564" i="5"/>
  <c r="I564" i="5"/>
  <c r="H564" i="5"/>
  <c r="G564" i="5"/>
  <c r="W563" i="5"/>
  <c r="V563" i="5"/>
  <c r="Q563" i="5"/>
  <c r="L563" i="5"/>
  <c r="K563" i="5"/>
  <c r="J563" i="5"/>
  <c r="I563" i="5"/>
  <c r="H563" i="5"/>
  <c r="G563" i="5"/>
  <c r="W558" i="5"/>
  <c r="V558" i="5"/>
  <c r="L558" i="5"/>
  <c r="K558" i="5"/>
  <c r="J558" i="5"/>
  <c r="I558" i="5"/>
  <c r="H558" i="5"/>
  <c r="G558" i="5"/>
  <c r="W557" i="5"/>
  <c r="V557" i="5"/>
  <c r="L557" i="5"/>
  <c r="K557" i="5"/>
  <c r="J557" i="5"/>
  <c r="I557" i="5"/>
  <c r="H557" i="5"/>
  <c r="G557" i="5"/>
  <c r="W544" i="5"/>
  <c r="L544" i="5"/>
  <c r="K544" i="5"/>
  <c r="J544" i="5"/>
  <c r="I544" i="5"/>
  <c r="H544" i="5"/>
  <c r="G544" i="5"/>
  <c r="V543" i="5"/>
  <c r="L543" i="5"/>
  <c r="K543" i="5"/>
  <c r="J543" i="5"/>
  <c r="I543" i="5"/>
  <c r="H543" i="5"/>
  <c r="G543" i="5"/>
  <c r="J540" i="5"/>
  <c r="G540" i="5" s="1"/>
  <c r="G532" i="5" s="1"/>
  <c r="G539" i="5"/>
  <c r="G531" i="5" s="1"/>
  <c r="W532" i="5"/>
  <c r="V532" i="5"/>
  <c r="W128" i="6" s="1"/>
  <c r="L532" i="5"/>
  <c r="K532" i="5"/>
  <c r="I532" i="5"/>
  <c r="H532" i="5"/>
  <c r="W531" i="5"/>
  <c r="V531" i="5"/>
  <c r="L531" i="5"/>
  <c r="K531" i="5"/>
  <c r="J531" i="5"/>
  <c r="I531" i="5"/>
  <c r="H531" i="5"/>
  <c r="G524" i="5"/>
  <c r="G520" i="5" s="1"/>
  <c r="K523" i="5"/>
  <c r="G523" i="5" s="1"/>
  <c r="G519" i="5" s="1"/>
  <c r="V522" i="5"/>
  <c r="Q522" i="5"/>
  <c r="L522" i="5"/>
  <c r="J522" i="5"/>
  <c r="I522" i="5"/>
  <c r="H522" i="5"/>
  <c r="G521" i="5"/>
  <c r="G517" i="5" s="1"/>
  <c r="V520" i="5"/>
  <c r="Q520" i="5"/>
  <c r="L520" i="5"/>
  <c r="K520" i="5"/>
  <c r="J520" i="5"/>
  <c r="J454" i="5" s="1"/>
  <c r="I520" i="5"/>
  <c r="H520" i="5"/>
  <c r="H454" i="5" s="1"/>
  <c r="V519" i="5"/>
  <c r="L519" i="5"/>
  <c r="L518" i="5" s="1"/>
  <c r="J519" i="5"/>
  <c r="I519" i="5"/>
  <c r="I518" i="5" s="1"/>
  <c r="H519" i="5"/>
  <c r="V517" i="5"/>
  <c r="L517" i="5"/>
  <c r="K517" i="5"/>
  <c r="J517" i="5"/>
  <c r="I517" i="5"/>
  <c r="H517" i="5"/>
  <c r="G515" i="5"/>
  <c r="W508" i="5"/>
  <c r="L508" i="5"/>
  <c r="K508" i="5"/>
  <c r="J508" i="5"/>
  <c r="I508" i="5"/>
  <c r="H508" i="5"/>
  <c r="G508" i="5"/>
  <c r="W507" i="5"/>
  <c r="V507" i="5"/>
  <c r="L507" i="5"/>
  <c r="K507" i="5"/>
  <c r="J507" i="5"/>
  <c r="I507" i="5"/>
  <c r="H507" i="5"/>
  <c r="G507" i="5"/>
  <c r="L504" i="5"/>
  <c r="L500" i="5" s="1"/>
  <c r="G502" i="5"/>
  <c r="G500" i="5" s="1"/>
  <c r="W500" i="5"/>
  <c r="X125" i="6" s="1"/>
  <c r="V500" i="5"/>
  <c r="M500" i="5"/>
  <c r="K500" i="5"/>
  <c r="J500" i="5"/>
  <c r="I500" i="5"/>
  <c r="H500" i="5"/>
  <c r="W499" i="5"/>
  <c r="V499" i="5"/>
  <c r="Q499" i="5"/>
  <c r="L499" i="5"/>
  <c r="K499" i="5"/>
  <c r="J499" i="5"/>
  <c r="I499" i="5"/>
  <c r="H499" i="5"/>
  <c r="G499" i="5"/>
  <c r="V496" i="5"/>
  <c r="X494" i="5"/>
  <c r="W494" i="5"/>
  <c r="X124" i="6" s="1"/>
  <c r="V494" i="5"/>
  <c r="W124" i="6" s="1"/>
  <c r="Q494" i="5"/>
  <c r="L494" i="5"/>
  <c r="K494" i="5"/>
  <c r="J494" i="5"/>
  <c r="I494" i="5"/>
  <c r="H494" i="5"/>
  <c r="G494" i="5"/>
  <c r="X493" i="5"/>
  <c r="W493" i="5"/>
  <c r="V493" i="5"/>
  <c r="Q493" i="5"/>
  <c r="L493" i="5"/>
  <c r="K493" i="5"/>
  <c r="J493" i="5"/>
  <c r="I493" i="5"/>
  <c r="H493" i="5"/>
  <c r="G493" i="5"/>
  <c r="J490" i="5"/>
  <c r="G490" i="5"/>
  <c r="G484" i="5" s="1"/>
  <c r="G489" i="5"/>
  <c r="G483" i="5" s="1"/>
  <c r="L486" i="5"/>
  <c r="L484" i="5" s="1"/>
  <c r="V484" i="5"/>
  <c r="Q484" i="5"/>
  <c r="P484" i="5"/>
  <c r="O484" i="5"/>
  <c r="N484" i="5"/>
  <c r="M484" i="5"/>
  <c r="K484" i="5"/>
  <c r="I484" i="5"/>
  <c r="H484" i="5"/>
  <c r="V483" i="5"/>
  <c r="Q483" i="5"/>
  <c r="L483" i="5"/>
  <c r="K483" i="5"/>
  <c r="J483" i="5"/>
  <c r="I483" i="5"/>
  <c r="H483" i="5"/>
  <c r="N480" i="5"/>
  <c r="L480" i="5" s="1"/>
  <c r="G479" i="5"/>
  <c r="G475" i="5" s="1"/>
  <c r="L478" i="5"/>
  <c r="W476" i="5"/>
  <c r="V476" i="5"/>
  <c r="Q476" i="5"/>
  <c r="P476" i="5"/>
  <c r="O476" i="5"/>
  <c r="M476" i="5"/>
  <c r="K476" i="5"/>
  <c r="J476" i="5"/>
  <c r="I476" i="5"/>
  <c r="H476" i="5"/>
  <c r="G476" i="5"/>
  <c r="W475" i="5"/>
  <c r="V475" i="5"/>
  <c r="Q475" i="5"/>
  <c r="N475" i="5"/>
  <c r="M475" i="5"/>
  <c r="L475" i="5"/>
  <c r="K475" i="5"/>
  <c r="J475" i="5"/>
  <c r="I475" i="5"/>
  <c r="H475" i="5"/>
  <c r="M470" i="5"/>
  <c r="L470" i="5"/>
  <c r="W466" i="5"/>
  <c r="X121" i="6" s="1"/>
  <c r="V466" i="5"/>
  <c r="Q466" i="5"/>
  <c r="P466" i="5"/>
  <c r="O466" i="5"/>
  <c r="N466" i="5"/>
  <c r="M466" i="5"/>
  <c r="L466" i="5"/>
  <c r="K466" i="5"/>
  <c r="J466" i="5"/>
  <c r="I466" i="5"/>
  <c r="H466" i="5"/>
  <c r="G466" i="5"/>
  <c r="W465" i="5"/>
  <c r="V465" i="5"/>
  <c r="Q465" i="5"/>
  <c r="M465" i="5"/>
  <c r="L465" i="5"/>
  <c r="K465" i="5"/>
  <c r="J465" i="5"/>
  <c r="I465" i="5"/>
  <c r="H465" i="5"/>
  <c r="G465" i="5"/>
  <c r="J460" i="5"/>
  <c r="G460" i="5" s="1"/>
  <c r="G458" i="5" s="1"/>
  <c r="G459" i="5"/>
  <c r="G457" i="5" s="1"/>
  <c r="V458" i="5"/>
  <c r="Q458" i="5"/>
  <c r="L458" i="5"/>
  <c r="K458" i="5"/>
  <c r="I458" i="5"/>
  <c r="H458" i="5"/>
  <c r="V457" i="5"/>
  <c r="Q457" i="5"/>
  <c r="L457" i="5"/>
  <c r="K457" i="5"/>
  <c r="J457" i="5"/>
  <c r="I457" i="5"/>
  <c r="H457" i="5"/>
  <c r="L429" i="5"/>
  <c r="G429" i="5"/>
  <c r="L428" i="5"/>
  <c r="K428" i="5"/>
  <c r="I428" i="5"/>
  <c r="I427" i="5" s="1"/>
  <c r="W427" i="5"/>
  <c r="V427" i="5"/>
  <c r="W70" i="6" s="1"/>
  <c r="P427" i="5"/>
  <c r="Q70" i="6" s="1"/>
  <c r="O427" i="5"/>
  <c r="N427" i="5"/>
  <c r="M427" i="5"/>
  <c r="J427" i="5"/>
  <c r="H427" i="5"/>
  <c r="V424" i="5"/>
  <c r="Q424" i="5"/>
  <c r="L424" i="5"/>
  <c r="K424" i="5"/>
  <c r="J424" i="5"/>
  <c r="I424" i="5"/>
  <c r="H424" i="5"/>
  <c r="G424" i="5"/>
  <c r="V420" i="5"/>
  <c r="Q420" i="5"/>
  <c r="P420" i="5"/>
  <c r="O420" i="5"/>
  <c r="N420" i="5"/>
  <c r="M420" i="5"/>
  <c r="L420" i="5"/>
  <c r="K420" i="5"/>
  <c r="J420" i="5"/>
  <c r="I420" i="5"/>
  <c r="H420" i="5"/>
  <c r="G420" i="5"/>
  <c r="V416" i="5"/>
  <c r="Q416" i="5"/>
  <c r="L416" i="5"/>
  <c r="K416" i="5"/>
  <c r="J416" i="5"/>
  <c r="I416" i="5"/>
  <c r="H416" i="5"/>
  <c r="G416" i="5"/>
  <c r="G414" i="5"/>
  <c r="G413" i="5"/>
  <c r="G409" i="5" s="1"/>
  <c r="V412" i="5"/>
  <c r="Q412" i="5"/>
  <c r="L412" i="5"/>
  <c r="K412" i="5"/>
  <c r="J412" i="5"/>
  <c r="I412" i="5"/>
  <c r="H412" i="5"/>
  <c r="G411" i="5"/>
  <c r="G407" i="5" s="1"/>
  <c r="V410" i="5"/>
  <c r="Q410" i="5"/>
  <c r="L410" i="5"/>
  <c r="K410" i="5"/>
  <c r="J410" i="5"/>
  <c r="I410" i="5"/>
  <c r="H410" i="5"/>
  <c r="V409" i="5"/>
  <c r="Q409" i="5"/>
  <c r="P409" i="5"/>
  <c r="P408" i="5" s="1"/>
  <c r="Q69" i="6" s="1"/>
  <c r="O409" i="5"/>
  <c r="O408" i="5" s="1"/>
  <c r="N409" i="5"/>
  <c r="N408" i="5" s="1"/>
  <c r="M409" i="5"/>
  <c r="M408" i="5" s="1"/>
  <c r="L409" i="5"/>
  <c r="K409" i="5"/>
  <c r="J409" i="5"/>
  <c r="I409" i="5"/>
  <c r="H409" i="5"/>
  <c r="V407" i="5"/>
  <c r="Q407" i="5"/>
  <c r="L407" i="5"/>
  <c r="K407" i="5"/>
  <c r="J407" i="5"/>
  <c r="I407" i="5"/>
  <c r="H407" i="5"/>
  <c r="W404" i="5"/>
  <c r="V404" i="5"/>
  <c r="Q404" i="5"/>
  <c r="L404" i="5"/>
  <c r="K404" i="5"/>
  <c r="J404" i="5"/>
  <c r="I404" i="5"/>
  <c r="H404" i="5"/>
  <c r="G404" i="5"/>
  <c r="L402" i="5"/>
  <c r="V400" i="5"/>
  <c r="Q400" i="5"/>
  <c r="P400" i="5"/>
  <c r="O400" i="5"/>
  <c r="N400" i="5"/>
  <c r="M400" i="5"/>
  <c r="K400" i="5"/>
  <c r="J400" i="5"/>
  <c r="I400" i="5"/>
  <c r="H400" i="5"/>
  <c r="G400" i="5"/>
  <c r="K398" i="5"/>
  <c r="G397" i="5"/>
  <c r="G393" i="5" s="1"/>
  <c r="V396" i="5"/>
  <c r="Q396" i="5"/>
  <c r="L396" i="5"/>
  <c r="J396" i="5"/>
  <c r="I396" i="5"/>
  <c r="H396" i="5"/>
  <c r="G395" i="5"/>
  <c r="G391" i="5" s="1"/>
  <c r="W394" i="5"/>
  <c r="V394" i="5"/>
  <c r="Q394" i="5"/>
  <c r="P394" i="5"/>
  <c r="P392" i="5" s="1"/>
  <c r="Q68" i="6" s="1"/>
  <c r="O394" i="5"/>
  <c r="O392" i="5" s="1"/>
  <c r="P68" i="6" s="1"/>
  <c r="N394" i="5"/>
  <c r="N392" i="5" s="1"/>
  <c r="M394" i="5"/>
  <c r="M392" i="5" s="1"/>
  <c r="J394" i="5"/>
  <c r="I394" i="5"/>
  <c r="H394" i="5"/>
  <c r="W393" i="5"/>
  <c r="V393" i="5"/>
  <c r="Q393" i="5"/>
  <c r="L393" i="5"/>
  <c r="K393" i="5"/>
  <c r="J393" i="5"/>
  <c r="J392" i="5" s="1"/>
  <c r="I393" i="5"/>
  <c r="H393" i="5"/>
  <c r="H392" i="5" s="1"/>
  <c r="W391" i="5"/>
  <c r="V391" i="5"/>
  <c r="Q391" i="5"/>
  <c r="P391" i="5"/>
  <c r="L391" i="5"/>
  <c r="K391" i="5"/>
  <c r="J391" i="5"/>
  <c r="I391" i="5"/>
  <c r="H391" i="5"/>
  <c r="V388" i="5"/>
  <c r="V384" i="5"/>
  <c r="L384" i="5"/>
  <c r="K384" i="5"/>
  <c r="J384" i="5"/>
  <c r="I384" i="5"/>
  <c r="H384" i="5"/>
  <c r="G384" i="5"/>
  <c r="V382" i="5"/>
  <c r="Q382" i="5"/>
  <c r="Q380" i="5" s="1"/>
  <c r="R66" i="6" s="1"/>
  <c r="L382" i="5"/>
  <c r="K382" i="5"/>
  <c r="J382" i="5"/>
  <c r="I382" i="5"/>
  <c r="H382" i="5"/>
  <c r="G382" i="5"/>
  <c r="V381" i="5"/>
  <c r="L381" i="5"/>
  <c r="K381" i="5"/>
  <c r="J381" i="5"/>
  <c r="I381" i="5"/>
  <c r="H381" i="5"/>
  <c r="G381" i="5"/>
  <c r="V379" i="5"/>
  <c r="Q379" i="5"/>
  <c r="L379" i="5"/>
  <c r="K379" i="5"/>
  <c r="J379" i="5"/>
  <c r="I379" i="5"/>
  <c r="H379" i="5"/>
  <c r="G379" i="5"/>
  <c r="L376" i="5"/>
  <c r="K376" i="5"/>
  <c r="J376" i="5"/>
  <c r="I376" i="5"/>
  <c r="H376" i="5"/>
  <c r="G376" i="5"/>
  <c r="L374" i="5"/>
  <c r="K374" i="5"/>
  <c r="J374" i="5"/>
  <c r="I374" i="5"/>
  <c r="H374" i="5"/>
  <c r="G374" i="5"/>
  <c r="Q373" i="5"/>
  <c r="L373" i="5"/>
  <c r="K373" i="5"/>
  <c r="J373" i="5"/>
  <c r="I373" i="5"/>
  <c r="H373" i="5"/>
  <c r="G373" i="5"/>
  <c r="Q371" i="5"/>
  <c r="L371" i="5"/>
  <c r="K371" i="5"/>
  <c r="J371" i="5"/>
  <c r="I371" i="5"/>
  <c r="H371" i="5"/>
  <c r="G371" i="5"/>
  <c r="V368" i="5"/>
  <c r="Q368" i="5"/>
  <c r="L368" i="5"/>
  <c r="K368" i="5"/>
  <c r="J368" i="5"/>
  <c r="I368" i="5"/>
  <c r="H368" i="5"/>
  <c r="G368" i="5"/>
  <c r="V366" i="5"/>
  <c r="Q366" i="5"/>
  <c r="L366" i="5"/>
  <c r="K366" i="5"/>
  <c r="J366" i="5"/>
  <c r="I366" i="5"/>
  <c r="H366" i="5"/>
  <c r="G366" i="5"/>
  <c r="V365" i="5"/>
  <c r="V364" i="5" s="1"/>
  <c r="Q365" i="5"/>
  <c r="L365" i="5"/>
  <c r="K365" i="5"/>
  <c r="K364" i="5" s="1"/>
  <c r="J365" i="5"/>
  <c r="I365" i="5"/>
  <c r="H365" i="5"/>
  <c r="G365" i="5"/>
  <c r="G364" i="5" s="1"/>
  <c r="V363" i="5"/>
  <c r="Q363" i="5"/>
  <c r="L363" i="5"/>
  <c r="K363" i="5"/>
  <c r="J363" i="5"/>
  <c r="I363" i="5"/>
  <c r="H363" i="5"/>
  <c r="G363" i="5"/>
  <c r="L362" i="5"/>
  <c r="L354" i="5" s="1"/>
  <c r="W360" i="5"/>
  <c r="V360" i="5"/>
  <c r="P360" i="5"/>
  <c r="O360" i="5"/>
  <c r="N360" i="5"/>
  <c r="M360" i="5"/>
  <c r="K360" i="5"/>
  <c r="J360" i="5"/>
  <c r="I360" i="5"/>
  <c r="H360" i="5"/>
  <c r="G360" i="5"/>
  <c r="V356" i="5"/>
  <c r="Q356" i="5"/>
  <c r="P356" i="5"/>
  <c r="O356" i="5"/>
  <c r="N356" i="5"/>
  <c r="M356" i="5"/>
  <c r="L356" i="5"/>
  <c r="K356" i="5"/>
  <c r="J356" i="5"/>
  <c r="I356" i="5"/>
  <c r="H356" i="5"/>
  <c r="G356" i="5"/>
  <c r="W354" i="5"/>
  <c r="Q354" i="5"/>
  <c r="P354" i="5"/>
  <c r="O354" i="5"/>
  <c r="N354" i="5"/>
  <c r="M354" i="5"/>
  <c r="K354" i="5"/>
  <c r="J354" i="5"/>
  <c r="I354" i="5"/>
  <c r="H354" i="5"/>
  <c r="G354" i="5"/>
  <c r="W353" i="5"/>
  <c r="V353" i="5"/>
  <c r="P353" i="5"/>
  <c r="O353" i="5"/>
  <c r="N353" i="5"/>
  <c r="M353" i="5"/>
  <c r="L353" i="5"/>
  <c r="K353" i="5"/>
  <c r="J353" i="5"/>
  <c r="I353" i="5"/>
  <c r="H353" i="5"/>
  <c r="H352" i="5" s="1"/>
  <c r="G353" i="5"/>
  <c r="W351" i="5"/>
  <c r="V351" i="5"/>
  <c r="P351" i="5"/>
  <c r="O351" i="5"/>
  <c r="N351" i="5"/>
  <c r="M351" i="5"/>
  <c r="L351" i="5"/>
  <c r="K351" i="5"/>
  <c r="J351" i="5"/>
  <c r="I351" i="5"/>
  <c r="H351" i="5"/>
  <c r="G351" i="5"/>
  <c r="V348" i="5"/>
  <c r="L346" i="5"/>
  <c r="V344" i="5"/>
  <c r="Q344" i="5"/>
  <c r="P344" i="5"/>
  <c r="O344" i="5"/>
  <c r="K344" i="5"/>
  <c r="J344" i="5"/>
  <c r="I344" i="5"/>
  <c r="H344" i="5"/>
  <c r="G344" i="5"/>
  <c r="G342" i="5"/>
  <c r="G338" i="5" s="1"/>
  <c r="G341" i="5"/>
  <c r="G337" i="5" s="1"/>
  <c r="V340" i="5"/>
  <c r="Q340" i="5"/>
  <c r="L340" i="5"/>
  <c r="K340" i="5"/>
  <c r="J340" i="5"/>
  <c r="I340" i="5"/>
  <c r="H340" i="5"/>
  <c r="G339" i="5"/>
  <c r="G335" i="5" s="1"/>
  <c r="W338" i="5"/>
  <c r="V338" i="5"/>
  <c r="Q338" i="5"/>
  <c r="P338" i="5"/>
  <c r="O338" i="5"/>
  <c r="N338" i="5"/>
  <c r="M338" i="5"/>
  <c r="K338" i="5"/>
  <c r="J338" i="5"/>
  <c r="I338" i="5"/>
  <c r="H338" i="5"/>
  <c r="W337" i="5"/>
  <c r="V337" i="5"/>
  <c r="V336" i="5" s="1"/>
  <c r="W59" i="6" s="1"/>
  <c r="Q337" i="5"/>
  <c r="R59" i="6" s="1"/>
  <c r="P337" i="5"/>
  <c r="O337" i="5"/>
  <c r="N337" i="5"/>
  <c r="M337" i="5"/>
  <c r="L337" i="5"/>
  <c r="K337" i="5"/>
  <c r="K336" i="5" s="1"/>
  <c r="J337" i="5"/>
  <c r="I337" i="5"/>
  <c r="H337" i="5"/>
  <c r="H336" i="5" s="1"/>
  <c r="W335" i="5"/>
  <c r="V335" i="5"/>
  <c r="L335" i="5"/>
  <c r="K335" i="5"/>
  <c r="J335" i="5"/>
  <c r="I335" i="5"/>
  <c r="H335" i="5"/>
  <c r="W332" i="5"/>
  <c r="V332" i="5"/>
  <c r="Q332" i="5"/>
  <c r="L332" i="5"/>
  <c r="K332" i="5"/>
  <c r="J332" i="5"/>
  <c r="I332" i="5"/>
  <c r="H332" i="5"/>
  <c r="G332" i="5"/>
  <c r="W330" i="5"/>
  <c r="W328" i="5" s="1"/>
  <c r="X58" i="6" s="1"/>
  <c r="V330" i="5"/>
  <c r="V328" i="5" s="1"/>
  <c r="Q330" i="5"/>
  <c r="Q328" i="5" s="1"/>
  <c r="R58" i="6" s="1"/>
  <c r="L330" i="5"/>
  <c r="L328" i="5" s="1"/>
  <c r="K330" i="5"/>
  <c r="K328" i="5" s="1"/>
  <c r="J330" i="5"/>
  <c r="J328" i="5" s="1"/>
  <c r="I330" i="5"/>
  <c r="I328" i="5" s="1"/>
  <c r="H330" i="5"/>
  <c r="H328" i="5" s="1"/>
  <c r="G330" i="5"/>
  <c r="G328" i="5" s="1"/>
  <c r="W327" i="5"/>
  <c r="V327" i="5"/>
  <c r="Q327" i="5"/>
  <c r="L327" i="5"/>
  <c r="K327" i="5"/>
  <c r="J327" i="5"/>
  <c r="I327" i="5"/>
  <c r="H327" i="5"/>
  <c r="G327" i="5"/>
  <c r="G326" i="5"/>
  <c r="G318" i="5" s="1"/>
  <c r="G325" i="5"/>
  <c r="G317" i="5" s="1"/>
  <c r="V324" i="5"/>
  <c r="Q324" i="5"/>
  <c r="P324" i="5"/>
  <c r="O324" i="5"/>
  <c r="N324" i="5"/>
  <c r="M324" i="5"/>
  <c r="L324" i="5"/>
  <c r="K324" i="5"/>
  <c r="J324" i="5"/>
  <c r="I324" i="5"/>
  <c r="H324" i="5"/>
  <c r="G323" i="5"/>
  <c r="G315" i="5" s="1"/>
  <c r="V320" i="5"/>
  <c r="L320" i="5"/>
  <c r="G320" i="5"/>
  <c r="V318" i="5"/>
  <c r="V316" i="5" s="1"/>
  <c r="W57" i="6" s="1"/>
  <c r="Q318" i="5"/>
  <c r="Q316" i="5" s="1"/>
  <c r="L318" i="5"/>
  <c r="K318" i="5"/>
  <c r="J318" i="5"/>
  <c r="I318" i="5"/>
  <c r="H318" i="5"/>
  <c r="P317" i="5"/>
  <c r="P316" i="5" s="1"/>
  <c r="O317" i="5"/>
  <c r="O316" i="5" s="1"/>
  <c r="N317" i="5"/>
  <c r="N316" i="5" s="1"/>
  <c r="M317" i="5"/>
  <c r="M316" i="5" s="1"/>
  <c r="L317" i="5"/>
  <c r="K317" i="5"/>
  <c r="J317" i="5"/>
  <c r="I317" i="5"/>
  <c r="I316" i="5" s="1"/>
  <c r="H317" i="5"/>
  <c r="V315" i="5"/>
  <c r="Q315" i="5"/>
  <c r="P315" i="5"/>
  <c r="O315" i="5"/>
  <c r="N315" i="5"/>
  <c r="M315" i="5"/>
  <c r="L315" i="5"/>
  <c r="K315" i="5"/>
  <c r="J315" i="5"/>
  <c r="I315" i="5"/>
  <c r="H315" i="5"/>
  <c r="W312" i="5"/>
  <c r="W308" i="5"/>
  <c r="G305" i="5"/>
  <c r="W304" i="5"/>
  <c r="V304" i="5"/>
  <c r="Q304" i="5"/>
  <c r="L304" i="5"/>
  <c r="K304" i="5"/>
  <c r="J304" i="5"/>
  <c r="I304" i="5"/>
  <c r="H304" i="5"/>
  <c r="G303" i="5"/>
  <c r="L302" i="5"/>
  <c r="L259" i="5" s="1"/>
  <c r="G302" i="5"/>
  <c r="G301" i="5"/>
  <c r="V299" i="5"/>
  <c r="P299" i="5"/>
  <c r="O299" i="5"/>
  <c r="N299" i="5"/>
  <c r="M299" i="5"/>
  <c r="K299" i="5"/>
  <c r="J299" i="5"/>
  <c r="I299" i="5"/>
  <c r="H299" i="5"/>
  <c r="G298" i="5"/>
  <c r="K297" i="5"/>
  <c r="K295" i="5" s="1"/>
  <c r="J297" i="5"/>
  <c r="J259" i="5" s="1"/>
  <c r="I297" i="5"/>
  <c r="I259" i="5" s="1"/>
  <c r="W296" i="5"/>
  <c r="J296" i="5"/>
  <c r="J256" i="5" s="1"/>
  <c r="I296" i="5"/>
  <c r="V295" i="5"/>
  <c r="Q295" i="5"/>
  <c r="L295" i="5"/>
  <c r="H295" i="5"/>
  <c r="K294" i="5"/>
  <c r="G294" i="5" s="1"/>
  <c r="K293" i="5"/>
  <c r="G293" i="5" s="1"/>
  <c r="L292" i="5"/>
  <c r="L256" i="5" s="1"/>
  <c r="G292" i="5"/>
  <c r="V291" i="5"/>
  <c r="P291" i="5"/>
  <c r="O291" i="5"/>
  <c r="N291" i="5"/>
  <c r="M291" i="5"/>
  <c r="J291" i="5"/>
  <c r="I291" i="5"/>
  <c r="H291" i="5"/>
  <c r="G290" i="5"/>
  <c r="V287" i="5"/>
  <c r="V282" i="5"/>
  <c r="L282" i="5"/>
  <c r="K282" i="5"/>
  <c r="J282" i="5"/>
  <c r="I282" i="5"/>
  <c r="H282" i="5"/>
  <c r="G282" i="5"/>
  <c r="V278" i="5"/>
  <c r="Q278" i="5"/>
  <c r="P278" i="5"/>
  <c r="O278" i="5"/>
  <c r="N278" i="5"/>
  <c r="M278" i="5"/>
  <c r="L278" i="5"/>
  <c r="K278" i="5"/>
  <c r="J278" i="5"/>
  <c r="I278" i="5"/>
  <c r="H278" i="5"/>
  <c r="G278" i="5"/>
  <c r="G277" i="5"/>
  <c r="V274" i="5"/>
  <c r="P274" i="5"/>
  <c r="O274" i="5"/>
  <c r="N274" i="5"/>
  <c r="M274" i="5"/>
  <c r="L274" i="5"/>
  <c r="K274" i="5"/>
  <c r="J274" i="5"/>
  <c r="I274" i="5"/>
  <c r="H274" i="5"/>
  <c r="G274" i="5"/>
  <c r="G273" i="5"/>
  <c r="K272" i="5"/>
  <c r="G272" i="5" s="1"/>
  <c r="G271" i="5"/>
  <c r="V270" i="5"/>
  <c r="Q270" i="5"/>
  <c r="P270" i="5"/>
  <c r="O270" i="5"/>
  <c r="N270" i="5"/>
  <c r="M270" i="5"/>
  <c r="L270" i="5"/>
  <c r="J270" i="5"/>
  <c r="I270" i="5"/>
  <c r="H270" i="5"/>
  <c r="L269" i="5"/>
  <c r="L254" i="5" s="1"/>
  <c r="K269" i="5"/>
  <c r="G269" i="5" s="1"/>
  <c r="V265" i="5"/>
  <c r="W265" i="5"/>
  <c r="P265" i="5"/>
  <c r="O265" i="5"/>
  <c r="N265" i="5"/>
  <c r="M265" i="5"/>
  <c r="L265" i="5"/>
  <c r="G264" i="5"/>
  <c r="G262" i="5"/>
  <c r="G261" i="5" s="1"/>
  <c r="L261" i="5"/>
  <c r="K261" i="5"/>
  <c r="J261" i="5"/>
  <c r="I261" i="5"/>
  <c r="H261" i="5"/>
  <c r="G260" i="5"/>
  <c r="P259" i="5"/>
  <c r="O259" i="5"/>
  <c r="N259" i="5"/>
  <c r="M259" i="5"/>
  <c r="H259" i="5"/>
  <c r="V257" i="5"/>
  <c r="Q257" i="5"/>
  <c r="P256" i="5"/>
  <c r="O256" i="5"/>
  <c r="N256" i="5"/>
  <c r="N255" i="5" s="1"/>
  <c r="O53" i="6" s="1"/>
  <c r="M256" i="5"/>
  <c r="K256" i="5"/>
  <c r="H256" i="5"/>
  <c r="H255" i="5" s="1"/>
  <c r="Q254" i="5"/>
  <c r="P254" i="5"/>
  <c r="O254" i="5"/>
  <c r="M254" i="5"/>
  <c r="J254" i="5"/>
  <c r="I254" i="5"/>
  <c r="H254" i="5"/>
  <c r="W248" i="5"/>
  <c r="W247" i="5" s="1"/>
  <c r="V248" i="5"/>
  <c r="Q251" i="5"/>
  <c r="L251" i="5"/>
  <c r="K251" i="5"/>
  <c r="J251" i="5"/>
  <c r="I251" i="5"/>
  <c r="H251" i="5"/>
  <c r="G251" i="5"/>
  <c r="V249" i="5"/>
  <c r="Q249" i="5"/>
  <c r="L249" i="5"/>
  <c r="K249" i="5"/>
  <c r="J249" i="5"/>
  <c r="I249" i="5"/>
  <c r="H249" i="5"/>
  <c r="G249" i="5"/>
  <c r="Q248" i="5"/>
  <c r="L248" i="5"/>
  <c r="K248" i="5"/>
  <c r="J248" i="5"/>
  <c r="I248" i="5"/>
  <c r="H248" i="5"/>
  <c r="G248" i="5"/>
  <c r="W246" i="5"/>
  <c r="V246" i="5"/>
  <c r="Q246" i="5"/>
  <c r="L246" i="5"/>
  <c r="K246" i="5"/>
  <c r="J246" i="5"/>
  <c r="I246" i="5"/>
  <c r="H246" i="5"/>
  <c r="G246" i="5"/>
  <c r="V239" i="5"/>
  <c r="Q239" i="5"/>
  <c r="L239" i="5"/>
  <c r="K239" i="5"/>
  <c r="J239" i="5"/>
  <c r="I239" i="5"/>
  <c r="H239" i="5"/>
  <c r="G239" i="5"/>
  <c r="V237" i="5"/>
  <c r="Q237" i="5"/>
  <c r="L237" i="5"/>
  <c r="K237" i="5"/>
  <c r="J237" i="5"/>
  <c r="I237" i="5"/>
  <c r="H237" i="5"/>
  <c r="G237" i="5"/>
  <c r="V235" i="5"/>
  <c r="W51" i="6" s="1"/>
  <c r="Q235" i="5"/>
  <c r="L235" i="5"/>
  <c r="K235" i="5"/>
  <c r="J235" i="5"/>
  <c r="I235" i="5"/>
  <c r="H235" i="5"/>
  <c r="G235" i="5"/>
  <c r="V234" i="5"/>
  <c r="Q234" i="5"/>
  <c r="L234" i="5"/>
  <c r="K234" i="5"/>
  <c r="J234" i="5"/>
  <c r="I234" i="5"/>
  <c r="H234" i="5"/>
  <c r="G234" i="5"/>
  <c r="V232" i="5"/>
  <c r="Q232" i="5"/>
  <c r="L232" i="5"/>
  <c r="K232" i="5"/>
  <c r="J232" i="5"/>
  <c r="I232" i="5"/>
  <c r="H232" i="5"/>
  <c r="G232" i="5"/>
  <c r="G230" i="5"/>
  <c r="G226" i="5" s="1"/>
  <c r="G224" i="5" s="1"/>
  <c r="G229" i="5"/>
  <c r="G225" i="5" s="1"/>
  <c r="V228" i="5"/>
  <c r="Q228" i="5"/>
  <c r="L228" i="5"/>
  <c r="K228" i="5"/>
  <c r="J228" i="5"/>
  <c r="I228" i="5"/>
  <c r="H228" i="5"/>
  <c r="G227" i="5"/>
  <c r="G223" i="5" s="1"/>
  <c r="V226" i="5"/>
  <c r="Q226" i="5"/>
  <c r="L226" i="5"/>
  <c r="K226" i="5"/>
  <c r="J226" i="5"/>
  <c r="I226" i="5"/>
  <c r="H226" i="5"/>
  <c r="V225" i="5"/>
  <c r="Q225" i="5"/>
  <c r="L225" i="5"/>
  <c r="L224" i="5" s="1"/>
  <c r="K225" i="5"/>
  <c r="J225" i="5"/>
  <c r="I225" i="5"/>
  <c r="H225" i="5"/>
  <c r="H224" i="5" s="1"/>
  <c r="V223" i="5"/>
  <c r="Q223" i="5"/>
  <c r="L223" i="5"/>
  <c r="K223" i="5"/>
  <c r="J223" i="5"/>
  <c r="I223" i="5"/>
  <c r="H223" i="5"/>
  <c r="V217" i="5"/>
  <c r="Q217" i="5"/>
  <c r="L217" i="5"/>
  <c r="L215" i="5"/>
  <c r="L214" i="5" s="1"/>
  <c r="V214" i="5"/>
  <c r="Q214" i="5"/>
  <c r="P214" i="5"/>
  <c r="O214" i="5"/>
  <c r="N214" i="5"/>
  <c r="M214" i="5"/>
  <c r="L213" i="5"/>
  <c r="G212" i="5"/>
  <c r="G204" i="5" s="1"/>
  <c r="G211" i="5"/>
  <c r="G203" i="5" s="1"/>
  <c r="V210" i="5"/>
  <c r="Q210" i="5"/>
  <c r="P210" i="5"/>
  <c r="O210" i="5"/>
  <c r="N210" i="5"/>
  <c r="M210" i="5"/>
  <c r="L210" i="5"/>
  <c r="K210" i="5"/>
  <c r="J210" i="5"/>
  <c r="I210" i="5"/>
  <c r="H210" i="5"/>
  <c r="L209" i="5"/>
  <c r="V206" i="5"/>
  <c r="Q206" i="5"/>
  <c r="P206" i="5"/>
  <c r="O206" i="5"/>
  <c r="N206" i="5"/>
  <c r="M206" i="5"/>
  <c r="L206" i="5"/>
  <c r="Q204" i="5"/>
  <c r="P204" i="5"/>
  <c r="O204" i="5"/>
  <c r="N204" i="5"/>
  <c r="M204" i="5"/>
  <c r="K204" i="5"/>
  <c r="J204" i="5"/>
  <c r="I204" i="5"/>
  <c r="H204" i="5"/>
  <c r="V203" i="5"/>
  <c r="Q203" i="5"/>
  <c r="P203" i="5"/>
  <c r="P202" i="5" s="1"/>
  <c r="Q49" i="6" s="1"/>
  <c r="O203" i="5"/>
  <c r="N203" i="5"/>
  <c r="M203" i="5"/>
  <c r="L203" i="5"/>
  <c r="K203" i="5"/>
  <c r="J203" i="5"/>
  <c r="I203" i="5"/>
  <c r="H203" i="5"/>
  <c r="Q201" i="5"/>
  <c r="P201" i="5"/>
  <c r="O201" i="5"/>
  <c r="N201" i="5"/>
  <c r="M201" i="5"/>
  <c r="K201" i="5"/>
  <c r="J201" i="5"/>
  <c r="I201" i="5"/>
  <c r="H201" i="5"/>
  <c r="G201" i="5"/>
  <c r="G200" i="5"/>
  <c r="V198" i="5"/>
  <c r="V191" i="5" s="1"/>
  <c r="Q198" i="5"/>
  <c r="Q191" i="5" s="1"/>
  <c r="R48" i="6" s="1"/>
  <c r="L198" i="5"/>
  <c r="K198" i="5"/>
  <c r="J198" i="5"/>
  <c r="I198" i="5"/>
  <c r="H198" i="5"/>
  <c r="W195" i="5"/>
  <c r="W191" i="5" s="1"/>
  <c r="W193" i="5"/>
  <c r="V193" i="5"/>
  <c r="Q193" i="5"/>
  <c r="L193" i="5"/>
  <c r="L191" i="5" s="1"/>
  <c r="K193" i="5"/>
  <c r="K191" i="5" s="1"/>
  <c r="J193" i="5"/>
  <c r="J191" i="5" s="1"/>
  <c r="I193" i="5"/>
  <c r="I191" i="5" s="1"/>
  <c r="H193" i="5"/>
  <c r="H191" i="5" s="1"/>
  <c r="W192" i="5"/>
  <c r="V192" i="5"/>
  <c r="W190" i="5"/>
  <c r="V190" i="5"/>
  <c r="L190" i="5"/>
  <c r="K190" i="5"/>
  <c r="J190" i="5"/>
  <c r="I190" i="5"/>
  <c r="H190" i="5"/>
  <c r="G190" i="5"/>
  <c r="V188" i="5"/>
  <c r="W184" i="5"/>
  <c r="V184" i="5"/>
  <c r="V181" i="5"/>
  <c r="G179" i="5"/>
  <c r="G178" i="5" s="1"/>
  <c r="V178" i="5"/>
  <c r="Q178" i="5"/>
  <c r="L178" i="5"/>
  <c r="K178" i="5"/>
  <c r="J178" i="5"/>
  <c r="I178" i="5"/>
  <c r="H178" i="5"/>
  <c r="G176" i="5"/>
  <c r="V175" i="5"/>
  <c r="Q175" i="5"/>
  <c r="L175" i="5"/>
  <c r="K175" i="5"/>
  <c r="J175" i="5"/>
  <c r="I175" i="5"/>
  <c r="H175" i="5"/>
  <c r="G175" i="5"/>
  <c r="W173" i="5"/>
  <c r="V173" i="5"/>
  <c r="V171" i="5" s="1"/>
  <c r="W47" i="6" s="1"/>
  <c r="Q173" i="5"/>
  <c r="Q171" i="5" s="1"/>
  <c r="L173" i="5"/>
  <c r="L171" i="5" s="1"/>
  <c r="K173" i="5"/>
  <c r="K171" i="5" s="1"/>
  <c r="J173" i="5"/>
  <c r="J171" i="5" s="1"/>
  <c r="I173" i="5"/>
  <c r="I171" i="5" s="1"/>
  <c r="H173" i="5"/>
  <c r="H171" i="5" s="1"/>
  <c r="W172" i="5"/>
  <c r="W171" i="5" s="1"/>
  <c r="X47" i="6" s="1"/>
  <c r="W170" i="5"/>
  <c r="V170" i="5"/>
  <c r="Q170" i="5"/>
  <c r="L170" i="5"/>
  <c r="K170" i="5"/>
  <c r="J170" i="5"/>
  <c r="I170" i="5"/>
  <c r="H170" i="5"/>
  <c r="G170" i="5"/>
  <c r="K169" i="5"/>
  <c r="G169" i="5" s="1"/>
  <c r="P168" i="5"/>
  <c r="L168" i="5" s="1"/>
  <c r="G168" i="5"/>
  <c r="V167" i="5"/>
  <c r="O167" i="5"/>
  <c r="N167" i="5"/>
  <c r="M167" i="5"/>
  <c r="J167" i="5"/>
  <c r="I167" i="5"/>
  <c r="H167" i="5"/>
  <c r="G166" i="5"/>
  <c r="K165" i="5"/>
  <c r="G165" i="5" s="1"/>
  <c r="G164" i="5"/>
  <c r="V163" i="5"/>
  <c r="Q163" i="5"/>
  <c r="P163" i="5"/>
  <c r="O163" i="5"/>
  <c r="N163" i="5"/>
  <c r="M163" i="5"/>
  <c r="L163" i="5"/>
  <c r="J163" i="5"/>
  <c r="I163" i="5"/>
  <c r="H163" i="5"/>
  <c r="G162" i="5"/>
  <c r="V161" i="5"/>
  <c r="Q161" i="5"/>
  <c r="P161" i="5"/>
  <c r="O161" i="5"/>
  <c r="N161" i="5"/>
  <c r="M161" i="5"/>
  <c r="L161" i="5"/>
  <c r="J161" i="5"/>
  <c r="I161" i="5"/>
  <c r="H161" i="5"/>
  <c r="V160" i="5"/>
  <c r="O160" i="5"/>
  <c r="O159" i="5" s="1"/>
  <c r="P45" i="6" s="1"/>
  <c r="N160" i="5"/>
  <c r="M160" i="5"/>
  <c r="M159" i="5" s="1"/>
  <c r="N45" i="6" s="1"/>
  <c r="K160" i="5"/>
  <c r="J160" i="5"/>
  <c r="J159" i="5" s="1"/>
  <c r="I160" i="5"/>
  <c r="H160" i="5"/>
  <c r="H159" i="5" s="1"/>
  <c r="V158" i="5"/>
  <c r="Q158" i="5"/>
  <c r="P158" i="5"/>
  <c r="O158" i="5"/>
  <c r="N158" i="5"/>
  <c r="M158" i="5"/>
  <c r="L158" i="5"/>
  <c r="K158" i="5"/>
  <c r="J158" i="5"/>
  <c r="I158" i="5"/>
  <c r="H158" i="5"/>
  <c r="V156" i="5"/>
  <c r="Q156" i="5"/>
  <c r="L156" i="5"/>
  <c r="K156" i="5"/>
  <c r="J156" i="5"/>
  <c r="I156" i="5"/>
  <c r="H156" i="5"/>
  <c r="G156" i="5"/>
  <c r="G154" i="5"/>
  <c r="G142" i="5" s="1"/>
  <c r="L145" i="5"/>
  <c r="G145" i="5"/>
  <c r="G141" i="5" s="1"/>
  <c r="W144" i="5"/>
  <c r="V144" i="5"/>
  <c r="P144" i="5"/>
  <c r="O144" i="5"/>
  <c r="N144" i="5"/>
  <c r="M144" i="5"/>
  <c r="K144" i="5"/>
  <c r="J144" i="5"/>
  <c r="I144" i="5"/>
  <c r="H144" i="5"/>
  <c r="G143" i="5"/>
  <c r="G139" i="5" s="1"/>
  <c r="V142" i="5"/>
  <c r="Q142" i="5"/>
  <c r="L142" i="5"/>
  <c r="K142" i="5"/>
  <c r="J142" i="5"/>
  <c r="I142" i="5"/>
  <c r="H142" i="5"/>
  <c r="W141" i="5"/>
  <c r="V141" i="5"/>
  <c r="V140" i="5" s="1"/>
  <c r="W43" i="6" s="1"/>
  <c r="P141" i="5"/>
  <c r="P140" i="5" s="1"/>
  <c r="O141" i="5"/>
  <c r="O140" i="5" s="1"/>
  <c r="N141" i="5"/>
  <c r="N140" i="5" s="1"/>
  <c r="M141" i="5"/>
  <c r="M140" i="5" s="1"/>
  <c r="K141" i="5"/>
  <c r="J141" i="5"/>
  <c r="I141" i="5"/>
  <c r="H141" i="5"/>
  <c r="W139" i="5"/>
  <c r="V139" i="5"/>
  <c r="Q139" i="5"/>
  <c r="L139" i="5"/>
  <c r="K139" i="5"/>
  <c r="J139" i="5"/>
  <c r="I139" i="5"/>
  <c r="H139" i="5"/>
  <c r="G138" i="5"/>
  <c r="G134" i="5" s="1"/>
  <c r="L137" i="5"/>
  <c r="G137" i="5"/>
  <c r="G133" i="5" s="1"/>
  <c r="V136" i="5"/>
  <c r="Q136" i="5"/>
  <c r="P136" i="5"/>
  <c r="O136" i="5"/>
  <c r="N136" i="5"/>
  <c r="M136" i="5"/>
  <c r="K136" i="5"/>
  <c r="J136" i="5"/>
  <c r="I136" i="5"/>
  <c r="H136" i="5"/>
  <c r="G136" i="5"/>
  <c r="L135" i="5"/>
  <c r="L131" i="5" s="1"/>
  <c r="G135" i="5"/>
  <c r="G131" i="5" s="1"/>
  <c r="V134" i="5"/>
  <c r="V132" i="5" s="1"/>
  <c r="Q134" i="5"/>
  <c r="L134" i="5"/>
  <c r="K134" i="5"/>
  <c r="J134" i="5"/>
  <c r="I134" i="5"/>
  <c r="H134" i="5"/>
  <c r="Q133" i="5"/>
  <c r="P133" i="5"/>
  <c r="P132" i="5" s="1"/>
  <c r="O133" i="5"/>
  <c r="O132" i="5" s="1"/>
  <c r="P42" i="6" s="1"/>
  <c r="N133" i="5"/>
  <c r="N132" i="5" s="1"/>
  <c r="M133" i="5"/>
  <c r="M132" i="5" s="1"/>
  <c r="K133" i="5"/>
  <c r="J133" i="5"/>
  <c r="I133" i="5"/>
  <c r="H133" i="5"/>
  <c r="Q131" i="5"/>
  <c r="O131" i="5"/>
  <c r="N131" i="5"/>
  <c r="M131" i="5"/>
  <c r="K131" i="5"/>
  <c r="J131" i="5"/>
  <c r="I131" i="5"/>
  <c r="H131" i="5"/>
  <c r="G130" i="5"/>
  <c r="G129" i="5"/>
  <c r="V128" i="5"/>
  <c r="Q128" i="5"/>
  <c r="L128" i="5"/>
  <c r="K128" i="5"/>
  <c r="J128" i="5"/>
  <c r="I128" i="5"/>
  <c r="H128" i="5"/>
  <c r="G127" i="5"/>
  <c r="G126" i="5"/>
  <c r="L125" i="5"/>
  <c r="L105" i="5" s="1"/>
  <c r="L104" i="5" s="1"/>
  <c r="M41" i="6" s="1"/>
  <c r="G125" i="5"/>
  <c r="V124" i="5"/>
  <c r="Q124" i="5"/>
  <c r="P124" i="5"/>
  <c r="O124" i="5"/>
  <c r="N124" i="5"/>
  <c r="M124" i="5"/>
  <c r="L124" i="5"/>
  <c r="K124" i="5"/>
  <c r="J124" i="5"/>
  <c r="I124" i="5"/>
  <c r="H124" i="5"/>
  <c r="P123" i="5"/>
  <c r="P103" i="5" s="1"/>
  <c r="L123" i="5"/>
  <c r="G123" i="5"/>
  <c r="G122" i="5"/>
  <c r="G121" i="5"/>
  <c r="Q120" i="5"/>
  <c r="L120" i="5"/>
  <c r="K120" i="5"/>
  <c r="J120" i="5"/>
  <c r="I120" i="5"/>
  <c r="H120" i="5"/>
  <c r="G119" i="5"/>
  <c r="G118" i="5"/>
  <c r="G117" i="5" s="1"/>
  <c r="P117" i="5"/>
  <c r="O117" i="5"/>
  <c r="N117" i="5"/>
  <c r="M117" i="5"/>
  <c r="L117" i="5"/>
  <c r="K117" i="5"/>
  <c r="J117" i="5"/>
  <c r="I117" i="5"/>
  <c r="H117" i="5"/>
  <c r="W116" i="5"/>
  <c r="W103" i="5" s="1"/>
  <c r="G116" i="5"/>
  <c r="V114" i="5"/>
  <c r="Q112" i="5"/>
  <c r="P112" i="5"/>
  <c r="O112" i="5"/>
  <c r="N112" i="5"/>
  <c r="M112" i="5"/>
  <c r="L112" i="5"/>
  <c r="K112" i="5"/>
  <c r="J112" i="5"/>
  <c r="I112" i="5"/>
  <c r="H112" i="5"/>
  <c r="F112" i="5"/>
  <c r="E112" i="5"/>
  <c r="D112" i="5"/>
  <c r="C112" i="5"/>
  <c r="B112" i="5"/>
  <c r="V111" i="5"/>
  <c r="F111" i="5"/>
  <c r="E111" i="5"/>
  <c r="D111" i="5"/>
  <c r="C111" i="5"/>
  <c r="B111" i="5"/>
  <c r="Y110" i="5"/>
  <c r="V110" i="5"/>
  <c r="Q110" i="5"/>
  <c r="P110" i="5"/>
  <c r="O110" i="5"/>
  <c r="N110" i="5"/>
  <c r="M110" i="5"/>
  <c r="L110" i="5"/>
  <c r="K110" i="5"/>
  <c r="J110" i="5"/>
  <c r="I110" i="5"/>
  <c r="H110" i="5"/>
  <c r="F110" i="5"/>
  <c r="E110" i="5"/>
  <c r="D110" i="5"/>
  <c r="C110" i="5"/>
  <c r="B110" i="5"/>
  <c r="G109" i="5"/>
  <c r="V108" i="5"/>
  <c r="Q108" i="5"/>
  <c r="Q111" i="5" s="1"/>
  <c r="P108" i="5"/>
  <c r="P111" i="5" s="1"/>
  <c r="O108" i="5"/>
  <c r="O111" i="5" s="1"/>
  <c r="N108" i="5"/>
  <c r="N111" i="5" s="1"/>
  <c r="M108" i="5"/>
  <c r="M111" i="5" s="1"/>
  <c r="L108" i="5"/>
  <c r="L111" i="5" s="1"/>
  <c r="K108" i="5"/>
  <c r="K111" i="5" s="1"/>
  <c r="J108" i="5"/>
  <c r="J111" i="5" s="1"/>
  <c r="I108" i="5"/>
  <c r="I111" i="5" s="1"/>
  <c r="H108" i="5"/>
  <c r="H111" i="5" s="1"/>
  <c r="G107" i="5"/>
  <c r="G110" i="5" s="1"/>
  <c r="W106" i="5"/>
  <c r="V106" i="5"/>
  <c r="Q106" i="5"/>
  <c r="P106" i="5"/>
  <c r="O106" i="5"/>
  <c r="O104" i="5" s="1"/>
  <c r="N106" i="5"/>
  <c r="M106" i="5"/>
  <c r="L106" i="5"/>
  <c r="K106" i="5"/>
  <c r="J106" i="5"/>
  <c r="I106" i="5"/>
  <c r="H106" i="5"/>
  <c r="W105" i="5"/>
  <c r="W104" i="5" s="1"/>
  <c r="Q105" i="5"/>
  <c r="P105" i="5"/>
  <c r="P104" i="5" s="1"/>
  <c r="Q41" i="6" s="1"/>
  <c r="O105" i="5"/>
  <c r="N105" i="5"/>
  <c r="M105" i="5"/>
  <c r="K105" i="5"/>
  <c r="J105" i="5"/>
  <c r="I105" i="5"/>
  <c r="I104" i="5" s="1"/>
  <c r="H105" i="5"/>
  <c r="V103" i="5"/>
  <c r="Q103" i="5"/>
  <c r="O103" i="5"/>
  <c r="N103" i="5"/>
  <c r="M103" i="5"/>
  <c r="K103" i="5"/>
  <c r="J103" i="5"/>
  <c r="I103" i="5"/>
  <c r="H103" i="5"/>
  <c r="Q96" i="5"/>
  <c r="L96" i="5"/>
  <c r="K96" i="5"/>
  <c r="J96" i="5"/>
  <c r="I96" i="5"/>
  <c r="H96" i="5"/>
  <c r="G96" i="5"/>
  <c r="G95" i="5"/>
  <c r="K94" i="5"/>
  <c r="G94" i="5" s="1"/>
  <c r="G90" i="5" s="1"/>
  <c r="G93" i="5"/>
  <c r="G89" i="5" s="1"/>
  <c r="Q92" i="5"/>
  <c r="L92" i="5"/>
  <c r="J92" i="5"/>
  <c r="I92" i="5"/>
  <c r="H92" i="5"/>
  <c r="G91" i="5"/>
  <c r="V90" i="5"/>
  <c r="Q90" i="5"/>
  <c r="L90" i="5"/>
  <c r="J90" i="5"/>
  <c r="I90" i="5"/>
  <c r="H90" i="5"/>
  <c r="V89" i="5"/>
  <c r="Q89" i="5"/>
  <c r="L89" i="5"/>
  <c r="K89" i="5"/>
  <c r="J89" i="5"/>
  <c r="I89" i="5"/>
  <c r="H89" i="5"/>
  <c r="V87" i="5"/>
  <c r="Q87" i="5"/>
  <c r="L87" i="5"/>
  <c r="K87" i="5"/>
  <c r="J87" i="5"/>
  <c r="I87" i="5"/>
  <c r="H87" i="5"/>
  <c r="W80" i="5"/>
  <c r="V80" i="5"/>
  <c r="W76" i="5"/>
  <c r="W72" i="5"/>
  <c r="L70" i="5"/>
  <c r="L55" i="5" s="1"/>
  <c r="V68" i="5"/>
  <c r="Q68" i="5"/>
  <c r="P68" i="5"/>
  <c r="O68" i="5"/>
  <c r="N68" i="5"/>
  <c r="M68" i="5"/>
  <c r="L68" i="5"/>
  <c r="K68" i="5"/>
  <c r="J68" i="5"/>
  <c r="I68" i="5"/>
  <c r="H68" i="5"/>
  <c r="P67" i="5"/>
  <c r="P52" i="5" s="1"/>
  <c r="L67" i="5"/>
  <c r="L52" i="5" s="1"/>
  <c r="K65" i="5"/>
  <c r="J65" i="5"/>
  <c r="I65" i="5"/>
  <c r="H65" i="5"/>
  <c r="G65" i="5"/>
  <c r="AH61" i="5"/>
  <c r="V61" i="5"/>
  <c r="L61" i="5"/>
  <c r="K61" i="5"/>
  <c r="J61" i="5"/>
  <c r="I61" i="5"/>
  <c r="H61" i="5"/>
  <c r="G61" i="5"/>
  <c r="G59" i="5"/>
  <c r="G55" i="5" s="1"/>
  <c r="G58" i="5"/>
  <c r="G54" i="5" s="1"/>
  <c r="K57" i="5"/>
  <c r="J57" i="5"/>
  <c r="I57" i="5"/>
  <c r="H57" i="5"/>
  <c r="G56" i="5"/>
  <c r="W55" i="5"/>
  <c r="X36" i="6" s="1"/>
  <c r="V55" i="5"/>
  <c r="Q55" i="5"/>
  <c r="R36" i="6" s="1"/>
  <c r="P55" i="5"/>
  <c r="O55" i="5"/>
  <c r="N55" i="5"/>
  <c r="M55" i="5"/>
  <c r="K55" i="5"/>
  <c r="J55" i="5"/>
  <c r="I55" i="5"/>
  <c r="H55" i="5"/>
  <c r="W54" i="5"/>
  <c r="X35" i="6" s="1"/>
  <c r="X21" i="6" s="1"/>
  <c r="X93" i="6" s="1"/>
  <c r="V54" i="5"/>
  <c r="P54" i="5"/>
  <c r="O54" i="5"/>
  <c r="N54" i="5"/>
  <c r="M54" i="5"/>
  <c r="L54" i="5"/>
  <c r="K54" i="5"/>
  <c r="J54" i="5"/>
  <c r="I54" i="5"/>
  <c r="H54" i="5"/>
  <c r="W52" i="5"/>
  <c r="V52" i="5"/>
  <c r="Q52" i="5"/>
  <c r="O52" i="5"/>
  <c r="N52" i="5"/>
  <c r="M52" i="5"/>
  <c r="K52" i="5"/>
  <c r="J52" i="5"/>
  <c r="I52" i="5"/>
  <c r="H52" i="5"/>
  <c r="K51" i="5"/>
  <c r="G51" i="5" s="1"/>
  <c r="G50" i="5" s="1"/>
  <c r="O50" i="5"/>
  <c r="O48" i="5" s="1"/>
  <c r="N50" i="5"/>
  <c r="N48" i="5" s="1"/>
  <c r="M50" i="5"/>
  <c r="M48" i="5" s="1"/>
  <c r="L50" i="5"/>
  <c r="L48" i="5" s="1"/>
  <c r="L47" i="5" s="1"/>
  <c r="J50" i="5"/>
  <c r="I50" i="5"/>
  <c r="H50" i="5"/>
  <c r="H49" i="5" s="1"/>
  <c r="G49" i="5" s="1"/>
  <c r="K49" i="5"/>
  <c r="K46" i="5" s="1"/>
  <c r="P48" i="5"/>
  <c r="J48" i="5"/>
  <c r="J47" i="5" s="1"/>
  <c r="I48" i="5"/>
  <c r="I47" i="5" s="1"/>
  <c r="H48" i="5"/>
  <c r="H47" i="5" s="1"/>
  <c r="Q47" i="5"/>
  <c r="Q46" i="5"/>
  <c r="O46" i="5"/>
  <c r="N46" i="5"/>
  <c r="M46" i="5"/>
  <c r="L46" i="5"/>
  <c r="J46" i="5"/>
  <c r="I46" i="5"/>
  <c r="K45" i="5"/>
  <c r="G45" i="5" s="1"/>
  <c r="G41" i="5" s="1"/>
  <c r="G44" i="5"/>
  <c r="G40" i="5" s="1"/>
  <c r="W43" i="5"/>
  <c r="V43" i="5"/>
  <c r="J43" i="5"/>
  <c r="I43" i="5"/>
  <c r="H43" i="5"/>
  <c r="G42" i="5"/>
  <c r="G38" i="5" s="1"/>
  <c r="J41" i="5"/>
  <c r="I41" i="5"/>
  <c r="H41" i="5"/>
  <c r="W40" i="5"/>
  <c r="W39" i="5" s="1"/>
  <c r="X31" i="6" s="1"/>
  <c r="V40" i="5"/>
  <c r="K40" i="5"/>
  <c r="J40" i="5"/>
  <c r="I40" i="5"/>
  <c r="H40" i="5"/>
  <c r="V38" i="5"/>
  <c r="Q38" i="5"/>
  <c r="L38" i="5"/>
  <c r="K38" i="5"/>
  <c r="J38" i="5"/>
  <c r="I38" i="5"/>
  <c r="H38" i="5"/>
  <c r="K37" i="5"/>
  <c r="G37" i="5" s="1"/>
  <c r="G36" i="5"/>
  <c r="J35" i="5"/>
  <c r="I35" i="5"/>
  <c r="H35" i="5"/>
  <c r="G34" i="5"/>
  <c r="K33" i="5"/>
  <c r="G33" i="5" s="1"/>
  <c r="G32" i="5"/>
  <c r="J31" i="5"/>
  <c r="I31" i="5"/>
  <c r="H31" i="5"/>
  <c r="G30" i="5"/>
  <c r="G29" i="5"/>
  <c r="G28" i="5"/>
  <c r="G27" i="5" s="1"/>
  <c r="W27" i="5"/>
  <c r="K27" i="5"/>
  <c r="J27" i="5"/>
  <c r="I27" i="5"/>
  <c r="H27" i="5"/>
  <c r="G26" i="5"/>
  <c r="W25" i="5"/>
  <c r="V25" i="5"/>
  <c r="W30" i="6" s="1"/>
  <c r="W22" i="6" s="1"/>
  <c r="W96" i="6" s="1"/>
  <c r="W509" i="6" s="1"/>
  <c r="Q25" i="5"/>
  <c r="J25" i="5"/>
  <c r="I25" i="5"/>
  <c r="H25" i="5"/>
  <c r="W24" i="5"/>
  <c r="W23" i="5" s="1"/>
  <c r="X28" i="6" s="1"/>
  <c r="V24" i="5"/>
  <c r="Q24" i="5"/>
  <c r="L24" i="5"/>
  <c r="L23" i="5" s="1"/>
  <c r="K24" i="5"/>
  <c r="J24" i="5"/>
  <c r="I24" i="5"/>
  <c r="H24" i="5"/>
  <c r="W22" i="5"/>
  <c r="Q22" i="5"/>
  <c r="L22" i="5"/>
  <c r="K22" i="5"/>
  <c r="J22" i="5"/>
  <c r="I22" i="5"/>
  <c r="H22" i="5"/>
  <c r="W16" i="5"/>
  <c r="W125" i="6"/>
  <c r="O694" i="5"/>
  <c r="P148" i="6" s="1"/>
  <c r="J601" i="5"/>
  <c r="J600" i="5" s="1"/>
  <c r="L291" i="5"/>
  <c r="V600" i="5"/>
  <c r="W140" i="5"/>
  <c r="X43" i="6"/>
  <c r="J638" i="5"/>
  <c r="O644" i="5"/>
  <c r="P142" i="6" s="1"/>
  <c r="V251" i="5"/>
  <c r="W251" i="5"/>
  <c r="L600" i="5"/>
  <c r="K830" i="5"/>
  <c r="K254" i="5"/>
  <c r="M255" i="5"/>
  <c r="V791" i="5"/>
  <c r="W173" i="6" s="1"/>
  <c r="W174" i="6"/>
  <c r="J810" i="5"/>
  <c r="Q408" i="5"/>
  <c r="R69" i="6" s="1"/>
  <c r="M688" i="5"/>
  <c r="G247" i="5"/>
  <c r="K224" i="5"/>
  <c r="G352" i="5"/>
  <c r="K519" i="5"/>
  <c r="K396" i="5"/>
  <c r="G410" i="5"/>
  <c r="K140" i="5"/>
  <c r="P160" i="5"/>
  <c r="P159" i="5" s="1"/>
  <c r="W295" i="5"/>
  <c r="J532" i="5"/>
  <c r="I408" i="5"/>
  <c r="L726" i="5"/>
  <c r="L848" i="5"/>
  <c r="I140" i="5"/>
  <c r="J202" i="5"/>
  <c r="N202" i="5"/>
  <c r="O49" i="6" s="1"/>
  <c r="V202" i="5"/>
  <c r="J458" i="5"/>
  <c r="J484" i="5"/>
  <c r="J586" i="5"/>
  <c r="H46" i="5"/>
  <c r="G46" i="5" s="1"/>
  <c r="L160" i="5"/>
  <c r="L159" i="5" s="1"/>
  <c r="M45" i="6" s="1"/>
  <c r="L167" i="5"/>
  <c r="K35" i="5"/>
  <c r="P167" i="5"/>
  <c r="I256" i="5"/>
  <c r="L344" i="5"/>
  <c r="L338" i="5"/>
  <c r="L336" i="5" s="1"/>
  <c r="M59" i="6" s="1"/>
  <c r="N476" i="5"/>
  <c r="K522" i="5"/>
  <c r="G734" i="5"/>
  <c r="R188" i="6"/>
  <c r="X188" i="6"/>
  <c r="X132" i="6"/>
  <c r="W146" i="6"/>
  <c r="X195" i="6"/>
  <c r="X194" i="6"/>
  <c r="X151" i="6"/>
  <c r="W467" i="6"/>
  <c r="X467" i="6"/>
  <c r="X326" i="6"/>
  <c r="X324" i="6" s="1"/>
  <c r="X323" i="6" s="1"/>
  <c r="X302" i="6"/>
  <c r="X269" i="6"/>
  <c r="X261" i="6"/>
  <c r="X202" i="6"/>
  <c r="W202" i="6"/>
  <c r="X153" i="6"/>
  <c r="X128" i="6"/>
  <c r="W153" i="6"/>
  <c r="R128" i="6"/>
  <c r="X191" i="6"/>
  <c r="X189" i="6"/>
  <c r="X185" i="6"/>
  <c r="X171" i="6"/>
  <c r="X164" i="6"/>
  <c r="X165" i="6"/>
  <c r="R147" i="6"/>
  <c r="W142" i="6"/>
  <c r="X142" i="6"/>
  <c r="W140" i="6"/>
  <c r="W131" i="6"/>
  <c r="R131" i="6"/>
  <c r="X129" i="6"/>
  <c r="W121" i="6"/>
  <c r="X70" i="6"/>
  <c r="X48" i="6"/>
  <c r="M350" i="6"/>
  <c r="Q350" i="6" s="1"/>
  <c r="M361" i="6"/>
  <c r="M364" i="6"/>
  <c r="Q364" i="6" s="1"/>
  <c r="M362" i="6"/>
  <c r="P362" i="6" s="1"/>
  <c r="M359" i="6"/>
  <c r="Q359" i="6" s="1"/>
  <c r="M358" i="6"/>
  <c r="Q358" i="6" s="1"/>
  <c r="M357" i="6"/>
  <c r="O357" i="6" s="1"/>
  <c r="M356" i="6"/>
  <c r="P356" i="6" s="1"/>
  <c r="M355" i="6"/>
  <c r="P355" i="6" s="1"/>
  <c r="M354" i="6"/>
  <c r="Q354" i="6" s="1"/>
  <c r="M353" i="6"/>
  <c r="P353" i="6" s="1"/>
  <c r="M352" i="6"/>
  <c r="O352" i="6" s="1"/>
  <c r="M351" i="6"/>
  <c r="Q351" i="6" s="1"/>
  <c r="M349" i="6"/>
  <c r="M348" i="6"/>
  <c r="P348" i="6" s="1"/>
  <c r="M347" i="6"/>
  <c r="O347" i="6" s="1"/>
  <c r="M346" i="6"/>
  <c r="Q346" i="6" s="1"/>
  <c r="M345" i="6"/>
  <c r="M344" i="6"/>
  <c r="Q344" i="6" s="1"/>
  <c r="M343" i="6"/>
  <c r="O343" i="6" s="1"/>
  <c r="M342" i="6"/>
  <c r="O342" i="6" s="1"/>
  <c r="M340" i="6"/>
  <c r="M339" i="6"/>
  <c r="P339" i="6" s="1"/>
  <c r="M338" i="6"/>
  <c r="O338" i="6" s="1"/>
  <c r="M337" i="6"/>
  <c r="M336" i="6"/>
  <c r="M335" i="6"/>
  <c r="Q335" i="6" s="1"/>
  <c r="M360" i="6"/>
  <c r="P360" i="6" s="1"/>
  <c r="M341" i="6"/>
  <c r="Q341" i="6" s="1"/>
  <c r="M460" i="6"/>
  <c r="M452" i="6"/>
  <c r="M448" i="6"/>
  <c r="M444" i="6"/>
  <c r="M442" i="6"/>
  <c r="M438" i="6"/>
  <c r="N438" i="6"/>
  <c r="P438" i="6" s="1"/>
  <c r="M406" i="6"/>
  <c r="M402" i="6"/>
  <c r="M398" i="6"/>
  <c r="M390" i="6"/>
  <c r="M388" i="6"/>
  <c r="M304" i="6"/>
  <c r="M302" i="6" s="1"/>
  <c r="Q339" i="6"/>
  <c r="P344" i="6"/>
  <c r="N339" i="6"/>
  <c r="N347" i="6"/>
  <c r="N353" i="6"/>
  <c r="M226" i="6"/>
  <c r="Q226" i="6" s="1"/>
  <c r="N248" i="6"/>
  <c r="M229" i="6"/>
  <c r="N229" i="6" s="1"/>
  <c r="M228" i="6"/>
  <c r="P228" i="6" s="1"/>
  <c r="M227" i="6"/>
  <c r="O227" i="6" s="1"/>
  <c r="M225" i="6"/>
  <c r="Q225" i="6" s="1"/>
  <c r="M224" i="6"/>
  <c r="M223" i="6"/>
  <c r="P223" i="6" s="1"/>
  <c r="M222" i="6"/>
  <c r="P222" i="6" s="1"/>
  <c r="M220" i="6"/>
  <c r="O220" i="6" s="1"/>
  <c r="M218" i="6"/>
  <c r="M202" i="6"/>
  <c r="Q202" i="6"/>
  <c r="W137" i="6"/>
  <c r="M153" i="6"/>
  <c r="M121" i="6"/>
  <c r="O189" i="6"/>
  <c r="P193" i="6"/>
  <c r="P190" i="6"/>
  <c r="N186" i="6"/>
  <c r="O186" i="6"/>
  <c r="P186" i="6"/>
  <c r="N179" i="6"/>
  <c r="N170" i="6"/>
  <c r="N165" i="6"/>
  <c r="N152" i="6"/>
  <c r="Q152" i="6"/>
  <c r="P151" i="6"/>
  <c r="N150" i="6"/>
  <c r="N147" i="6"/>
  <c r="N137" i="6"/>
  <c r="Q135" i="6"/>
  <c r="N134" i="6"/>
  <c r="N133" i="6"/>
  <c r="Q132" i="6"/>
  <c r="N125" i="6"/>
  <c r="N123" i="6"/>
  <c r="O122" i="6"/>
  <c r="O115" i="6" s="1"/>
  <c r="O113" i="6" s="1"/>
  <c r="N122" i="6"/>
  <c r="N121" i="6"/>
  <c r="N247" i="6"/>
  <c r="Q248" i="6"/>
  <c r="Q219" i="6"/>
  <c r="Q221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P219" i="6"/>
  <c r="P221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O219" i="6"/>
  <c r="O221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N219" i="6"/>
  <c r="N221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302" i="6"/>
  <c r="O302" i="6"/>
  <c r="P302" i="6"/>
  <c r="Q302" i="6"/>
  <c r="N261" i="6"/>
  <c r="O261" i="6"/>
  <c r="P261" i="6"/>
  <c r="Q261" i="6"/>
  <c r="N269" i="6"/>
  <c r="O269" i="6"/>
  <c r="P269" i="6"/>
  <c r="Q269" i="6"/>
  <c r="N277" i="6"/>
  <c r="O277" i="6"/>
  <c r="P277" i="6"/>
  <c r="Q277" i="6"/>
  <c r="O467" i="6"/>
  <c r="Q467" i="6"/>
  <c r="P386" i="6"/>
  <c r="Q386" i="6" s="1"/>
  <c r="P388" i="6"/>
  <c r="P390" i="6"/>
  <c r="P392" i="6"/>
  <c r="Q392" i="6" s="1"/>
  <c r="P394" i="6"/>
  <c r="Q394" i="6" s="1"/>
  <c r="P396" i="6"/>
  <c r="Q396" i="6" s="1"/>
  <c r="P398" i="6"/>
  <c r="Q398" i="6" s="1"/>
  <c r="P400" i="6"/>
  <c r="Q400" i="6" s="1"/>
  <c r="P402" i="6"/>
  <c r="P406" i="6"/>
  <c r="P408" i="6"/>
  <c r="Q408" i="6" s="1"/>
  <c r="P410" i="6"/>
  <c r="Q410" i="6" s="1"/>
  <c r="P412" i="6"/>
  <c r="Q412" i="6" s="1"/>
  <c r="P414" i="6"/>
  <c r="Q414" i="6" s="1"/>
  <c r="P416" i="6"/>
  <c r="Q416" i="6" s="1"/>
  <c r="P418" i="6"/>
  <c r="Q418" i="6" s="1"/>
  <c r="P420" i="6"/>
  <c r="Q420" i="6" s="1"/>
  <c r="P422" i="6"/>
  <c r="P424" i="6"/>
  <c r="Q424" i="6" s="1"/>
  <c r="P428" i="6"/>
  <c r="Q428" i="6" s="1"/>
  <c r="P430" i="6"/>
  <c r="Q430" i="6" s="1"/>
  <c r="P432" i="6"/>
  <c r="Q432" i="6" s="1"/>
  <c r="P434" i="6"/>
  <c r="Q434" i="6" s="1"/>
  <c r="P436" i="6"/>
  <c r="Q436" i="6" s="1"/>
  <c r="P440" i="6"/>
  <c r="Q440" i="6" s="1"/>
  <c r="P442" i="6"/>
  <c r="P444" i="6"/>
  <c r="P448" i="6"/>
  <c r="P452" i="6"/>
  <c r="P456" i="6"/>
  <c r="Q456" i="6" s="1"/>
  <c r="P460" i="6"/>
  <c r="P384" i="6"/>
  <c r="Q384" i="6" s="1"/>
  <c r="P381" i="6"/>
  <c r="P477" i="6" s="1"/>
  <c r="P511" i="6" s="1"/>
  <c r="N381" i="6"/>
  <c r="N477" i="6" s="1"/>
  <c r="N511" i="6" s="1"/>
  <c r="O381" i="6"/>
  <c r="O477" i="6" s="1"/>
  <c r="O511" i="6" s="1"/>
  <c r="N70" i="6"/>
  <c r="O70" i="6"/>
  <c r="P70" i="6"/>
  <c r="Q57" i="6"/>
  <c r="N53" i="6"/>
  <c r="Q45" i="6"/>
  <c r="L512" i="6"/>
  <c r="K512" i="6"/>
  <c r="J512" i="6"/>
  <c r="I512" i="6"/>
  <c r="H512" i="6"/>
  <c r="R505" i="6"/>
  <c r="M505" i="6"/>
  <c r="H505" i="6"/>
  <c r="R502" i="6"/>
  <c r="M502" i="6"/>
  <c r="H502" i="6"/>
  <c r="R493" i="6"/>
  <c r="M493" i="6"/>
  <c r="H493" i="6"/>
  <c r="R484" i="6"/>
  <c r="M484" i="6"/>
  <c r="H484" i="6"/>
  <c r="K477" i="6"/>
  <c r="K511" i="6" s="1"/>
  <c r="J477" i="6"/>
  <c r="J511" i="6" s="1"/>
  <c r="H477" i="6"/>
  <c r="H511" i="6" s="1"/>
  <c r="I476" i="6"/>
  <c r="L469" i="6"/>
  <c r="H469" i="6" s="1"/>
  <c r="H467" i="6" s="1"/>
  <c r="R467" i="6"/>
  <c r="M467" i="6"/>
  <c r="K467" i="6"/>
  <c r="J467" i="6"/>
  <c r="I467" i="6"/>
  <c r="H460" i="6"/>
  <c r="H456" i="6"/>
  <c r="L456" i="6" s="1"/>
  <c r="H452" i="6"/>
  <c r="L452" i="6" s="1"/>
  <c r="K448" i="6"/>
  <c r="J448" i="6"/>
  <c r="I448" i="6"/>
  <c r="H448" i="6"/>
  <c r="L444" i="6"/>
  <c r="J442" i="6"/>
  <c r="L442" i="6" s="1"/>
  <c r="K440" i="6"/>
  <c r="L440" i="6" s="1"/>
  <c r="H438" i="6"/>
  <c r="L438" i="6" s="1"/>
  <c r="K436" i="6"/>
  <c r="L436" i="6" s="1"/>
  <c r="J434" i="6"/>
  <c r="I434" i="6"/>
  <c r="L432" i="6"/>
  <c r="K430" i="6"/>
  <c r="H430" i="6"/>
  <c r="K428" i="6"/>
  <c r="L428" i="6" s="1"/>
  <c r="L424" i="6"/>
  <c r="M422" i="6"/>
  <c r="K422" i="6"/>
  <c r="L422" i="6" s="1"/>
  <c r="K420" i="6"/>
  <c r="H420" i="6"/>
  <c r="L418" i="6"/>
  <c r="K416" i="6"/>
  <c r="J416" i="6"/>
  <c r="K414" i="6"/>
  <c r="L414" i="6" s="1"/>
  <c r="J412" i="6"/>
  <c r="L412" i="6" s="1"/>
  <c r="L410" i="6"/>
  <c r="L408" i="6"/>
  <c r="H406" i="6"/>
  <c r="L406" i="6" s="1"/>
  <c r="H402" i="6"/>
  <c r="L402" i="6" s="1"/>
  <c r="L400" i="6"/>
  <c r="H398" i="6"/>
  <c r="L398" i="6" s="1"/>
  <c r="L396" i="6"/>
  <c r="L394" i="6"/>
  <c r="J392" i="6"/>
  <c r="L392" i="6" s="1"/>
  <c r="J390" i="6"/>
  <c r="H390" i="6"/>
  <c r="K388" i="6"/>
  <c r="I388" i="6"/>
  <c r="L386" i="6"/>
  <c r="J384" i="6"/>
  <c r="L384" i="6" s="1"/>
  <c r="I381" i="6"/>
  <c r="I377" i="6" s="1"/>
  <c r="L364" i="6"/>
  <c r="K364" i="6"/>
  <c r="J364" i="6"/>
  <c r="I364" i="6"/>
  <c r="L363" i="6"/>
  <c r="K363" i="6"/>
  <c r="J363" i="6"/>
  <c r="I363" i="6"/>
  <c r="L362" i="6"/>
  <c r="K362" i="6"/>
  <c r="J362" i="6"/>
  <c r="I362" i="6"/>
  <c r="L361" i="6"/>
  <c r="K361" i="6"/>
  <c r="J361" i="6"/>
  <c r="I361" i="6"/>
  <c r="L360" i="6"/>
  <c r="K360" i="6"/>
  <c r="J360" i="6"/>
  <c r="I360" i="6"/>
  <c r="L359" i="6"/>
  <c r="K359" i="6"/>
  <c r="J359" i="6"/>
  <c r="I359" i="6"/>
  <c r="L358" i="6"/>
  <c r="K358" i="6"/>
  <c r="J358" i="6"/>
  <c r="I358" i="6"/>
  <c r="L357" i="6"/>
  <c r="K357" i="6"/>
  <c r="J357" i="6"/>
  <c r="I357" i="6"/>
  <c r="L356" i="6"/>
  <c r="K356" i="6"/>
  <c r="J356" i="6"/>
  <c r="I356" i="6"/>
  <c r="L355" i="6"/>
  <c r="K355" i="6"/>
  <c r="J355" i="6"/>
  <c r="I355" i="6"/>
  <c r="L354" i="6"/>
  <c r="K354" i="6"/>
  <c r="J354" i="6"/>
  <c r="I354" i="6"/>
  <c r="L353" i="6"/>
  <c r="K353" i="6"/>
  <c r="J353" i="6"/>
  <c r="I353" i="6"/>
  <c r="L352" i="6"/>
  <c r="K352" i="6"/>
  <c r="J352" i="6"/>
  <c r="I352" i="6"/>
  <c r="L351" i="6"/>
  <c r="K351" i="6"/>
  <c r="J351" i="6"/>
  <c r="I351" i="6"/>
  <c r="L350" i="6"/>
  <c r="K350" i="6"/>
  <c r="J350" i="6"/>
  <c r="I350" i="6"/>
  <c r="L349" i="6"/>
  <c r="K349" i="6"/>
  <c r="J349" i="6"/>
  <c r="I349" i="6"/>
  <c r="L348" i="6"/>
  <c r="K348" i="6"/>
  <c r="J348" i="6"/>
  <c r="I348" i="6"/>
  <c r="L347" i="6"/>
  <c r="K347" i="6"/>
  <c r="J347" i="6"/>
  <c r="I347" i="6"/>
  <c r="L346" i="6"/>
  <c r="K346" i="6"/>
  <c r="J346" i="6"/>
  <c r="I346" i="6"/>
  <c r="L345" i="6"/>
  <c r="K345" i="6"/>
  <c r="J345" i="6"/>
  <c r="I345" i="6"/>
  <c r="L344" i="6"/>
  <c r="K344" i="6"/>
  <c r="J344" i="6"/>
  <c r="I344" i="6"/>
  <c r="L343" i="6"/>
  <c r="K343" i="6"/>
  <c r="J343" i="6"/>
  <c r="I343" i="6"/>
  <c r="L342" i="6"/>
  <c r="K342" i="6"/>
  <c r="J342" i="6"/>
  <c r="I342" i="6"/>
  <c r="L341" i="6"/>
  <c r="K341" i="6"/>
  <c r="J341" i="6"/>
  <c r="I341" i="6"/>
  <c r="L340" i="6"/>
  <c r="K340" i="6"/>
  <c r="J340" i="6"/>
  <c r="I340" i="6"/>
  <c r="L339" i="6"/>
  <c r="K339" i="6"/>
  <c r="J339" i="6"/>
  <c r="I339" i="6"/>
  <c r="L338" i="6"/>
  <c r="K338" i="6"/>
  <c r="J338" i="6"/>
  <c r="I338" i="6"/>
  <c r="L337" i="6"/>
  <c r="K337" i="6"/>
  <c r="J337" i="6"/>
  <c r="I337" i="6"/>
  <c r="L336" i="6"/>
  <c r="K336" i="6"/>
  <c r="J336" i="6"/>
  <c r="I336" i="6"/>
  <c r="L335" i="6"/>
  <c r="L326" i="6" s="1"/>
  <c r="L324" i="6" s="1"/>
  <c r="K335" i="6"/>
  <c r="K326" i="6" s="1"/>
  <c r="K324" i="6" s="1"/>
  <c r="J335" i="6"/>
  <c r="J326" i="6" s="1"/>
  <c r="J324" i="6" s="1"/>
  <c r="I335" i="6"/>
  <c r="W326" i="6"/>
  <c r="W324" i="6" s="1"/>
  <c r="H326" i="6"/>
  <c r="H324" i="6" s="1"/>
  <c r="H304" i="6"/>
  <c r="H302" i="6" s="1"/>
  <c r="W302" i="6"/>
  <c r="R302" i="6"/>
  <c r="L302" i="6"/>
  <c r="K302" i="6"/>
  <c r="J302" i="6"/>
  <c r="I302" i="6"/>
  <c r="W277" i="6"/>
  <c r="M277" i="6"/>
  <c r="L277" i="6"/>
  <c r="K277" i="6"/>
  <c r="J277" i="6"/>
  <c r="I277" i="6"/>
  <c r="H277" i="6"/>
  <c r="M271" i="6"/>
  <c r="M269" i="6" s="1"/>
  <c r="H271" i="6"/>
  <c r="H269" i="6" s="1"/>
  <c r="W269" i="6"/>
  <c r="L269" i="6"/>
  <c r="K269" i="6"/>
  <c r="J269" i="6"/>
  <c r="I269" i="6"/>
  <c r="H263" i="6"/>
  <c r="H261" i="6" s="1"/>
  <c r="W261" i="6"/>
  <c r="M261" i="6"/>
  <c r="L261" i="6"/>
  <c r="K261" i="6"/>
  <c r="J261" i="6"/>
  <c r="I261" i="6"/>
  <c r="H248" i="6"/>
  <c r="H247" i="6"/>
  <c r="L247" i="6" s="1"/>
  <c r="H246" i="6"/>
  <c r="L246" i="6" s="1"/>
  <c r="H245" i="6"/>
  <c r="L245" i="6" s="1"/>
  <c r="L244" i="6"/>
  <c r="H243" i="6"/>
  <c r="L243" i="6" s="1"/>
  <c r="H242" i="6"/>
  <c r="L242" i="6" s="1"/>
  <c r="H241" i="6"/>
  <c r="L241" i="6" s="1"/>
  <c r="H240" i="6"/>
  <c r="L240" i="6" s="1"/>
  <c r="H239" i="6"/>
  <c r="L239" i="6" s="1"/>
  <c r="H238" i="6"/>
  <c r="L238" i="6" s="1"/>
  <c r="H237" i="6"/>
  <c r="L237" i="6" s="1"/>
  <c r="H236" i="6"/>
  <c r="L236" i="6" s="1"/>
  <c r="L235" i="6"/>
  <c r="H234" i="6"/>
  <c r="L234" i="6" s="1"/>
  <c r="H233" i="6"/>
  <c r="L233" i="6" s="1"/>
  <c r="H232" i="6"/>
  <c r="L232" i="6" s="1"/>
  <c r="H231" i="6"/>
  <c r="L231" i="6" s="1"/>
  <c r="H230" i="6"/>
  <c r="L230" i="6" s="1"/>
  <c r="H229" i="6"/>
  <c r="L229" i="6" s="1"/>
  <c r="H228" i="6"/>
  <c r="L228" i="6" s="1"/>
  <c r="H227" i="6"/>
  <c r="L227" i="6" s="1"/>
  <c r="H226" i="6"/>
  <c r="L226" i="6" s="1"/>
  <c r="H225" i="6"/>
  <c r="L225" i="6" s="1"/>
  <c r="L224" i="6"/>
  <c r="H223" i="6"/>
  <c r="L223" i="6" s="1"/>
  <c r="H222" i="6"/>
  <c r="L222" i="6" s="1"/>
  <c r="H221" i="6"/>
  <c r="L221" i="6" s="1"/>
  <c r="H220" i="6"/>
  <c r="L220" i="6" s="1"/>
  <c r="H219" i="6"/>
  <c r="L219" i="6" s="1"/>
  <c r="H218" i="6"/>
  <c r="K209" i="6"/>
  <c r="K207" i="6" s="1"/>
  <c r="K206" i="6" s="1"/>
  <c r="J209" i="6"/>
  <c r="J207" i="6" s="1"/>
  <c r="J206" i="6" s="1"/>
  <c r="I209" i="6"/>
  <c r="I207" i="6" s="1"/>
  <c r="I206" i="6" s="1"/>
  <c r="L202" i="6"/>
  <c r="K202" i="6"/>
  <c r="J202" i="6"/>
  <c r="I202" i="6"/>
  <c r="H202" i="6" s="1"/>
  <c r="H199" i="6"/>
  <c r="H198" i="6"/>
  <c r="H197" i="6"/>
  <c r="H196" i="6"/>
  <c r="H192" i="6"/>
  <c r="H167" i="6"/>
  <c r="L153" i="6"/>
  <c r="J153" i="6"/>
  <c r="I153" i="6"/>
  <c r="H153" i="6" s="1"/>
  <c r="L107" i="6"/>
  <c r="L476" i="6" s="1"/>
  <c r="H107" i="6"/>
  <c r="H476" i="6" s="1"/>
  <c r="H67" i="6"/>
  <c r="H61" i="6"/>
  <c r="H46" i="6"/>
  <c r="H43" i="6"/>
  <c r="H40" i="6"/>
  <c r="J377" i="6"/>
  <c r="K377" i="6"/>
  <c r="I326" i="6"/>
  <c r="I324" i="6" s="1"/>
  <c r="H377" i="6"/>
  <c r="L381" i="6"/>
  <c r="L477" i="6" s="1"/>
  <c r="L511" i="6" s="1"/>
  <c r="M381" i="6"/>
  <c r="W198" i="6"/>
  <c r="W191" i="6"/>
  <c r="W189" i="6"/>
  <c r="R189" i="6"/>
  <c r="R183" i="6"/>
  <c r="M180" i="6"/>
  <c r="W172" i="6"/>
  <c r="M171" i="6"/>
  <c r="R170" i="6"/>
  <c r="M170" i="6"/>
  <c r="R169" i="6"/>
  <c r="M168" i="6"/>
  <c r="M165" i="6"/>
  <c r="R152" i="6"/>
  <c r="M151" i="6"/>
  <c r="M149" i="6"/>
  <c r="W149" i="6"/>
  <c r="R148" i="6"/>
  <c r="W136" i="6"/>
  <c r="M134" i="6"/>
  <c r="R134" i="6"/>
  <c r="R133" i="6"/>
  <c r="W132" i="6"/>
  <c r="M132" i="6"/>
  <c r="W130" i="6"/>
  <c r="M125" i="6"/>
  <c r="M123" i="6"/>
  <c r="W122" i="6"/>
  <c r="R122" i="6"/>
  <c r="W58" i="6"/>
  <c r="R51" i="6"/>
  <c r="W49" i="6"/>
  <c r="R47" i="6"/>
  <c r="W126" i="6"/>
  <c r="W181" i="6"/>
  <c r="M152" i="6"/>
  <c r="I31" i="6"/>
  <c r="H31" i="6" s="1"/>
  <c r="K31" i="6"/>
  <c r="I32" i="6"/>
  <c r="H32" i="6" s="1"/>
  <c r="K32" i="6"/>
  <c r="L32" i="6"/>
  <c r="I42" i="6"/>
  <c r="H42" i="6" s="1"/>
  <c r="K42" i="6"/>
  <c r="I70" i="6"/>
  <c r="H70" i="6" s="1"/>
  <c r="K70" i="6"/>
  <c r="J70" i="6"/>
  <c r="I120" i="6"/>
  <c r="H120" i="6" s="1"/>
  <c r="J120" i="6"/>
  <c r="L120" i="6"/>
  <c r="K120" i="6"/>
  <c r="I121" i="6"/>
  <c r="H121" i="6" s="1"/>
  <c r="J121" i="6"/>
  <c r="K121" i="6"/>
  <c r="L121" i="6"/>
  <c r="I122" i="6"/>
  <c r="H122" i="6" s="1"/>
  <c r="J122" i="6"/>
  <c r="K122" i="6"/>
  <c r="L122" i="6"/>
  <c r="I123" i="6"/>
  <c r="H123" i="6" s="1"/>
  <c r="J123" i="6"/>
  <c r="L123" i="6"/>
  <c r="I124" i="6"/>
  <c r="H124" i="6" s="1"/>
  <c r="J124" i="6"/>
  <c r="K124" i="6"/>
  <c r="L124" i="6"/>
  <c r="I125" i="6"/>
  <c r="J125" i="6"/>
  <c r="K125" i="6"/>
  <c r="L125" i="6"/>
  <c r="I126" i="6"/>
  <c r="J126" i="6"/>
  <c r="K126" i="6"/>
  <c r="L126" i="6"/>
  <c r="I128" i="6"/>
  <c r="J128" i="6"/>
  <c r="L128" i="6"/>
  <c r="K128" i="6"/>
  <c r="I129" i="6"/>
  <c r="H129" i="6" s="1"/>
  <c r="J129" i="6"/>
  <c r="K129" i="6"/>
  <c r="L129" i="6"/>
  <c r="I130" i="6"/>
  <c r="H130" i="6" s="1"/>
  <c r="J130" i="6"/>
  <c r="K130" i="6"/>
  <c r="L130" i="6"/>
  <c r="I131" i="6"/>
  <c r="J131" i="6"/>
  <c r="K131" i="6"/>
  <c r="L131" i="6"/>
  <c r="I132" i="6"/>
  <c r="J132" i="6"/>
  <c r="K132" i="6"/>
  <c r="L132" i="6"/>
  <c r="I133" i="6"/>
  <c r="H133" i="6" s="1"/>
  <c r="K133" i="6"/>
  <c r="L133" i="6"/>
  <c r="I134" i="6"/>
  <c r="H134" i="6" s="1"/>
  <c r="J134" i="6"/>
  <c r="L134" i="6"/>
  <c r="K134" i="6"/>
  <c r="I135" i="6"/>
  <c r="H135" i="6" s="1"/>
  <c r="J135" i="6"/>
  <c r="K135" i="6"/>
  <c r="L135" i="6"/>
  <c r="I137" i="6"/>
  <c r="H137" i="6" s="1"/>
  <c r="J137" i="6"/>
  <c r="K137" i="6"/>
  <c r="L137" i="6"/>
  <c r="I138" i="6"/>
  <c r="H138" i="6" s="1"/>
  <c r="J138" i="6"/>
  <c r="K138" i="6"/>
  <c r="L138" i="6"/>
  <c r="I141" i="6"/>
  <c r="H141" i="6" s="1"/>
  <c r="J141" i="6"/>
  <c r="L141" i="6"/>
  <c r="K141" i="6"/>
  <c r="I142" i="6"/>
  <c r="H142" i="6" s="1"/>
  <c r="J142" i="6"/>
  <c r="K142" i="6"/>
  <c r="L142" i="6"/>
  <c r="I143" i="6"/>
  <c r="H143" i="6" s="1"/>
  <c r="J143" i="6"/>
  <c r="L143" i="6"/>
  <c r="K143" i="6"/>
  <c r="I144" i="6"/>
  <c r="H144" i="6" s="1"/>
  <c r="J144" i="6"/>
  <c r="K144" i="6"/>
  <c r="L144" i="6"/>
  <c r="I147" i="6"/>
  <c r="H147" i="6" s="1"/>
  <c r="J147" i="6"/>
  <c r="K147" i="6"/>
  <c r="L147" i="6"/>
  <c r="I148" i="6"/>
  <c r="H148" i="6" s="1"/>
  <c r="J148" i="6"/>
  <c r="L148" i="6"/>
  <c r="K148" i="6"/>
  <c r="I149" i="6"/>
  <c r="H149" i="6" s="1"/>
  <c r="J149" i="6"/>
  <c r="L149" i="6"/>
  <c r="K149" i="6"/>
  <c r="I150" i="6"/>
  <c r="H150" i="6" s="1"/>
  <c r="J150" i="6"/>
  <c r="K150" i="6"/>
  <c r="L150" i="6"/>
  <c r="I151" i="6"/>
  <c r="H151" i="6" s="1"/>
  <c r="J151" i="6"/>
  <c r="K151" i="6"/>
  <c r="L151" i="6"/>
  <c r="I152" i="6"/>
  <c r="H152" i="6" s="1"/>
  <c r="J152" i="6"/>
  <c r="K152" i="6"/>
  <c r="L152" i="6"/>
  <c r="I164" i="6"/>
  <c r="H164" i="6" s="1"/>
  <c r="H159" i="6" s="1"/>
  <c r="H157" i="6" s="1"/>
  <c r="J164" i="6"/>
  <c r="K164" i="6"/>
  <c r="K159" i="6" s="1"/>
  <c r="K157" i="6" s="1"/>
  <c r="L164" i="6"/>
  <c r="L159" i="6" s="1"/>
  <c r="L157" i="6" s="1"/>
  <c r="I165" i="6"/>
  <c r="H165" i="6" s="1"/>
  <c r="J165" i="6"/>
  <c r="K165" i="6"/>
  <c r="L165" i="6"/>
  <c r="I166" i="6"/>
  <c r="H166" i="6" s="1"/>
  <c r="J166" i="6"/>
  <c r="K166" i="6"/>
  <c r="L166" i="6"/>
  <c r="I168" i="6"/>
  <c r="H168" i="6" s="1"/>
  <c r="K168" i="6"/>
  <c r="L168" i="6"/>
  <c r="J168" i="6"/>
  <c r="I169" i="6"/>
  <c r="H169" i="6" s="1"/>
  <c r="J169" i="6"/>
  <c r="K169" i="6"/>
  <c r="L169" i="6"/>
  <c r="I170" i="6"/>
  <c r="H170" i="6" s="1"/>
  <c r="J170" i="6"/>
  <c r="K170" i="6"/>
  <c r="L170" i="6"/>
  <c r="I171" i="6"/>
  <c r="H171" i="6" s="1"/>
  <c r="J171" i="6"/>
  <c r="K171" i="6"/>
  <c r="L171" i="6"/>
  <c r="I172" i="6"/>
  <c r="H172" i="6" s="1"/>
  <c r="J172" i="6"/>
  <c r="K172" i="6"/>
  <c r="L172" i="6"/>
  <c r="I173" i="6"/>
  <c r="H173" i="6" s="1"/>
  <c r="J173" i="6"/>
  <c r="K173" i="6"/>
  <c r="L173" i="6"/>
  <c r="I176" i="6"/>
  <c r="H176" i="6" s="1"/>
  <c r="J176" i="6"/>
  <c r="K176" i="6"/>
  <c r="L176" i="6"/>
  <c r="I179" i="6"/>
  <c r="J179" i="6"/>
  <c r="L179" i="6"/>
  <c r="K179" i="6"/>
  <c r="I180" i="6"/>
  <c r="H180" i="6" s="1"/>
  <c r="J180" i="6"/>
  <c r="K180" i="6"/>
  <c r="L180" i="6"/>
  <c r="I181" i="6"/>
  <c r="H181" i="6" s="1"/>
  <c r="J181" i="6"/>
  <c r="K181" i="6"/>
  <c r="L181" i="6"/>
  <c r="I182" i="6"/>
  <c r="H182" i="6" s="1"/>
  <c r="J182" i="6"/>
  <c r="K182" i="6"/>
  <c r="L182" i="6"/>
  <c r="I183" i="6"/>
  <c r="H183" i="6" s="1"/>
  <c r="J183" i="6"/>
  <c r="K183" i="6"/>
  <c r="L183" i="6"/>
  <c r="I184" i="6"/>
  <c r="H184" i="6" s="1"/>
  <c r="J184" i="6"/>
  <c r="K184" i="6"/>
  <c r="L184" i="6"/>
  <c r="I185" i="6"/>
  <c r="H185" i="6" s="1"/>
  <c r="J185" i="6"/>
  <c r="K185" i="6"/>
  <c r="L185" i="6"/>
  <c r="I186" i="6"/>
  <c r="H186" i="6" s="1"/>
  <c r="J186" i="6"/>
  <c r="K186" i="6"/>
  <c r="L186" i="6"/>
  <c r="I189" i="6"/>
  <c r="H189" i="6" s="1"/>
  <c r="J189" i="6"/>
  <c r="K189" i="6"/>
  <c r="L189" i="6"/>
  <c r="I190" i="6"/>
  <c r="H190" i="6" s="1"/>
  <c r="J190" i="6"/>
  <c r="K190" i="6"/>
  <c r="L190" i="6"/>
  <c r="I191" i="6"/>
  <c r="H191" i="6" s="1"/>
  <c r="J191" i="6"/>
  <c r="K191" i="6"/>
  <c r="L191" i="6"/>
  <c r="I193" i="6"/>
  <c r="H193" i="6" s="1"/>
  <c r="J193" i="6"/>
  <c r="K193" i="6"/>
  <c r="L193" i="6"/>
  <c r="I200" i="6"/>
  <c r="H200" i="6" s="1"/>
  <c r="J200" i="6"/>
  <c r="L200" i="6"/>
  <c r="K200" i="6"/>
  <c r="I201" i="6"/>
  <c r="H201" i="6" s="1"/>
  <c r="J201" i="6"/>
  <c r="J159" i="6"/>
  <c r="J157" i="6" s="1"/>
  <c r="K201" i="6"/>
  <c r="L201" i="6"/>
  <c r="I154" i="6"/>
  <c r="H154" i="6" s="1"/>
  <c r="K153" i="6"/>
  <c r="K136" i="6"/>
  <c r="H132" i="6"/>
  <c r="H131" i="6"/>
  <c r="H125" i="6"/>
  <c r="L70" i="6"/>
  <c r="K60" i="6"/>
  <c r="I60" i="6"/>
  <c r="H60" i="6" s="1"/>
  <c r="L58" i="6"/>
  <c r="J58" i="6"/>
  <c r="K51" i="6"/>
  <c r="I51" i="6"/>
  <c r="H51" i="6" s="1"/>
  <c r="K48" i="6"/>
  <c r="I48" i="6"/>
  <c r="H48" i="6" s="1"/>
  <c r="K47" i="6"/>
  <c r="I47" i="6"/>
  <c r="H47" i="6" s="1"/>
  <c r="I203" i="6"/>
  <c r="H179" i="6"/>
  <c r="J133" i="6"/>
  <c r="H128" i="6"/>
  <c r="H126" i="6"/>
  <c r="K123" i="6"/>
  <c r="L60" i="6"/>
  <c r="J60" i="6"/>
  <c r="K58" i="6"/>
  <c r="I58" i="6"/>
  <c r="H58" i="6" s="1"/>
  <c r="L51" i="6"/>
  <c r="J51" i="6"/>
  <c r="L48" i="6"/>
  <c r="J48" i="6"/>
  <c r="L47" i="6"/>
  <c r="J47" i="6"/>
  <c r="J32" i="6"/>
  <c r="L111" i="6"/>
  <c r="H111" i="6" s="1"/>
  <c r="L115" i="6"/>
  <c r="L113" i="6" s="1"/>
  <c r="I22" i="6"/>
  <c r="I96" i="6" s="1"/>
  <c r="L16" i="6"/>
  <c r="H16" i="6" s="1"/>
  <c r="L21" i="6"/>
  <c r="L94" i="6" s="1"/>
  <c r="J21" i="6"/>
  <c r="J94" i="6" s="1"/>
  <c r="K21" i="6"/>
  <c r="K94" i="6" s="1"/>
  <c r="I21" i="6"/>
  <c r="I94" i="6" s="1"/>
  <c r="J28" i="6"/>
  <c r="L37" i="6"/>
  <c r="L31" i="6"/>
  <c r="J45" i="6"/>
  <c r="J53" i="6"/>
  <c r="L68" i="6"/>
  <c r="J33" i="6"/>
  <c r="K33" i="6"/>
  <c r="K45" i="6"/>
  <c r="K69" i="6"/>
  <c r="L69" i="6"/>
  <c r="K28" i="6"/>
  <c r="K37" i="6"/>
  <c r="K41" i="6"/>
  <c r="L42" i="6"/>
  <c r="L45" i="6"/>
  <c r="K49" i="6"/>
  <c r="J50" i="6"/>
  <c r="J52" i="6"/>
  <c r="L57" i="6"/>
  <c r="J59" i="6"/>
  <c r="K62" i="6"/>
  <c r="J63" i="6"/>
  <c r="J66" i="6"/>
  <c r="J116" i="6"/>
  <c r="J107" i="6" s="1"/>
  <c r="J476" i="6" s="1"/>
  <c r="L136" i="6"/>
  <c r="J41" i="6"/>
  <c r="J49" i="6"/>
  <c r="I50" i="6"/>
  <c r="H50" i="6" s="1"/>
  <c r="K52" i="6"/>
  <c r="I59" i="6"/>
  <c r="H59" i="6" s="1"/>
  <c r="J62" i="6"/>
  <c r="K63" i="6"/>
  <c r="I66" i="6"/>
  <c r="H66" i="6" s="1"/>
  <c r="I68" i="6"/>
  <c r="H68" i="6" s="1"/>
  <c r="I127" i="6"/>
  <c r="H127" i="6" s="1"/>
  <c r="K116" i="6"/>
  <c r="K107" i="6" s="1"/>
  <c r="K476" i="6" s="1"/>
  <c r="I136" i="6"/>
  <c r="H136" i="6" s="1"/>
  <c r="J37" i="6"/>
  <c r="L44" i="6"/>
  <c r="K57" i="6"/>
  <c r="K22" i="6"/>
  <c r="K96" i="6" s="1"/>
  <c r="L53" i="6"/>
  <c r="L33" i="6"/>
  <c r="I33" i="6"/>
  <c r="H33" i="6" s="1"/>
  <c r="K53" i="6"/>
  <c r="I53" i="6"/>
  <c r="H53" i="6" s="1"/>
  <c r="I45" i="6"/>
  <c r="H45" i="6" s="1"/>
  <c r="I69" i="6"/>
  <c r="H69" i="6" s="1"/>
  <c r="J69" i="6"/>
  <c r="I28" i="6"/>
  <c r="H28" i="6" s="1"/>
  <c r="J31" i="6"/>
  <c r="I37" i="6"/>
  <c r="H37" i="6" s="1"/>
  <c r="I41" i="6"/>
  <c r="H41" i="6" s="1"/>
  <c r="J42" i="6"/>
  <c r="I49" i="6"/>
  <c r="H49" i="6" s="1"/>
  <c r="L50" i="6"/>
  <c r="L52" i="6"/>
  <c r="J57" i="6"/>
  <c r="L59" i="6"/>
  <c r="I62" i="6"/>
  <c r="H62" i="6" s="1"/>
  <c r="L63" i="6"/>
  <c r="L66" i="6"/>
  <c r="J68" i="6"/>
  <c r="J127" i="6"/>
  <c r="J136" i="6"/>
  <c r="L41" i="6"/>
  <c r="K44" i="6"/>
  <c r="L49" i="6"/>
  <c r="K50" i="6"/>
  <c r="I52" i="6"/>
  <c r="H52" i="6" s="1"/>
  <c r="K59" i="6"/>
  <c r="L62" i="6"/>
  <c r="I63" i="6"/>
  <c r="H63" i="6" s="1"/>
  <c r="K66" i="6"/>
  <c r="K68" i="6"/>
  <c r="K127" i="6"/>
  <c r="L155" i="6"/>
  <c r="H155" i="6" s="1"/>
  <c r="I44" i="6"/>
  <c r="H44" i="6" s="1"/>
  <c r="J44" i="6"/>
  <c r="I57" i="6"/>
  <c r="H57" i="6" s="1"/>
  <c r="L127" i="6"/>
  <c r="H203" i="6"/>
  <c r="L156" i="6"/>
  <c r="L22" i="6"/>
  <c r="J22" i="6"/>
  <c r="J96" i="6" s="1"/>
  <c r="L28" i="6"/>
  <c r="Q381" i="6"/>
  <c r="Q477" i="6" s="1"/>
  <c r="Q511" i="6" s="1"/>
  <c r="U207" i="6"/>
  <c r="AA249" i="6"/>
  <c r="S207" i="6"/>
  <c r="AA247" i="6"/>
  <c r="S285" i="6"/>
  <c r="T285" i="6"/>
  <c r="U285" i="6"/>
  <c r="R287" i="6"/>
  <c r="R279" i="6" s="1"/>
  <c r="R277" i="6" s="1"/>
  <c r="T207" i="6"/>
  <c r="AA248" i="6"/>
  <c r="K92" i="5" l="1"/>
  <c r="K163" i="5"/>
  <c r="K316" i="5"/>
  <c r="P449" i="5"/>
  <c r="W900" i="5"/>
  <c r="X193" i="6" s="1"/>
  <c r="K90" i="5"/>
  <c r="K53" i="5"/>
  <c r="K815" i="5"/>
  <c r="T41" i="6"/>
  <c r="V11" i="5"/>
  <c r="G35" i="5"/>
  <c r="K167" i="5"/>
  <c r="I202" i="5"/>
  <c r="V224" i="5"/>
  <c r="W50" i="6" s="1"/>
  <c r="J408" i="5"/>
  <c r="V408" i="5"/>
  <c r="W69" i="6" s="1"/>
  <c r="K453" i="5"/>
  <c r="K451" i="5" s="1"/>
  <c r="M449" i="5"/>
  <c r="K454" i="5"/>
  <c r="V261" i="5"/>
  <c r="P225" i="6"/>
  <c r="O353" i="6"/>
  <c r="N228" i="6"/>
  <c r="Q357" i="6"/>
  <c r="N223" i="6"/>
  <c r="R215" i="6"/>
  <c r="R214" i="6" s="1"/>
  <c r="R216" i="6"/>
  <c r="T95" i="6"/>
  <c r="X95" i="6"/>
  <c r="X73" i="6"/>
  <c r="N336" i="5"/>
  <c r="O738" i="5"/>
  <c r="O736" i="5" s="1"/>
  <c r="P164" i="6"/>
  <c r="P159" i="6" s="1"/>
  <c r="P157" i="6" s="1"/>
  <c r="L738" i="5"/>
  <c r="L736" i="5" s="1"/>
  <c r="K31" i="5"/>
  <c r="Q739" i="5"/>
  <c r="R160" i="6" s="1"/>
  <c r="Q376" i="5"/>
  <c r="N449" i="5"/>
  <c r="V620" i="5"/>
  <c r="V454" i="5"/>
  <c r="W116" i="6" s="1"/>
  <c r="U125" i="6"/>
  <c r="U449" i="5"/>
  <c r="U43" i="5"/>
  <c r="V259" i="5"/>
  <c r="V16" i="5" s="1"/>
  <c r="W24" i="6" s="1"/>
  <c r="W95" i="6" s="1"/>
  <c r="X126" i="6"/>
  <c r="R449" i="5"/>
  <c r="I295" i="5"/>
  <c r="L204" i="5"/>
  <c r="L202" i="5" s="1"/>
  <c r="M49" i="6" s="1"/>
  <c r="H53" i="5"/>
  <c r="P53" i="5"/>
  <c r="Q33" i="6" s="1"/>
  <c r="K104" i="5"/>
  <c r="L427" i="5"/>
  <c r="M70" i="6" s="1"/>
  <c r="K449" i="5"/>
  <c r="G449" i="5" s="1"/>
  <c r="H453" i="5"/>
  <c r="V449" i="5"/>
  <c r="M453" i="5"/>
  <c r="M451" i="5" s="1"/>
  <c r="V453" i="5"/>
  <c r="I454" i="5"/>
  <c r="G454" i="5" s="1"/>
  <c r="W620" i="5"/>
  <c r="W454" i="5"/>
  <c r="S453" i="5"/>
  <c r="S451" i="5" s="1"/>
  <c r="V800" i="5"/>
  <c r="T785" i="5"/>
  <c r="U172" i="6" s="1"/>
  <c r="R34" i="6"/>
  <c r="Q153" i="6"/>
  <c r="G412" i="5"/>
  <c r="J702" i="5"/>
  <c r="J815" i="5"/>
  <c r="H202" i="5"/>
  <c r="I224" i="5"/>
  <c r="K408" i="5"/>
  <c r="L449" i="5"/>
  <c r="W449" i="5"/>
  <c r="N453" i="5"/>
  <c r="N451" i="5" s="1"/>
  <c r="G601" i="5"/>
  <c r="O449" i="5"/>
  <c r="G768" i="5"/>
  <c r="T791" i="5"/>
  <c r="R453" i="5"/>
  <c r="R451" i="5" s="1"/>
  <c r="T256" i="5"/>
  <c r="U54" i="6" s="1"/>
  <c r="V140" i="6"/>
  <c r="V116" i="6" s="1"/>
  <c r="U454" i="5"/>
  <c r="S449" i="5"/>
  <c r="Q658" i="5"/>
  <c r="R143" i="6" s="1"/>
  <c r="Q364" i="5"/>
  <c r="L509" i="6"/>
  <c r="L96" i="6"/>
  <c r="R510" i="6"/>
  <c r="Q422" i="6"/>
  <c r="M352" i="5"/>
  <c r="T600" i="5"/>
  <c r="T558" i="5"/>
  <c r="U130" i="6" s="1"/>
  <c r="I53" i="5"/>
  <c r="N53" i="5"/>
  <c r="Q23" i="5"/>
  <c r="R28" i="6" s="1"/>
  <c r="M104" i="5"/>
  <c r="M336" i="5"/>
  <c r="R739" i="5"/>
  <c r="Q500" i="5"/>
  <c r="L103" i="5"/>
  <c r="L11" i="5" s="1"/>
  <c r="M16" i="6" s="1"/>
  <c r="G103" i="5"/>
  <c r="J140" i="5"/>
  <c r="G140" i="5"/>
  <c r="O202" i="5"/>
  <c r="P49" i="6" s="1"/>
  <c r="M202" i="5"/>
  <c r="N49" i="6" s="1"/>
  <c r="G228" i="5"/>
  <c r="O255" i="5"/>
  <c r="P53" i="6" s="1"/>
  <c r="G599" i="5"/>
  <c r="G610" i="5"/>
  <c r="R39" i="5"/>
  <c r="K509" i="6"/>
  <c r="I159" i="6"/>
  <c r="I157" i="6" s="1"/>
  <c r="O226" i="6"/>
  <c r="O341" i="6"/>
  <c r="P359" i="6"/>
  <c r="P377" i="6"/>
  <c r="O351" i="6"/>
  <c r="Q336" i="5"/>
  <c r="Q53" i="5"/>
  <c r="W846" i="5"/>
  <c r="X186" i="6" s="1"/>
  <c r="J738" i="5"/>
  <c r="J736" i="5" s="1"/>
  <c r="L388" i="6"/>
  <c r="P227" i="6"/>
  <c r="N335" i="6"/>
  <c r="N348" i="6"/>
  <c r="O335" i="6"/>
  <c r="O339" i="6"/>
  <c r="P357" i="6"/>
  <c r="Q353" i="6"/>
  <c r="U381" i="6"/>
  <c r="U477" i="6" s="1"/>
  <c r="U511" i="6" s="1"/>
  <c r="Q452" i="6"/>
  <c r="N364" i="6"/>
  <c r="O364" i="6"/>
  <c r="O348" i="6"/>
  <c r="P335" i="6"/>
  <c r="Q348" i="6"/>
  <c r="R462" i="6"/>
  <c r="R464" i="6" s="1"/>
  <c r="R460" i="6" s="1"/>
  <c r="Q222" i="6"/>
  <c r="N357" i="6"/>
  <c r="N344" i="6"/>
  <c r="O344" i="6"/>
  <c r="P364" i="6"/>
  <c r="M500" i="6"/>
  <c r="Q460" i="6"/>
  <c r="V349" i="6"/>
  <c r="N359" i="6"/>
  <c r="W215" i="6"/>
  <c r="W214" i="6" s="1"/>
  <c r="N220" i="6"/>
  <c r="O346" i="6"/>
  <c r="Q356" i="6"/>
  <c r="V304" i="6"/>
  <c r="V302" i="6" s="1"/>
  <c r="S302" i="6"/>
  <c r="L416" i="6"/>
  <c r="Q442" i="6"/>
  <c r="R263" i="6"/>
  <c r="R261" i="6" s="1"/>
  <c r="L420" i="6"/>
  <c r="L430" i="6"/>
  <c r="Q402" i="6"/>
  <c r="V452" i="6"/>
  <c r="Q448" i="6"/>
  <c r="N225" i="6"/>
  <c r="O225" i="6"/>
  <c r="Q220" i="6"/>
  <c r="Q362" i="6"/>
  <c r="P220" i="6"/>
  <c r="O360" i="6"/>
  <c r="S417" i="6"/>
  <c r="X377" i="6"/>
  <c r="N338" i="6"/>
  <c r="S372" i="5"/>
  <c r="W352" i="5"/>
  <c r="X60" i="6" s="1"/>
  <c r="L247" i="5"/>
  <c r="I352" i="5"/>
  <c r="Q247" i="5"/>
  <c r="R52" i="6" s="1"/>
  <c r="H39" i="5"/>
  <c r="V247" i="5"/>
  <c r="W52" i="6" s="1"/>
  <c r="J372" i="5"/>
  <c r="W56" i="6"/>
  <c r="W17" i="5"/>
  <c r="X22" i="6" s="1"/>
  <c r="X96" i="6" s="1"/>
  <c r="X509" i="6" s="1"/>
  <c r="G602" i="5"/>
  <c r="T508" i="5"/>
  <c r="U126" i="6" s="1"/>
  <c r="P848" i="5"/>
  <c r="Q186" i="6" s="1"/>
  <c r="Q159" i="6" s="1"/>
  <c r="Q157" i="6" s="1"/>
  <c r="K41" i="5"/>
  <c r="K39" i="5" s="1"/>
  <c r="W738" i="5"/>
  <c r="W736" i="5" s="1"/>
  <c r="G144" i="5"/>
  <c r="G128" i="5"/>
  <c r="X116" i="6"/>
  <c r="X107" i="6" s="1"/>
  <c r="X476" i="6" s="1"/>
  <c r="X508" i="6" s="1"/>
  <c r="G600" i="5"/>
  <c r="T874" i="5"/>
  <c r="X138" i="6"/>
  <c r="K43" i="5"/>
  <c r="K518" i="5"/>
  <c r="G120" i="5"/>
  <c r="Q202" i="5"/>
  <c r="R49" i="6" s="1"/>
  <c r="L201" i="5"/>
  <c r="L316" i="5"/>
  <c r="M57" i="6" s="1"/>
  <c r="G372" i="5"/>
  <c r="K600" i="5"/>
  <c r="Q600" i="5"/>
  <c r="R136" i="6" s="1"/>
  <c r="Q899" i="5"/>
  <c r="U738" i="5"/>
  <c r="G522" i="5"/>
  <c r="J694" i="5"/>
  <c r="H518" i="5"/>
  <c r="J295" i="5"/>
  <c r="W53" i="5"/>
  <c r="J658" i="5"/>
  <c r="J453" i="5" s="1"/>
  <c r="J451" i="5" s="1"/>
  <c r="G124" i="5"/>
  <c r="L360" i="5"/>
  <c r="V677" i="5"/>
  <c r="W145" i="6" s="1"/>
  <c r="W115" i="6" s="1"/>
  <c r="V256" i="5"/>
  <c r="W54" i="6" s="1"/>
  <c r="O336" i="5"/>
  <c r="P59" i="6" s="1"/>
  <c r="V59" i="6"/>
  <c r="U336" i="5"/>
  <c r="G88" i="5"/>
  <c r="L53" i="5"/>
  <c r="M33" i="6" s="1"/>
  <c r="W734" i="5"/>
  <c r="X155" i="6" s="1"/>
  <c r="V159" i="5"/>
  <c r="W45" i="6" s="1"/>
  <c r="G160" i="5"/>
  <c r="K202" i="5"/>
  <c r="I738" i="5"/>
  <c r="I736" i="5" s="1"/>
  <c r="G769" i="5"/>
  <c r="K738" i="5"/>
  <c r="K736" i="5" s="1"/>
  <c r="H738" i="5"/>
  <c r="G738" i="5" s="1"/>
  <c r="G736" i="5" s="1"/>
  <c r="G735" i="5" s="1"/>
  <c r="Q816" i="5"/>
  <c r="R180" i="6" s="1"/>
  <c r="Q862" i="5"/>
  <c r="Q910" i="5"/>
  <c r="Q266" i="5"/>
  <c r="U202" i="6"/>
  <c r="U54" i="5"/>
  <c r="U348" i="5"/>
  <c r="T614" i="5"/>
  <c r="U137" i="6" s="1"/>
  <c r="Q262" i="5"/>
  <c r="Q261" i="5" s="1"/>
  <c r="W29" i="6"/>
  <c r="W21" i="6" s="1"/>
  <c r="W93" i="6" s="1"/>
  <c r="M11" i="5"/>
  <c r="Q392" i="5"/>
  <c r="R68" i="6" s="1"/>
  <c r="X111" i="6"/>
  <c r="G746" i="5"/>
  <c r="R11" i="5"/>
  <c r="R372" i="5"/>
  <c r="V111" i="6"/>
  <c r="Q560" i="5"/>
  <c r="Q558" i="5" s="1"/>
  <c r="R130" i="6" s="1"/>
  <c r="Q508" i="5"/>
  <c r="R126" i="6" s="1"/>
  <c r="Q544" i="5"/>
  <c r="R129" i="6" s="1"/>
  <c r="G25" i="5"/>
  <c r="G43" i="5"/>
  <c r="G57" i="5"/>
  <c r="G210" i="5"/>
  <c r="Q224" i="5"/>
  <c r="R50" i="6" s="1"/>
  <c r="J224" i="5"/>
  <c r="P336" i="5"/>
  <c r="Q59" i="6" s="1"/>
  <c r="O352" i="5"/>
  <c r="P60" i="6" s="1"/>
  <c r="I380" i="5"/>
  <c r="G518" i="5"/>
  <c r="V734" i="5"/>
  <c r="W155" i="6" s="1"/>
  <c r="U255" i="5"/>
  <c r="V53" i="6" s="1"/>
  <c r="T544" i="5"/>
  <c r="U129" i="6" s="1"/>
  <c r="U76" i="5"/>
  <c r="U53" i="5" s="1"/>
  <c r="Q614" i="5"/>
  <c r="R137" i="6" s="1"/>
  <c r="J39" i="5"/>
  <c r="I336" i="5"/>
  <c r="I132" i="5"/>
  <c r="K132" i="5"/>
  <c r="W392" i="5"/>
  <c r="X68" i="6" s="1"/>
  <c r="Q40" i="5"/>
  <c r="Q43" i="5"/>
  <c r="T632" i="5"/>
  <c r="T622" i="5"/>
  <c r="T454" i="5" s="1"/>
  <c r="G202" i="5"/>
  <c r="J518" i="5"/>
  <c r="V23" i="5"/>
  <c r="I39" i="5"/>
  <c r="G112" i="5"/>
  <c r="G108" i="5"/>
  <c r="G111" i="5" s="1"/>
  <c r="L686" i="5"/>
  <c r="L678" i="5" s="1"/>
  <c r="O678" i="5"/>
  <c r="O453" i="5" s="1"/>
  <c r="O451" i="5" s="1"/>
  <c r="Q432" i="5"/>
  <c r="R432" i="5"/>
  <c r="Q528" i="5"/>
  <c r="Q519" i="5" s="1"/>
  <c r="Q518" i="5" s="1"/>
  <c r="R127" i="6" s="1"/>
  <c r="T519" i="5"/>
  <c r="Q718" i="5"/>
  <c r="U710" i="5"/>
  <c r="V150" i="6" s="1"/>
  <c r="Q808" i="5"/>
  <c r="Q800" i="5" s="1"/>
  <c r="T800" i="5"/>
  <c r="U177" i="6" s="1"/>
  <c r="R177" i="6" s="1"/>
  <c r="V847" i="5"/>
  <c r="W187" i="6" s="1"/>
  <c r="V878" i="5"/>
  <c r="G578" i="5"/>
  <c r="G576" i="5" s="1"/>
  <c r="I576" i="5"/>
  <c r="I453" i="5" s="1"/>
  <c r="I451" i="5" s="1"/>
  <c r="V65" i="6"/>
  <c r="R65" i="6" s="1"/>
  <c r="U17" i="5"/>
  <c r="V22" i="6" s="1"/>
  <c r="V96" i="6" s="1"/>
  <c r="V509" i="6" s="1"/>
  <c r="Q858" i="5"/>
  <c r="T847" i="5"/>
  <c r="T858" i="5"/>
  <c r="O15" i="5"/>
  <c r="K734" i="5"/>
  <c r="Q104" i="5"/>
  <c r="Q140" i="5"/>
  <c r="G193" i="5"/>
  <c r="G191" i="5" s="1"/>
  <c r="G198" i="5"/>
  <c r="L734" i="5"/>
  <c r="M155" i="6" s="1"/>
  <c r="S791" i="5"/>
  <c r="S739" i="5"/>
  <c r="T160" i="6" s="1"/>
  <c r="T107" i="6" s="1"/>
  <c r="T476" i="6" s="1"/>
  <c r="T508" i="6" s="1"/>
  <c r="Q360" i="5"/>
  <c r="Q353" i="5"/>
  <c r="Q352" i="5" s="1"/>
  <c r="R60" i="6" s="1"/>
  <c r="Q259" i="5"/>
  <c r="AC14" i="5"/>
  <c r="Q351" i="5"/>
  <c r="Q11" i="5" s="1"/>
  <c r="R16" i="6" s="1"/>
  <c r="AB14" i="5"/>
  <c r="S734" i="5"/>
  <c r="AE14" i="5"/>
  <c r="AF14" i="5"/>
  <c r="T613" i="5"/>
  <c r="Q615" i="5"/>
  <c r="Q613" i="5" s="1"/>
  <c r="M186" i="6"/>
  <c r="M159" i="6" s="1"/>
  <c r="M157" i="6" s="1"/>
  <c r="I255" i="5"/>
  <c r="K161" i="5"/>
  <c r="K159" i="5" s="1"/>
  <c r="G295" i="5"/>
  <c r="L394" i="5"/>
  <c r="L392" i="5" s="1"/>
  <c r="M68" i="6" s="1"/>
  <c r="L400" i="5"/>
  <c r="N738" i="5"/>
  <c r="N736" i="5" s="1"/>
  <c r="V900" i="5"/>
  <c r="S53" i="5"/>
  <c r="Q916" i="5"/>
  <c r="Q915" i="5"/>
  <c r="V120" i="5"/>
  <c r="V105" i="5"/>
  <c r="V104" i="5" s="1"/>
  <c r="W41" i="6" s="1"/>
  <c r="G22" i="5"/>
  <c r="G24" i="5"/>
  <c r="P11" i="5"/>
  <c r="V53" i="5"/>
  <c r="W33" i="6" s="1"/>
  <c r="G87" i="5"/>
  <c r="Q88" i="5"/>
  <c r="J104" i="5"/>
  <c r="N104" i="5"/>
  <c r="W11" i="5"/>
  <c r="X16" i="6" s="1"/>
  <c r="G158" i="5"/>
  <c r="W336" i="5"/>
  <c r="P17" i="5"/>
  <c r="Q22" i="6" s="1"/>
  <c r="P352" i="5"/>
  <c r="Q60" i="6" s="1"/>
  <c r="L352" i="5"/>
  <c r="M60" i="6" s="1"/>
  <c r="G380" i="5"/>
  <c r="I600" i="5"/>
  <c r="G687" i="5"/>
  <c r="Q791" i="5"/>
  <c r="R173" i="6" s="1"/>
  <c r="T11" i="5"/>
  <c r="S11" i="5"/>
  <c r="R791" i="5"/>
  <c r="U900" i="5"/>
  <c r="T739" i="5"/>
  <c r="Q901" i="5"/>
  <c r="K25" i="5"/>
  <c r="K23" i="5" s="1"/>
  <c r="J53" i="5"/>
  <c r="L88" i="5"/>
  <c r="V88" i="5"/>
  <c r="G92" i="5"/>
  <c r="N11" i="5"/>
  <c r="G105" i="5"/>
  <c r="G132" i="5"/>
  <c r="G173" i="5"/>
  <c r="G171" i="5" s="1"/>
  <c r="O11" i="5"/>
  <c r="P255" i="5"/>
  <c r="Q53" i="6" s="1"/>
  <c r="G296" i="5"/>
  <c r="G256" i="5" s="1"/>
  <c r="L255" i="5"/>
  <c r="M53" i="6" s="1"/>
  <c r="H316" i="5"/>
  <c r="J316" i="5"/>
  <c r="I364" i="5"/>
  <c r="Q372" i="5"/>
  <c r="R63" i="6" s="1"/>
  <c r="H408" i="5"/>
  <c r="L408" i="5"/>
  <c r="M69" i="6" s="1"/>
  <c r="W111" i="6"/>
  <c r="L476" i="5"/>
  <c r="M122" i="6" s="1"/>
  <c r="R846" i="5"/>
  <c r="U11" i="5"/>
  <c r="T901" i="5"/>
  <c r="U194" i="6" s="1"/>
  <c r="U193" i="6" s="1"/>
  <c r="V854" i="5"/>
  <c r="J23" i="5"/>
  <c r="I17" i="5"/>
  <c r="J88" i="5"/>
  <c r="H140" i="5"/>
  <c r="I159" i="5"/>
  <c r="N159" i="5"/>
  <c r="O45" i="6" s="1"/>
  <c r="J255" i="5"/>
  <c r="G316" i="5"/>
  <c r="J336" i="5"/>
  <c r="R17" i="5"/>
  <c r="T53" i="5"/>
  <c r="W256" i="5"/>
  <c r="W15" i="5" s="1"/>
  <c r="J352" i="5"/>
  <c r="H372" i="5"/>
  <c r="V352" i="5"/>
  <c r="W60" i="6" s="1"/>
  <c r="H500" i="6"/>
  <c r="N227" i="6"/>
  <c r="N222" i="6"/>
  <c r="P226" i="6"/>
  <c r="Q227" i="6"/>
  <c r="P347" i="6"/>
  <c r="P338" i="6"/>
  <c r="Q360" i="6"/>
  <c r="Q347" i="6"/>
  <c r="Q338" i="6"/>
  <c r="S326" i="6"/>
  <c r="S324" i="6" s="1"/>
  <c r="R444" i="6"/>
  <c r="L18" i="6"/>
  <c r="L92" i="6" s="1"/>
  <c r="L434" i="6"/>
  <c r="N226" i="6"/>
  <c r="O222" i="6"/>
  <c r="N352" i="6"/>
  <c r="N343" i="6"/>
  <c r="O356" i="6"/>
  <c r="X33" i="6"/>
  <c r="R456" i="6"/>
  <c r="X215" i="6"/>
  <c r="X214" i="6" s="1"/>
  <c r="L467" i="6"/>
  <c r="I115" i="6"/>
  <c r="I18" i="6"/>
  <c r="I92" i="6" s="1"/>
  <c r="L390" i="6"/>
  <c r="O362" i="6"/>
  <c r="P352" i="6"/>
  <c r="P343" i="6"/>
  <c r="Q352" i="6"/>
  <c r="Q343" i="6"/>
  <c r="M326" i="6"/>
  <c r="M324" i="6" s="1"/>
  <c r="T381" i="6"/>
  <c r="T477" i="6" s="1"/>
  <c r="T511" i="6" s="1"/>
  <c r="W138" i="6"/>
  <c r="N377" i="6"/>
  <c r="H115" i="6"/>
  <c r="H113" i="6" s="1"/>
  <c r="H112" i="6" s="1"/>
  <c r="L112" i="6" s="1"/>
  <c r="L377" i="6"/>
  <c r="L448" i="6"/>
  <c r="Q390" i="6"/>
  <c r="N342" i="6"/>
  <c r="N337" i="6"/>
  <c r="O355" i="6"/>
  <c r="O350" i="6"/>
  <c r="P342" i="6"/>
  <c r="P337" i="6"/>
  <c r="Q342" i="6"/>
  <c r="Q337" i="6"/>
  <c r="R285" i="6"/>
  <c r="J18" i="6"/>
  <c r="J92" i="6" s="1"/>
  <c r="J115" i="6"/>
  <c r="J113" i="6" s="1"/>
  <c r="H21" i="6"/>
  <c r="H94" i="6" s="1"/>
  <c r="R500" i="6"/>
  <c r="Q438" i="6"/>
  <c r="P229" i="6"/>
  <c r="Q228" i="6"/>
  <c r="Q223" i="6"/>
  <c r="N362" i="6"/>
  <c r="N356" i="6"/>
  <c r="N351" i="6"/>
  <c r="N346" i="6"/>
  <c r="N341" i="6"/>
  <c r="O359" i="6"/>
  <c r="P351" i="6"/>
  <c r="P346" i="6"/>
  <c r="P341" i="6"/>
  <c r="Q355" i="6"/>
  <c r="R448" i="6"/>
  <c r="J509" i="6"/>
  <c r="O228" i="6"/>
  <c r="O223" i="6"/>
  <c r="N360" i="6"/>
  <c r="N355" i="6"/>
  <c r="N350" i="6"/>
  <c r="O337" i="6"/>
  <c r="P350" i="6"/>
  <c r="Q388" i="6"/>
  <c r="Q406" i="6"/>
  <c r="Q444" i="6"/>
  <c r="S381" i="6"/>
  <c r="T17" i="5"/>
  <c r="U22" i="6" s="1"/>
  <c r="U96" i="6" s="1"/>
  <c r="U509" i="6" s="1"/>
  <c r="V17" i="5"/>
  <c r="K15" i="5"/>
  <c r="Q132" i="5"/>
  <c r="J247" i="5"/>
  <c r="G299" i="5"/>
  <c r="G336" i="5"/>
  <c r="K352" i="5"/>
  <c r="H364" i="5"/>
  <c r="J364" i="5"/>
  <c r="K372" i="5"/>
  <c r="J380" i="5"/>
  <c r="V392" i="5"/>
  <c r="W68" i="6" s="1"/>
  <c r="O17" i="5"/>
  <c r="P22" i="6" s="1"/>
  <c r="H132" i="5"/>
  <c r="L364" i="5"/>
  <c r="I372" i="5"/>
  <c r="H380" i="5"/>
  <c r="H15" i="5"/>
  <c r="G163" i="5"/>
  <c r="X52" i="6"/>
  <c r="K247" i="5"/>
  <c r="L372" i="5"/>
  <c r="K380" i="5"/>
  <c r="L380" i="5"/>
  <c r="S15" i="5"/>
  <c r="S13" i="5" s="1"/>
  <c r="I23" i="5"/>
  <c r="J17" i="5"/>
  <c r="J132" i="5"/>
  <c r="I247" i="5"/>
  <c r="H17" i="5"/>
  <c r="G17" i="5" s="1"/>
  <c r="H88" i="5"/>
  <c r="I88" i="5"/>
  <c r="G161" i="5"/>
  <c r="I392" i="5"/>
  <c r="G270" i="5"/>
  <c r="G291" i="5"/>
  <c r="G408" i="5"/>
  <c r="W193" i="6"/>
  <c r="G167" i="5"/>
  <c r="G48" i="5"/>
  <c r="G47" i="5" s="1"/>
  <c r="G31" i="5"/>
  <c r="W16" i="6"/>
  <c r="K50" i="5"/>
  <c r="K11" i="5"/>
  <c r="G11" i="5" s="1"/>
  <c r="G52" i="5"/>
  <c r="L664" i="5"/>
  <c r="L658" i="5" s="1"/>
  <c r="M143" i="6" s="1"/>
  <c r="P658" i="5"/>
  <c r="P453" i="5" s="1"/>
  <c r="P451" i="5" s="1"/>
  <c r="S126" i="6"/>
  <c r="S115" i="6" s="1"/>
  <c r="Q631" i="5"/>
  <c r="Q619" i="5" s="1"/>
  <c r="T619" i="5"/>
  <c r="V882" i="5"/>
  <c r="V848" i="5"/>
  <c r="X136" i="6"/>
  <c r="P15" i="5"/>
  <c r="N15" i="5"/>
  <c r="K259" i="5"/>
  <c r="K255" i="5" s="1"/>
  <c r="O53" i="5"/>
  <c r="G53" i="5"/>
  <c r="G340" i="5"/>
  <c r="G106" i="5"/>
  <c r="K270" i="5"/>
  <c r="K48" i="5"/>
  <c r="K47" i="5" s="1"/>
  <c r="L133" i="5"/>
  <c r="L132" i="5" s="1"/>
  <c r="M42" i="6" s="1"/>
  <c r="L136" i="5"/>
  <c r="H247" i="5"/>
  <c r="K427" i="5"/>
  <c r="G428" i="5"/>
  <c r="G427" i="5" s="1"/>
  <c r="M111" i="6"/>
  <c r="R16" i="5"/>
  <c r="R255" i="5"/>
  <c r="S53" i="6" s="1"/>
  <c r="W177" i="6"/>
  <c r="W176" i="6" s="1"/>
  <c r="V799" i="5"/>
  <c r="I15" i="5"/>
  <c r="G39" i="5"/>
  <c r="N17" i="5"/>
  <c r="M15" i="5"/>
  <c r="L144" i="5"/>
  <c r="L141" i="5"/>
  <c r="L140" i="5" s="1"/>
  <c r="G254" i="5"/>
  <c r="N352" i="5"/>
  <c r="G398" i="5"/>
  <c r="K394" i="5"/>
  <c r="K392" i="5" s="1"/>
  <c r="V518" i="5"/>
  <c r="W127" i="6" s="1"/>
  <c r="H104" i="5"/>
  <c r="J15" i="5"/>
  <c r="M53" i="5"/>
  <c r="Q17" i="5"/>
  <c r="R22" i="6" s="1"/>
  <c r="R96" i="6" s="1"/>
  <c r="K291" i="5"/>
  <c r="V39" i="5"/>
  <c r="W31" i="6" s="1"/>
  <c r="W20" i="6" s="1"/>
  <c r="M17" i="5"/>
  <c r="G297" i="5"/>
  <c r="G259" i="5" s="1"/>
  <c r="L299" i="5"/>
  <c r="G304" i="5"/>
  <c r="G324" i="5"/>
  <c r="V136" i="6"/>
  <c r="U600" i="5"/>
  <c r="S160" i="6"/>
  <c r="S107" i="6" s="1"/>
  <c r="S476" i="6" s="1"/>
  <c r="S508" i="6" s="1"/>
  <c r="R736" i="5"/>
  <c r="U174" i="6"/>
  <c r="U104" i="5"/>
  <c r="V41" i="6"/>
  <c r="S738" i="5"/>
  <c r="R734" i="5"/>
  <c r="T900" i="5"/>
  <c r="R159" i="5"/>
  <c r="R15" i="5"/>
  <c r="U56" i="6"/>
  <c r="T16" i="5"/>
  <c r="U24" i="6" s="1"/>
  <c r="U95" i="6" s="1"/>
  <c r="T255" i="5"/>
  <c r="U53" i="6" s="1"/>
  <c r="U127" i="6"/>
  <c r="T518" i="5"/>
  <c r="T734" i="5"/>
  <c r="U155" i="6" s="1"/>
  <c r="U846" i="5"/>
  <c r="V187" i="6"/>
  <c r="V159" i="6" s="1"/>
  <c r="S846" i="5"/>
  <c r="T187" i="6"/>
  <c r="T186" i="6" s="1"/>
  <c r="Q712" i="5"/>
  <c r="Q710" i="5" s="1"/>
  <c r="R150" i="6" s="1"/>
  <c r="T710" i="5"/>
  <c r="U150" i="6" s="1"/>
  <c r="K88" i="5"/>
  <c r="H23" i="5"/>
  <c r="V380" i="5"/>
  <c r="W66" i="6" s="1"/>
  <c r="T54" i="6"/>
  <c r="T20" i="6" s="1"/>
  <c r="T94" i="6" s="1"/>
  <c r="S255" i="5"/>
  <c r="T53" i="6" s="1"/>
  <c r="V188" i="6"/>
  <c r="U739" i="5"/>
  <c r="R35" i="6"/>
  <c r="R33" i="6" s="1"/>
  <c r="R21" i="6"/>
  <c r="R93" i="6" s="1"/>
  <c r="Q54" i="5"/>
  <c r="U360" i="5"/>
  <c r="U353" i="5"/>
  <c r="U352" i="5" s="1"/>
  <c r="V60" i="6" s="1"/>
  <c r="S620" i="5"/>
  <c r="T160" i="5"/>
  <c r="Q168" i="5"/>
  <c r="T167" i="5"/>
  <c r="U621" i="5"/>
  <c r="U453" i="5" s="1"/>
  <c r="U451" i="5" s="1"/>
  <c r="U628" i="5"/>
  <c r="Q629" i="5"/>
  <c r="M904" i="5"/>
  <c r="M902" i="5" s="1"/>
  <c r="W676" i="5"/>
  <c r="W453" i="5" s="1"/>
  <c r="W451" i="5" s="1"/>
  <c r="W450" i="5" s="1"/>
  <c r="U16" i="5"/>
  <c r="V24" i="6" s="1"/>
  <c r="V95" i="6" s="1"/>
  <c r="U372" i="5"/>
  <c r="V63" i="6" s="1"/>
  <c r="T372" i="5"/>
  <c r="U63" i="6" s="1"/>
  <c r="S20" i="6"/>
  <c r="O159" i="6"/>
  <c r="O157" i="6" s="1"/>
  <c r="U33" i="6"/>
  <c r="H156" i="6"/>
  <c r="L218" i="6"/>
  <c r="L209" i="6" s="1"/>
  <c r="H209" i="6"/>
  <c r="H207" i="6" s="1"/>
  <c r="H206" i="6" s="1"/>
  <c r="W439" i="6"/>
  <c r="W379" i="6"/>
  <c r="V379" i="6"/>
  <c r="V385" i="6"/>
  <c r="R333" i="6"/>
  <c r="R332" i="6" s="1"/>
  <c r="V350" i="6"/>
  <c r="H22" i="6"/>
  <c r="H96" i="6" s="1"/>
  <c r="V311" i="6"/>
  <c r="V310" i="6" s="1"/>
  <c r="R310" i="6"/>
  <c r="Q377" i="6"/>
  <c r="K115" i="6"/>
  <c r="K18" i="6"/>
  <c r="K92" i="6" s="1"/>
  <c r="I509" i="6"/>
  <c r="M377" i="6"/>
  <c r="M477" i="6"/>
  <c r="M511" i="6" s="1"/>
  <c r="N336" i="6"/>
  <c r="Q336" i="6"/>
  <c r="P336" i="6"/>
  <c r="O336" i="6"/>
  <c r="N340" i="6"/>
  <c r="Q340" i="6"/>
  <c r="P340" i="6"/>
  <c r="O340" i="6"/>
  <c r="O345" i="6"/>
  <c r="N345" i="6"/>
  <c r="Q345" i="6"/>
  <c r="P345" i="6"/>
  <c r="O349" i="6"/>
  <c r="N349" i="6"/>
  <c r="Q349" i="6"/>
  <c r="P349" i="6"/>
  <c r="P354" i="6"/>
  <c r="O354" i="6"/>
  <c r="N354" i="6"/>
  <c r="P358" i="6"/>
  <c r="O358" i="6"/>
  <c r="N358" i="6"/>
  <c r="O361" i="6"/>
  <c r="N361" i="6"/>
  <c r="Q361" i="6"/>
  <c r="P361" i="6"/>
  <c r="U333" i="6"/>
  <c r="U332" i="6" s="1"/>
  <c r="U326" i="6" s="1"/>
  <c r="U324" i="6" s="1"/>
  <c r="O218" i="6"/>
  <c r="Q218" i="6"/>
  <c r="N218" i="6"/>
  <c r="M209" i="6"/>
  <c r="M207" i="6" s="1"/>
  <c r="M206" i="6" s="1"/>
  <c r="P218" i="6"/>
  <c r="Q224" i="6"/>
  <c r="O224" i="6"/>
  <c r="P224" i="6"/>
  <c r="N224" i="6"/>
  <c r="Q229" i="6"/>
  <c r="O229" i="6"/>
  <c r="T333" i="6"/>
  <c r="T332" i="6" s="1"/>
  <c r="T326" i="6" s="1"/>
  <c r="T324" i="6" s="1"/>
  <c r="V335" i="6"/>
  <c r="V444" i="6"/>
  <c r="K460" i="6"/>
  <c r="L460" i="6" s="1"/>
  <c r="R379" i="6"/>
  <c r="R389" i="6"/>
  <c r="R209" i="6"/>
  <c r="I477" i="6"/>
  <c r="I511" i="6" s="1"/>
  <c r="N115" i="6"/>
  <c r="N113" i="6" s="1"/>
  <c r="R64" i="6"/>
  <c r="O377" i="6"/>
  <c r="P115" i="6"/>
  <c r="P113" i="6" s="1"/>
  <c r="X159" i="6"/>
  <c r="X157" i="6" s="1"/>
  <c r="V193" i="6"/>
  <c r="T115" i="6"/>
  <c r="U160" i="6"/>
  <c r="V33" i="6"/>
  <c r="Q449" i="5" l="1"/>
  <c r="T449" i="5"/>
  <c r="V15" i="5"/>
  <c r="Q734" i="5"/>
  <c r="R155" i="6" s="1"/>
  <c r="W735" i="5"/>
  <c r="I106" i="6"/>
  <c r="AA375" i="6"/>
  <c r="T92" i="6"/>
  <c r="L453" i="5"/>
  <c r="L451" i="5" s="1"/>
  <c r="L450" i="5" s="1"/>
  <c r="S736" i="5"/>
  <c r="G104" i="5"/>
  <c r="V255" i="5"/>
  <c r="W53" i="6" s="1"/>
  <c r="W113" i="6"/>
  <c r="W112" i="6" s="1"/>
  <c r="R125" i="6"/>
  <c r="R111" i="6"/>
  <c r="Q807" i="5"/>
  <c r="Q799" i="5" s="1"/>
  <c r="L17" i="5"/>
  <c r="M22" i="6" s="1"/>
  <c r="M96" i="6" s="1"/>
  <c r="M509" i="6" s="1"/>
  <c r="V451" i="5"/>
  <c r="V450" i="5" s="1"/>
  <c r="H451" i="5"/>
  <c r="G453" i="5"/>
  <c r="G451" i="5" s="1"/>
  <c r="G450" i="5" s="1"/>
  <c r="T453" i="5"/>
  <c r="T451" i="5" s="1"/>
  <c r="U111" i="6"/>
  <c r="Q256" i="5"/>
  <c r="R54" i="6" s="1"/>
  <c r="S18" i="6"/>
  <c r="S94" i="6"/>
  <c r="P96" i="6"/>
  <c r="P509" i="6" s="1"/>
  <c r="Q96" i="6"/>
  <c r="Q509" i="6" s="1"/>
  <c r="R509" i="6"/>
  <c r="Q265" i="5"/>
  <c r="T377" i="6"/>
  <c r="T738" i="5"/>
  <c r="T736" i="5" s="1"/>
  <c r="P738" i="5"/>
  <c r="P736" i="5" s="1"/>
  <c r="J106" i="6"/>
  <c r="U377" i="6"/>
  <c r="O326" i="6"/>
  <c r="O324" i="6" s="1"/>
  <c r="W28" i="6"/>
  <c r="I475" i="6"/>
  <c r="I104" i="6"/>
  <c r="I113" i="6"/>
  <c r="W13" i="5"/>
  <c r="W12" i="5" s="1"/>
  <c r="V20" i="6"/>
  <c r="G159" i="5"/>
  <c r="G23" i="5"/>
  <c r="U176" i="6"/>
  <c r="R176" i="6" s="1"/>
  <c r="I13" i="5"/>
  <c r="V738" i="5"/>
  <c r="V13" i="5"/>
  <c r="V12" i="5" s="1"/>
  <c r="O13" i="5"/>
  <c r="H736" i="5"/>
  <c r="P21" i="6"/>
  <c r="P94" i="6" s="1"/>
  <c r="W94" i="6"/>
  <c r="J13" i="5"/>
  <c r="R13" i="5"/>
  <c r="X54" i="6"/>
  <c r="X20" i="6" s="1"/>
  <c r="X94" i="6" s="1"/>
  <c r="W255" i="5"/>
  <c r="X53" i="6" s="1"/>
  <c r="U187" i="6"/>
  <c r="U186" i="6" s="1"/>
  <c r="T846" i="5"/>
  <c r="Q622" i="5"/>
  <c r="Q454" i="5" s="1"/>
  <c r="Q632" i="5"/>
  <c r="Q900" i="5"/>
  <c r="R194" i="6"/>
  <c r="R193" i="6" s="1"/>
  <c r="Q847" i="5"/>
  <c r="Q738" i="5" s="1"/>
  <c r="Q736" i="5" s="1"/>
  <c r="Q735" i="5" s="1"/>
  <c r="Q16" i="5"/>
  <c r="R24" i="6" s="1"/>
  <c r="R95" i="6" s="1"/>
  <c r="R56" i="6"/>
  <c r="T620" i="5"/>
  <c r="U140" i="6"/>
  <c r="Q39" i="5"/>
  <c r="R31" i="6"/>
  <c r="L735" i="5"/>
  <c r="L15" i="5"/>
  <c r="M21" i="6" s="1"/>
  <c r="M94" i="6" s="1"/>
  <c r="K17" i="5"/>
  <c r="K13" i="5" s="1"/>
  <c r="T159" i="6"/>
  <c r="T157" i="6" s="1"/>
  <c r="P209" i="6"/>
  <c r="P207" i="6" s="1"/>
  <c r="O209" i="6"/>
  <c r="O207" i="6" s="1"/>
  <c r="S377" i="6"/>
  <c r="S477" i="6"/>
  <c r="S511" i="6" s="1"/>
  <c r="U115" i="6"/>
  <c r="W159" i="6"/>
  <c r="W106" i="6" s="1"/>
  <c r="S157" i="6"/>
  <c r="T18" i="6"/>
  <c r="U173" i="6"/>
  <c r="V186" i="6"/>
  <c r="AB116" i="6"/>
  <c r="H13" i="5"/>
  <c r="G13" i="5" s="1"/>
  <c r="G12" i="5" s="1"/>
  <c r="K12" i="5" s="1"/>
  <c r="G15" i="5"/>
  <c r="X115" i="6"/>
  <c r="U15" i="5"/>
  <c r="U13" i="5" s="1"/>
  <c r="G255" i="5"/>
  <c r="M13" i="5"/>
  <c r="N21" i="6"/>
  <c r="N94" i="6" s="1"/>
  <c r="N92" i="6" s="1"/>
  <c r="Q628" i="5"/>
  <c r="Q621" i="5"/>
  <c r="Q453" i="5" s="1"/>
  <c r="V139" i="6"/>
  <c r="U620" i="5"/>
  <c r="Q160" i="5"/>
  <c r="Q159" i="5" s="1"/>
  <c r="R45" i="6" s="1"/>
  <c r="Q167" i="5"/>
  <c r="Q143" i="6"/>
  <c r="Q115" i="6" s="1"/>
  <c r="Q113" i="6" s="1"/>
  <c r="N193" i="6"/>
  <c r="N159" i="6" s="1"/>
  <c r="N157" i="6" s="1"/>
  <c r="M738" i="5"/>
  <c r="M736" i="5" s="1"/>
  <c r="T15" i="5"/>
  <c r="T13" i="5" s="1"/>
  <c r="T159" i="5"/>
  <c r="U45" i="6" s="1"/>
  <c r="U20" i="6" s="1"/>
  <c r="V160" i="6"/>
  <c r="V157" i="6" s="1"/>
  <c r="U736" i="5"/>
  <c r="O21" i="6"/>
  <c r="O94" i="6" s="1"/>
  <c r="O92" i="6" s="1"/>
  <c r="N13" i="5"/>
  <c r="G394" i="5"/>
  <c r="G392" i="5" s="1"/>
  <c r="G396" i="5"/>
  <c r="P13" i="5"/>
  <c r="Q21" i="6"/>
  <c r="Q94" i="6" s="1"/>
  <c r="V739" i="5"/>
  <c r="V846" i="5"/>
  <c r="W188" i="6"/>
  <c r="V333" i="6"/>
  <c r="V332" i="6" s="1"/>
  <c r="V326" i="6" s="1"/>
  <c r="V324" i="6" s="1"/>
  <c r="S113" i="6"/>
  <c r="S106" i="6"/>
  <c r="N326" i="6"/>
  <c r="N324" i="6" s="1"/>
  <c r="N209" i="6"/>
  <c r="N207" i="6" s="1"/>
  <c r="P326" i="6"/>
  <c r="K113" i="6"/>
  <c r="K106" i="6"/>
  <c r="H18" i="6"/>
  <c r="H92" i="6" s="1"/>
  <c r="H509" i="6"/>
  <c r="W381" i="6"/>
  <c r="W477" i="6" s="1"/>
  <c r="W511" i="6" s="1"/>
  <c r="T113" i="6"/>
  <c r="R511" i="6"/>
  <c r="AL509" i="6" s="1"/>
  <c r="Q209" i="6"/>
  <c r="Q326" i="6"/>
  <c r="Q324" i="6" s="1"/>
  <c r="J104" i="6"/>
  <c r="J475" i="6"/>
  <c r="R326" i="6"/>
  <c r="R324" i="6" s="1"/>
  <c r="R331" i="6"/>
  <c r="H106" i="6"/>
  <c r="Y219" i="6"/>
  <c r="V209" i="6"/>
  <c r="AA246" i="6"/>
  <c r="R207" i="6"/>
  <c r="R206" i="6" s="1"/>
  <c r="V381" i="6"/>
  <c r="V477" i="6" s="1"/>
  <c r="V511" i="6" s="1"/>
  <c r="L207" i="6"/>
  <c r="L206" i="6" s="1"/>
  <c r="L106" i="6"/>
  <c r="AD117" i="6"/>
  <c r="X156" i="6"/>
  <c r="S92" i="6" l="1"/>
  <c r="W92" i="6"/>
  <c r="Q451" i="5"/>
  <c r="Q450" i="5" s="1"/>
  <c r="Q255" i="5"/>
  <c r="R53" i="6" s="1"/>
  <c r="Q92" i="6"/>
  <c r="X92" i="6"/>
  <c r="M92" i="6"/>
  <c r="P92" i="6"/>
  <c r="U18" i="6"/>
  <c r="U94" i="6"/>
  <c r="U92" i="6" s="1"/>
  <c r="V18" i="6"/>
  <c r="V94" i="6"/>
  <c r="V92" i="6" s="1"/>
  <c r="V736" i="5"/>
  <c r="V735" i="5" s="1"/>
  <c r="W18" i="6"/>
  <c r="W17" i="6" s="1"/>
  <c r="I473" i="6"/>
  <c r="I507" i="6"/>
  <c r="I506" i="6" s="1"/>
  <c r="R20" i="6"/>
  <c r="R94" i="6" s="1"/>
  <c r="R92" i="6" s="1"/>
  <c r="U159" i="6"/>
  <c r="U157" i="6" s="1"/>
  <c r="Q15" i="5"/>
  <c r="Q13" i="5" s="1"/>
  <c r="Q12" i="5" s="1"/>
  <c r="X18" i="6"/>
  <c r="X17" i="6" s="1"/>
  <c r="L13" i="5"/>
  <c r="L12" i="5" s="1"/>
  <c r="R187" i="6"/>
  <c r="Q846" i="5"/>
  <c r="R116" i="6"/>
  <c r="R107" i="6" s="1"/>
  <c r="R476" i="6" s="1"/>
  <c r="R508" i="6" s="1"/>
  <c r="Z506" i="6" s="1"/>
  <c r="R140" i="6"/>
  <c r="U116" i="6"/>
  <c r="U107" i="6" s="1"/>
  <c r="U476" i="6" s="1"/>
  <c r="U508" i="6" s="1"/>
  <c r="U138" i="6"/>
  <c r="T106" i="6"/>
  <c r="T104" i="6" s="1"/>
  <c r="W377" i="6"/>
  <c r="O106" i="6"/>
  <c r="O104" i="6" s="1"/>
  <c r="V115" i="6"/>
  <c r="V113" i="6" s="1"/>
  <c r="V138" i="6"/>
  <c r="V107" i="6"/>
  <c r="V476" i="6" s="1"/>
  <c r="V508" i="6" s="1"/>
  <c r="M115" i="6"/>
  <c r="Q620" i="5"/>
  <c r="R139" i="6"/>
  <c r="W160" i="6"/>
  <c r="W186" i="6"/>
  <c r="M18" i="6"/>
  <c r="M17" i="6" s="1"/>
  <c r="X113" i="6"/>
  <c r="X106" i="6"/>
  <c r="S104" i="6"/>
  <c r="S475" i="6"/>
  <c r="S507" i="6" s="1"/>
  <c r="J473" i="6"/>
  <c r="J507" i="6"/>
  <c r="J506" i="6" s="1"/>
  <c r="H17" i="6"/>
  <c r="L17" i="6" s="1"/>
  <c r="N106" i="6"/>
  <c r="L475" i="6"/>
  <c r="L104" i="6"/>
  <c r="H104" i="6"/>
  <c r="H475" i="6"/>
  <c r="K104" i="6"/>
  <c r="K475" i="6"/>
  <c r="T220" i="6"/>
  <c r="T223" i="6"/>
  <c r="T229" i="6"/>
  <c r="T238" i="6"/>
  <c r="T237" i="6"/>
  <c r="T218" i="6"/>
  <c r="U232" i="6"/>
  <c r="U222" i="6"/>
  <c r="U239" i="6"/>
  <c r="U223" i="6"/>
  <c r="T244" i="6"/>
  <c r="T232" i="6"/>
  <c r="T240" i="6"/>
  <c r="T239" i="6"/>
  <c r="T224" i="6"/>
  <c r="T245" i="6"/>
  <c r="T235" i="6"/>
  <c r="T247" i="6"/>
  <c r="T246" i="6"/>
  <c r="T243" i="6"/>
  <c r="T234" i="6"/>
  <c r="U218" i="6"/>
  <c r="U240" i="6"/>
  <c r="U233" i="6"/>
  <c r="U246" i="6"/>
  <c r="U244" i="6"/>
  <c r="U237" i="6"/>
  <c r="T222" i="6"/>
  <c r="T231" i="6"/>
  <c r="T228" i="6"/>
  <c r="T242" i="6"/>
  <c r="T233" i="6"/>
  <c r="T226" i="6"/>
  <c r="U224" i="6"/>
  <c r="S231" i="6"/>
  <c r="T221" i="6"/>
  <c r="T241" i="6"/>
  <c r="U247" i="6"/>
  <c r="S247" i="6"/>
  <c r="S220" i="6"/>
  <c r="U235" i="6"/>
  <c r="U236" i="6"/>
  <c r="S224" i="6"/>
  <c r="S238" i="6"/>
  <c r="S246" i="6"/>
  <c r="S229" i="6"/>
  <c r="U245" i="6"/>
  <c r="S233" i="6"/>
  <c r="V233" i="6" s="1"/>
  <c r="S234" i="6"/>
  <c r="T227" i="6"/>
  <c r="T236" i="6"/>
  <c r="S222" i="6"/>
  <c r="V222" i="6" s="1"/>
  <c r="U242" i="6"/>
  <c r="S237" i="6"/>
  <c r="U228" i="6"/>
  <c r="U234" i="6"/>
  <c r="S240" i="6"/>
  <c r="S236" i="6"/>
  <c r="U220" i="6"/>
  <c r="U238" i="6"/>
  <c r="S242" i="6"/>
  <c r="U243" i="6"/>
  <c r="S223" i="6"/>
  <c r="S244" i="6"/>
  <c r="T225" i="6"/>
  <c r="T230" i="6"/>
  <c r="U221" i="6"/>
  <c r="S235" i="6"/>
  <c r="S232" i="6"/>
  <c r="U225" i="6"/>
  <c r="S245" i="6"/>
  <c r="S227" i="6"/>
  <c r="S219" i="6"/>
  <c r="S243" i="6"/>
  <c r="U231" i="6"/>
  <c r="U219" i="6"/>
  <c r="S225" i="6"/>
  <c r="S239" i="6"/>
  <c r="T219" i="6"/>
  <c r="S241" i="6"/>
  <c r="S230" i="6"/>
  <c r="U230" i="6"/>
  <c r="U229" i="6"/>
  <c r="U226" i="6"/>
  <c r="S221" i="6"/>
  <c r="S226" i="6"/>
  <c r="S228" i="6"/>
  <c r="U227" i="6"/>
  <c r="U241" i="6"/>
  <c r="S218" i="6"/>
  <c r="V218" i="6" s="1"/>
  <c r="V377" i="6"/>
  <c r="V207" i="6"/>
  <c r="AA250" i="6"/>
  <c r="AA365" i="6"/>
  <c r="R323" i="6"/>
  <c r="Q207" i="6"/>
  <c r="Q106" i="6"/>
  <c r="R377" i="6"/>
  <c r="P324" i="6"/>
  <c r="P106" i="6"/>
  <c r="W475" i="6"/>
  <c r="W507" i="6" s="1"/>
  <c r="AM506" i="6" l="1"/>
  <c r="AL510" i="6"/>
  <c r="V228" i="6"/>
  <c r="V235" i="6"/>
  <c r="V223" i="6"/>
  <c r="V239" i="6"/>
  <c r="V243" i="6"/>
  <c r="V245" i="6"/>
  <c r="V224" i="6"/>
  <c r="V247" i="6"/>
  <c r="V226" i="6"/>
  <c r="V241" i="6"/>
  <c r="V231" i="6"/>
  <c r="V236" i="6"/>
  <c r="V229" i="6"/>
  <c r="V221" i="6"/>
  <c r="V230" i="6"/>
  <c r="V225" i="6"/>
  <c r="V219" i="6"/>
  <c r="V232" i="6"/>
  <c r="V242" i="6"/>
  <c r="V240" i="6"/>
  <c r="V234" i="6"/>
  <c r="V246" i="6"/>
  <c r="V237" i="6"/>
  <c r="V227" i="6"/>
  <c r="V244" i="6"/>
  <c r="V238" i="6"/>
  <c r="V220" i="6"/>
  <c r="U106" i="6"/>
  <c r="U104" i="6" s="1"/>
  <c r="AA507" i="6"/>
  <c r="R18" i="6"/>
  <c r="R17" i="6" s="1"/>
  <c r="U113" i="6"/>
  <c r="T475" i="6"/>
  <c r="R186" i="6"/>
  <c r="R159" i="6"/>
  <c r="R157" i="6" s="1"/>
  <c r="R138" i="6"/>
  <c r="V106" i="6"/>
  <c r="V475" i="6" s="1"/>
  <c r="V507" i="6" s="1"/>
  <c r="O475" i="6"/>
  <c r="O473" i="6" s="1"/>
  <c r="X104" i="6"/>
  <c r="X475" i="6"/>
  <c r="AD116" i="6"/>
  <c r="AD118" i="6" s="1"/>
  <c r="AD120" i="6" s="1"/>
  <c r="X112" i="6"/>
  <c r="R115" i="6"/>
  <c r="W107" i="6"/>
  <c r="W157" i="6"/>
  <c r="M113" i="6"/>
  <c r="M112" i="6" s="1"/>
  <c r="M106" i="6"/>
  <c r="S473" i="6"/>
  <c r="Q475" i="6"/>
  <c r="Q104" i="6"/>
  <c r="P475" i="6"/>
  <c r="P104" i="6"/>
  <c r="K473" i="6"/>
  <c r="K507" i="6"/>
  <c r="K506" i="6" s="1"/>
  <c r="H473" i="6"/>
  <c r="H507" i="6"/>
  <c r="H506" i="6" s="1"/>
  <c r="N104" i="6"/>
  <c r="N475" i="6"/>
  <c r="S217" i="6"/>
  <c r="U217" i="6"/>
  <c r="T217" i="6"/>
  <c r="L473" i="6"/>
  <c r="L507" i="6"/>
  <c r="L506" i="6" s="1"/>
  <c r="X507" i="6" l="1"/>
  <c r="X506" i="6" s="1"/>
  <c r="T507" i="6"/>
  <c r="T506" i="6" s="1"/>
  <c r="S215" i="6"/>
  <c r="S216" i="6"/>
  <c r="T215" i="6"/>
  <c r="T216" i="6"/>
  <c r="U215" i="6"/>
  <c r="U216" i="6"/>
  <c r="U475" i="6"/>
  <c r="T473" i="6"/>
  <c r="AA117" i="6"/>
  <c r="R156" i="6"/>
  <c r="V104" i="6"/>
  <c r="O507" i="6"/>
  <c r="O506" i="6" s="1"/>
  <c r="AB117" i="6"/>
  <c r="AB118" i="6" s="1"/>
  <c r="AB120" i="6" s="1"/>
  <c r="W156" i="6"/>
  <c r="W476" i="6"/>
  <c r="W508" i="6" s="1"/>
  <c r="W506" i="6" s="1"/>
  <c r="W104" i="6"/>
  <c r="M475" i="6"/>
  <c r="M104" i="6"/>
  <c r="AA116" i="6"/>
  <c r="R113" i="6"/>
  <c r="R112" i="6" s="1"/>
  <c r="R106" i="6"/>
  <c r="AC475" i="6"/>
  <c r="X473" i="6"/>
  <c r="V506" i="6"/>
  <c r="V473" i="6"/>
  <c r="V217" i="6"/>
  <c r="P507" i="6"/>
  <c r="P506" i="6" s="1"/>
  <c r="P473" i="6"/>
  <c r="Q473" i="6"/>
  <c r="Q507" i="6"/>
  <c r="Q506" i="6" s="1"/>
  <c r="N473" i="6"/>
  <c r="N507" i="6"/>
  <c r="N506" i="6" s="1"/>
  <c r="AA508" i="6" l="1"/>
  <c r="V215" i="6"/>
  <c r="V216" i="6"/>
  <c r="U473" i="6"/>
  <c r="U507" i="6"/>
  <c r="AA118" i="6"/>
  <c r="AA120" i="6" s="1"/>
  <c r="R104" i="6"/>
  <c r="R475" i="6"/>
  <c r="M473" i="6"/>
  <c r="M507" i="6"/>
  <c r="M506" i="6" s="1"/>
  <c r="W473" i="6"/>
  <c r="R473" i="6" l="1"/>
  <c r="S506" i="6" l="1"/>
  <c r="U506" i="6" l="1"/>
  <c r="R507" i="6" l="1"/>
  <c r="AL506" i="6" s="1"/>
  <c r="Z508" i="6" l="1"/>
  <c r="R506" i="6"/>
  <c r="AL507" i="6" s="1"/>
  <c r="AL508" i="6" s="1"/>
</calcChain>
</file>

<file path=xl/comments1.xml><?xml version="1.0" encoding="utf-8"?>
<comments xmlns="http://schemas.openxmlformats.org/spreadsheetml/2006/main">
  <authors>
    <author>Громенко Елена Николаевна</author>
    <author>Зуева Анастасия Игоревна</author>
    <author>Половодова Марта Витальевна</author>
    <author>Жукова Ольга Сергеевна</author>
  </authors>
  <commentLis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31,5 км без учета приведения мостов в КМ</t>
        </r>
      </text>
    </comment>
    <comment ref="W11" authorId="0" shape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38,8 км без учета приведения мостов в КМ</t>
        </r>
      </text>
    </comment>
    <comment ref="Y67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подходы 0,3 км</t>
        </r>
      </text>
    </comment>
    <comment ref="A71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 в приоритетных направлениях Министерства сельского х-ва</t>
        </r>
      </text>
    </comment>
    <comment ref="Q97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43915,7 по  расчету стартовой цены!!!</t>
        </r>
      </text>
    </comment>
    <comment ref="A99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 в приоритетных направлениях Министерства сельского х-ва</t>
        </r>
      </text>
    </comment>
    <comment ref="Y116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в файле подходы 0,08 км…по проекту 0,0766 км</t>
        </r>
      </text>
    </comment>
    <comment ref="A143" authorId="0" shape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 на участке км 11+223  - км 26+223 </t>
        </r>
      </text>
    </comment>
    <comment ref="A177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в  файле без "Новосибирской области"</t>
        </r>
      </text>
    </comment>
    <comment ref="A187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объекта!
Дублирует объкт выше</t>
        </r>
      </text>
    </comment>
    <comment ref="V187" authorId="0" shape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?????</t>
        </r>
      </text>
    </comment>
    <comment ref="Y209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введем в 2016 г.</t>
        </r>
      </text>
    </comment>
    <comment ref="A219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</t>
        </r>
      </text>
    </comment>
    <comment ref="A242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</t>
        </r>
      </text>
    </comment>
    <comment ref="A277" authorId="0" shape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повтор слов</t>
        </r>
      </text>
    </comment>
    <comment ref="A286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должно быть  "в Новосибирском районе Новосибирской области"</t>
        </r>
      </text>
    </comment>
    <comment ref="A294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 прописан "Новосибирский район" в нашем файле</t>
        </r>
      </text>
    </comment>
    <comment ref="Y294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тоннель 157 п.м. подходы 1,0 км
</t>
        </r>
      </text>
    </comment>
    <comment ref="Y311" authorId="2" shapeId="0">
      <text>
        <r>
          <rPr>
            <b/>
            <sz val="9"/>
            <color indexed="81"/>
            <rFont val="Tahoma"/>
            <family val="2"/>
            <charset val="204"/>
          </rPr>
          <t>Половодова Марта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подходов нет, только длина моста в п.м.</t>
        </r>
      </text>
    </comment>
    <comment ref="A375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должно быть "в Усть-Таркском районе Новосибирской области"</t>
        </r>
      </text>
    </comment>
    <comment ref="Q377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263 216,4 по расчету стартовой цены</t>
        </r>
      </text>
    </comment>
    <comment ref="Q428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26662,8</t>
        </r>
      </text>
    </comment>
    <comment ref="Q434" authorId="0" shape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а где 500 млн. руб, снятые с ТУАД на эти цели</t>
        </r>
      </text>
    </comment>
    <comment ref="V734" authorId="0" shape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75,3 км  в связи с изм. В Тогучинском р-не </t>
        </r>
      </text>
    </comment>
    <comment ref="Q861" authorId="1" shapeId="0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2,53 по проекту</t>
        </r>
      </text>
    </comment>
    <comment ref="V909" authorId="3" shapeId="0">
      <text>
        <r>
          <rPr>
            <b/>
            <sz val="9"/>
            <color indexed="81"/>
            <rFont val="Tahoma"/>
            <family val="2"/>
            <charset val="204"/>
          </rPr>
          <t>Жукова Ольга Сергеевна:</t>
        </r>
        <r>
          <rPr>
            <sz val="9"/>
            <color indexed="81"/>
            <rFont val="Tahoma"/>
            <family val="2"/>
            <charset val="204"/>
          </rPr>
          <t xml:space="preserve">
физ.объемы отсутствуют</t>
        </r>
      </text>
    </comment>
  </commentList>
</comments>
</file>

<file path=xl/sharedStrings.xml><?xml version="1.0" encoding="utf-8"?>
<sst xmlns="http://schemas.openxmlformats.org/spreadsheetml/2006/main" count="3444" uniqueCount="681">
  <si>
    <t>Наименование мероприятия</t>
  </si>
  <si>
    <t>Наименование показателя</t>
  </si>
  <si>
    <t>Ответственный исполнитель</t>
  </si>
  <si>
    <t>Ожидаемый результат (краткое описание)</t>
  </si>
  <si>
    <t>ГРБС</t>
  </si>
  <si>
    <t>Рз Пр</t>
  </si>
  <si>
    <t>ЦСР</t>
  </si>
  <si>
    <t>ВР</t>
  </si>
  <si>
    <t>Значение показателя на 2016 год</t>
  </si>
  <si>
    <t xml:space="preserve">в том числе: </t>
  </si>
  <si>
    <t xml:space="preserve">областной бюджет </t>
  </si>
  <si>
    <t xml:space="preserve">местные бюджеты </t>
  </si>
  <si>
    <t>1.1.1. Обеспечение развития, сохранности и восстановления автомобильных дорог регионального, межмуниципального и местного значения  и искусственных сооружений на них в Новосибирской области</t>
  </si>
  <si>
    <t>Строительство автомобильной дороги "205 км а/д "К-01" - Стретенка" в Баганском районе Новосибирской области</t>
  </si>
  <si>
    <t>Строительство автомобильной дороги "18 км а/д "Н-0202" - Александро-Невский" в Баганском районе Новосибирской области</t>
  </si>
  <si>
    <t>0409</t>
  </si>
  <si>
    <t>61004ХХ</t>
  </si>
  <si>
    <t>Реконструкция автомобильной дороги "131 км а/д "К-22" - Игнатьевка" в Венгеровском районе Новосибирской области</t>
  </si>
  <si>
    <t>Реконструкция автомобильной дороги "106 км а/д "К-07" - Индерь (центр. усадьба)" в Доволенском районе Новосибирской области</t>
  </si>
  <si>
    <t>мост ч/р Ояш на 8 км а/д "100 км а/д "М-53" -  Сибиряк", Болотнинский район</t>
  </si>
  <si>
    <t>Строительство автомобильной дороги "Сузун - Мереть" в Сузунском районе Новосибирской области</t>
  </si>
  <si>
    <t>Строительство автомобильной дороги "Новопервомайское - Платоновка" в Татарском районе Новосибирской области</t>
  </si>
  <si>
    <t xml:space="preserve">Прочие  затраты </t>
  </si>
  <si>
    <t>мост ч/р Большеречье на 1 км а/д "Большеречье-Новопокровка", Кыштовский район</t>
  </si>
  <si>
    <t>Стоимость единицы, тыс.руб.</t>
  </si>
  <si>
    <t xml:space="preserve">Сумма затрат, тыс.руб., </t>
  </si>
  <si>
    <t>Минтранс НСО, ГКУ НСО ТУАД</t>
  </si>
  <si>
    <t>ХХХХХХХ</t>
  </si>
  <si>
    <t>ХХХ</t>
  </si>
  <si>
    <t xml:space="preserve"> в том числе по объектам:</t>
  </si>
  <si>
    <t>в том числе:</t>
  </si>
  <si>
    <t>Объем работ уточняется</t>
  </si>
  <si>
    <t>Прочие затраты</t>
  </si>
  <si>
    <t>тыс.руб.</t>
  </si>
  <si>
    <t>федеральный бюджет *</t>
  </si>
  <si>
    <t>Капитальный ремонт 1 км автодороги</t>
  </si>
  <si>
    <t>Капитальный ремонт 2,5  км автодороги</t>
  </si>
  <si>
    <t xml:space="preserve"> Капитальный ремонт 2 км автодороги</t>
  </si>
  <si>
    <t>Капитальный ремонт 2,5 км автодороги</t>
  </si>
  <si>
    <t>Капитальный ремонт 0,2 км автодороги</t>
  </si>
  <si>
    <t xml:space="preserve"> Ремонт 1 км автодороги</t>
  </si>
  <si>
    <t>в том числе по районам:</t>
  </si>
  <si>
    <t>Баганский район</t>
  </si>
  <si>
    <t>Барабинский район</t>
  </si>
  <si>
    <t>Болотнинский район</t>
  </si>
  <si>
    <t>Венгеровский район</t>
  </si>
  <si>
    <t>Доволенский район</t>
  </si>
  <si>
    <t>Здвинский район</t>
  </si>
  <si>
    <t>Искитимский район</t>
  </si>
  <si>
    <t>Карасукский район</t>
  </si>
  <si>
    <t>Каргатский район</t>
  </si>
  <si>
    <t>Колыванский район</t>
  </si>
  <si>
    <t>Коченевский район</t>
  </si>
  <si>
    <t>Кочковский район</t>
  </si>
  <si>
    <t>Краснозерский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</si>
  <si>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</si>
  <si>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</si>
  <si>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</si>
  <si>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</si>
  <si>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</si>
  <si>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</si>
  <si>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</si>
  <si>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</si>
  <si>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</si>
  <si>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</si>
  <si>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</si>
  <si>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</si>
  <si>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</si>
  <si>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</si>
  <si>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</si>
  <si>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</si>
  <si>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</si>
  <si>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Содержание  базы  материалов  2-й  группы</t>
  </si>
  <si>
    <t>Совершенствование дорожных технологий, конструкций и материалов, разработка индивидуальных сметных норм и единичных расценок, отсутствующих в сметной нормативной базе</t>
  </si>
  <si>
    <t>Количество муниципальных образований</t>
  </si>
  <si>
    <t>г. Бердск</t>
  </si>
  <si>
    <t>г.Искитим</t>
  </si>
  <si>
    <t>р.п. Кольцово</t>
  </si>
  <si>
    <t>г.Обь</t>
  </si>
  <si>
    <t>г.Новосибирск</t>
  </si>
  <si>
    <t>внебюджетные источники*</t>
  </si>
  <si>
    <t>1.2. Задача 2: Перевод автомобильной дороги «Новосибирск – Кочки – Павлодар (в пред. РФ)» на участке Новосибирск – Ярково в Новосибирском районе Новосибирской области в 1 техническую категорию.</t>
  </si>
  <si>
    <t>1.2.1. Реконструкция автомобильной дороги «Новосибирск – Кочки – Павлодар (в пред. РФ)» на участке Новосибирск – Ярково в Новосибирском районе Новосибирской области на условиях государственно-частного партнерства</t>
  </si>
  <si>
    <t xml:space="preserve">1.2.1.1. Реконструкция автомобильной дороги «Новосибирск – Кочки – Павлодар (в пред. РФ)» на участке Новосибирск – Ярково в Новосибирском районе Новосибирской области </t>
  </si>
  <si>
    <t>Выполнение строительно-монтажных работ по реконструкции 18 км автомобильной дороги «Новосибирск – Кочки – Павлодар (в пред. РФ)» на участке Новосибирск – Ярково за счет средств частного инвестора.</t>
  </si>
  <si>
    <t xml:space="preserve">1.2.1.2. Компенсация инвестиционных и эксплуатационных затрат за реконструкцию автомобильной дороги «Новосибирск – Кочки – Павлодар (в пред. РФ)» на участке Новосибирск – Ярково в Новосибирском районе Новосибирской области </t>
  </si>
  <si>
    <t>Итого на решение задачи 2:</t>
  </si>
  <si>
    <t>Компенсация собственных и заемных средств частного инвестора, соответствующей доходности (доходность акционеров, проценты по займам), а также расходов частного инвестора на содержание и ремонт дороги из областного бюджета Новосибирской области ( в соответствии с частью 13 статьи 3 Федерального закона от 21.07.2005 № 115-ФЗ «О концессионных соглашениях»).</t>
  </si>
  <si>
    <t>Минтранс НСО, ГКУ НСО ТУАД  во взаимодействии с организациями-исполнителями</t>
  </si>
  <si>
    <t>Мощность, км</t>
  </si>
  <si>
    <t xml:space="preserve">местные бюджеты* </t>
  </si>
  <si>
    <t>Количество, км</t>
  </si>
  <si>
    <t>Капитальный ремонт 0,28 км автодороги</t>
  </si>
  <si>
    <t>Капитальный ремонт 123,1 п.м</t>
  </si>
  <si>
    <t>а/д "12 км а/д "К-12" -  Криводановка"</t>
  </si>
  <si>
    <t>а/д "992 км а/д "М-51"-Купино-Карасук", Татарский район</t>
  </si>
  <si>
    <t>Баганский район:</t>
  </si>
  <si>
    <t>Болотнинский район:</t>
  </si>
  <si>
    <t>Венгеровский район:</t>
  </si>
  <si>
    <t>Доволенский район:</t>
  </si>
  <si>
    <t>Искитимский район:</t>
  </si>
  <si>
    <t>Коченевский район:</t>
  </si>
  <si>
    <t>Кыштовский район:</t>
  </si>
  <si>
    <t>Новосибирский район:</t>
  </si>
  <si>
    <t>Ордынский район:</t>
  </si>
  <si>
    <t>Сузунский район:</t>
  </si>
  <si>
    <t>Татарский район:</t>
  </si>
  <si>
    <t>Усть-Таркский район:</t>
  </si>
  <si>
    <t>Чистоозерный район:</t>
  </si>
  <si>
    <t>а/д «Баган - Палецкое - Кучугур (в гр. района)»</t>
  </si>
  <si>
    <t>капитальный ремонт водопропускных труб</t>
  </si>
  <si>
    <t>а/д «1152 км а/д «М-51» - Таскаево - Бакмасиха»</t>
  </si>
  <si>
    <t>капремонт водопропускных труб</t>
  </si>
  <si>
    <t>а/д "127 км а/д "М-53" -  Болотное"</t>
  </si>
  <si>
    <t>а/д «52 км а/д «К-02» - Филошенка»</t>
  </si>
  <si>
    <t>а/д « 99 км а/д «К-02» - Павлово»</t>
  </si>
  <si>
    <t>а/д «Чаны - Венгерово - Кыштовка»</t>
  </si>
  <si>
    <t>Барабинский район:</t>
  </si>
  <si>
    <t>Здвинский район:</t>
  </si>
  <si>
    <t>а/д "Легостаево - Новососедово - Верх-Ики ( в гр.района)" (ликвидация оврагообразования)</t>
  </si>
  <si>
    <t>а/д «992 км а/д «М-51» - Купино - Карасук»</t>
  </si>
  <si>
    <t>Карасукский район:</t>
  </si>
  <si>
    <t>а/д «232 км а/д «К-01» - Благодатное - Шилово-Курья - 377 км а/д «К-17р»</t>
  </si>
  <si>
    <t>мост ч/р Скалушка на 55 км а/д «Новосибирск - Колывань -Томск (в границах НСО)»</t>
  </si>
  <si>
    <t>Колыванский район:</t>
  </si>
  <si>
    <t>путепровод на 1 км автодороги "71 км а/д "М-52"-Легостаево-Чемское- 76 км а/д "К-16" (в гр. района)"</t>
  </si>
  <si>
    <t>Каргатский район:</t>
  </si>
  <si>
    <t>Краснозерский район:</t>
  </si>
  <si>
    <t>а/д «Куйбышев - Чумаково - Балман»</t>
  </si>
  <si>
    <t>Куйбышевский район:</t>
  </si>
  <si>
    <t>а/д «56 км а/д «Н-3118» - Чаинка - Тюменка»</t>
  </si>
  <si>
    <t>Купинский район:</t>
  </si>
  <si>
    <t>а/д «155 км а/д «К-02» - Межовка - гр. Северного района»</t>
  </si>
  <si>
    <t>а/д «105 км а/д «М-52» - Черепаново -  Маслянино»</t>
  </si>
  <si>
    <t>Маслянинский район:</t>
  </si>
  <si>
    <t xml:space="preserve"> Мошковский район:</t>
  </si>
  <si>
    <t>а/д «Новосибирск - Колывань - Томск» (в границах НСО),</t>
  </si>
  <si>
    <t>а/д «109 км а/д «К-17р»-Вагайцево-Усть-Луковка»</t>
  </si>
  <si>
    <t>а/д «Северное - Биаза - гр. Кыштовского района»</t>
  </si>
  <si>
    <t xml:space="preserve"> Северный район:</t>
  </si>
  <si>
    <t>Тогучинский район:</t>
  </si>
  <si>
    <t>Убинский район:</t>
  </si>
  <si>
    <t>Усть-Таркский район :</t>
  </si>
  <si>
    <t>Чановский район:</t>
  </si>
  <si>
    <t>Черепановский район:</t>
  </si>
  <si>
    <t>а/д «28 км а/д «Н-3105» - Ольгино»</t>
  </si>
  <si>
    <t xml:space="preserve"> Чулымский район:</t>
  </si>
  <si>
    <t>Код бюджетной классификации</t>
  </si>
  <si>
    <t xml:space="preserve">Значение показателя на 2015 год, </t>
  </si>
  <si>
    <t>Значение показателя на 2015 год (поквартально)</t>
  </si>
  <si>
    <t>1 кв.</t>
  </si>
  <si>
    <t>2 кв.</t>
  </si>
  <si>
    <t>3 кв.</t>
  </si>
  <si>
    <t>4 кв.</t>
  </si>
  <si>
    <t>а/д "Баган - Палецкое - Кучугур (в гр. района)"</t>
  </si>
  <si>
    <t>а/д "1152 км а/д "М-51" - Таскаево - Бакмасиха"</t>
  </si>
  <si>
    <t>а/д "Болотное - Большая Черная"</t>
  </si>
  <si>
    <t>а/д "235 км а/д "К-17р" - Согорное  (в гр. района)"</t>
  </si>
  <si>
    <t>а/д "Здвинск - Барабинск"</t>
  </si>
  <si>
    <t>а/д "54 км а/д "М-52" - Завьялово - Факел Революции"</t>
  </si>
  <si>
    <t xml:space="preserve"> Искитимский район:</t>
  </si>
  <si>
    <t>а/д "Новосибирск-Кочки-Павлодар (в пред. РФ)"</t>
  </si>
  <si>
    <t>а/д "7 км а/д "Н-0804" - Усть-Чем - 49 км а/д "К-28"</t>
  </si>
  <si>
    <t>а/д "Барабинск - Новоульяновское"</t>
  </si>
  <si>
    <t>а/д "60 км а/д "К-09" - Довольное"</t>
  </si>
  <si>
    <t>а/д "Каргат - Маршанское"</t>
  </si>
  <si>
    <t>а/д "60 а/д "К-09" - Довольное"</t>
  </si>
  <si>
    <t>а/д "Новосибирск-Кочки-Павлодар (в пред.РФ)" (поверхностная обработка)</t>
  </si>
  <si>
    <t>Кочковский район:</t>
  </si>
  <si>
    <t>а/д "Куйбышев - Северное"</t>
  </si>
  <si>
    <t>а/д "992 км а/д "М-51" - Купино - Карасук"</t>
  </si>
  <si>
    <t>а/д "Кыштовка - Малокрасноярка"</t>
  </si>
  <si>
    <t>ремонт водопропускных труб</t>
  </si>
  <si>
    <t>а/д "60 км а/д "М-53" - Мошково - Белоярка"</t>
  </si>
  <si>
    <t>Мошковский район:</t>
  </si>
  <si>
    <t>а/д "Новосибирск - Кочки - Павлодар (в пред.РФ)"</t>
  </si>
  <si>
    <t>Северный район:</t>
  </si>
  <si>
    <t>а/д "8 км а/д "Н-2404" - Красный Камешок - Ключики"</t>
  </si>
  <si>
    <t>Чулымский район:</t>
  </si>
  <si>
    <t>а/д «75 км а/д «К-04» - Федоровка»</t>
  </si>
  <si>
    <t>а/д «9 км а/д «К-14» - Верх-Мильтюши - Куриловка»</t>
  </si>
  <si>
    <t>а/д «105 км а/д «М-52» - Сузун»</t>
  </si>
  <si>
    <t>а/д «105 км а/д «М-52» - Черепаново - Маслянино»</t>
  </si>
  <si>
    <t>а/д «1047 км а/д «М-51» - Блюдчанское  - Черниговка - Блюдцы»</t>
  </si>
  <si>
    <t>а/д «24 км а/д «Н-2802»-Новоникольск»</t>
  </si>
  <si>
    <t>а/д «Татарск - Зубовка»</t>
  </si>
  <si>
    <t>а/д «4 км а/д «Н-2304»-Витинск»</t>
  </si>
  <si>
    <t>а/д «Инская - Барышево - 39 км а/д «К-19р» (в гр. района)»</t>
  </si>
  <si>
    <t>а/д  «Новосибирск -   Каменка»</t>
  </si>
  <si>
    <t>а/д «127 км а/д «К-19р» -Дубровка-Маслянино»</t>
  </si>
  <si>
    <t>Мощность,                           км</t>
  </si>
  <si>
    <t>мост ч/р Амба на 61 км а/д «Новосибирск - Колывань -Томск (в границах НСО)»</t>
  </si>
  <si>
    <t>а/д «Новосибирск - Колывань - Томск» (в границах НСО)</t>
  </si>
  <si>
    <t>мост ч/р Безымянная на 62 км а/д "Новосибирск - Колывань -Томск (в границах НСО)"</t>
  </si>
  <si>
    <t>а/д «Куйбышев - Северное»</t>
  </si>
  <si>
    <t>мост ч/р Омь на 2 км а/д "66 км а/д "Н-1408"-Ушково-Михайловка"</t>
  </si>
  <si>
    <t>Мост ч/р Бердь на 42 км а/д "71 км а/д  "М-52" - Легостаево - Чемское - 76 км а/д "К-16" (в гр. района)"</t>
  </si>
  <si>
    <t>а/д «203км а/д»К-17р»-Каргат»</t>
  </si>
  <si>
    <t>а/д "93км а/д "К-09" - Первотроицк"</t>
  </si>
  <si>
    <t>а/д "296 км а/д "К-17р" - Полойка -Травное-Довольное (в гр. района)"</t>
  </si>
  <si>
    <t>а/д "Новосибирск-Красный Яр"</t>
  </si>
  <si>
    <t>а/д "105 км а/д "М-52"-Сузун"</t>
  </si>
  <si>
    <t>а/д "Горный – ст.Изынский"</t>
  </si>
  <si>
    <t>а/д «Каргат - Маршанское»</t>
  </si>
  <si>
    <t>Реализация мероприятия позволит предотвратить или ликвидировать последствия стихийных бедствий и чрезвычайных ситуаций в сфере дорожного хозяйства  в случае их возникновения, а также позволит обеспечить финансирование возникших при этом непредвиденных расходов дорожно-строительного комплекса</t>
  </si>
  <si>
    <t>Реализация данного мероприятия позволит устранить деформации и повреждения покрытия проезжей части автомобильных дорог и элементов искусственных дорожных сооружений, восстановить продольный и поперечный профиль проезжей части автомобильных дорог с щебеночным покрытием, в том числе путем добавления нового материала</t>
  </si>
  <si>
    <t>Реализация данного мероприятия позволит повысить пропускную способность и безопасность автомобильных дорог местного значения, прежде всего искусственных сооружений, а также обеспечить устойчивое транспортное сообщение с местами массовой жилищной застройки в населенных пунктах Новосибирской области</t>
  </si>
  <si>
    <t>Минтранс НСО, органы местного самоуправления</t>
  </si>
  <si>
    <t>Минтранс НСО</t>
  </si>
  <si>
    <t xml:space="preserve">Подробный перечень </t>
  </si>
  <si>
    <t xml:space="preserve">планируемых к реализации мероприятий государственной программы Новосибирской области </t>
  </si>
  <si>
    <t>Подробный перечень объектов</t>
  </si>
  <si>
    <t xml:space="preserve"> строительства, реконструкции, капитального ремонта и ремонта автомобильных дорог общего пользования регионального и межмуниципального значения </t>
  </si>
  <si>
    <t>Значение показателя на 2015 год</t>
  </si>
  <si>
    <t>Реализация мероприятия позволит обеспечить безопасное и бесперебойное движение транспорта на автомобильных дорогах общего пользования Новосибирской области</t>
  </si>
  <si>
    <t>Таблица 3</t>
  </si>
  <si>
    <t xml:space="preserve">1.2.1. Капитальный ремонт, ремонт, содержание, иные мероприятия в отношении  автомобильных дорог регионального и межмуниципального значения и искусственных сооружений на них </t>
  </si>
  <si>
    <t xml:space="preserve">1.2.1.3. Содержание автомобильных дорог регионального и межмуниципального значения и искусственных сооружений на них </t>
  </si>
  <si>
    <t xml:space="preserve">1.2.1.4. Выполнение работ по инвентаризации и паспортизации автомобильных дорог регионального и межмуниципального значения и искусственных сооружений на них  </t>
  </si>
  <si>
    <t xml:space="preserve">1.2.1.5. Аварийно-восстановительные работы на автомобильных дорогах регионального и межмуниципального значения и искусственных сооружений на них </t>
  </si>
  <si>
    <t>1.2.1.6. Научно-исследовательские и конструкторские работы  в дорожной отрасли</t>
  </si>
  <si>
    <t xml:space="preserve">1.2.1.7. Разработка проектно-сметной документации для автомобильных дорог регионального и межмуниципального значения </t>
  </si>
  <si>
    <t xml:space="preserve">1.2.1.8. Планово-предупредительный ремонт автомобильных дорог общего пользования  регионального и межмуниципального значения и сооружений на них </t>
  </si>
  <si>
    <t>1.1. Задача: Развитие и модернизация автомобильных дорог общего пользования регионального и межмуниципального значения и искусственных сооружений на них</t>
  </si>
  <si>
    <t>1.2.1.1. Капитальный ремонт автомобильных дорог регионального и межмуниципального значения и искусственных сооружений на них</t>
  </si>
  <si>
    <t xml:space="preserve">1.2.1.2. Ремонт   автомобильных дорог регионального и межмуниципального значения и искусственных сооружений на них </t>
  </si>
  <si>
    <t>Ввод в эксплуатацию 2,051 км автодороги</t>
  </si>
  <si>
    <t>Ввод в эксплуатацию 2,750 км автодороги</t>
  </si>
  <si>
    <t>Ввод в эксплуатацию 2,665 км автодороги</t>
  </si>
  <si>
    <t>Ввод в эксплуатацию 2,066 км автодороги</t>
  </si>
  <si>
    <t>Ввод в эксплуатацию 1,417 км автодороги</t>
  </si>
  <si>
    <t>Ввод в эксплуатацию 2,068 км автодороги</t>
  </si>
  <si>
    <t>Строительство автомобильной дороги "102 км а/д "К-01" - Олтарь" в Чистоозерном районе Новосибирской области</t>
  </si>
  <si>
    <t>Строительство путепровода через железную дорогу "Омск - Новосибирск" на 6 км а/д "Коченево - совхоз Коченевский" в Коченевском районе Новосибирской области</t>
  </si>
  <si>
    <t xml:space="preserve">Реконструкция автомобильной дороги "Богатиха - Новорозино (в гр. района)" в Купинском районе Новосибирской области          </t>
  </si>
  <si>
    <t>Ввод в эксплуатацию 5,6 км автодороги</t>
  </si>
  <si>
    <t>Ввод в эксплуатацию 1,2 км автодороги</t>
  </si>
  <si>
    <t>строительство мостового перехода через реку Карасук на 43 км а/д "103 км а/д "К-17р" - Петровский - Большеникольское -Чулым (в гр. района)"</t>
  </si>
  <si>
    <t>Кредиторская задолженность</t>
  </si>
  <si>
    <t>а/д "217 км а/д "К-01" - Мироновка"</t>
  </si>
  <si>
    <t>Капитальный ремонт 1,14 км автодороги</t>
  </si>
  <si>
    <t>Капитальный ремонт 0,92 км автодороги</t>
  </si>
  <si>
    <t>а/д «Новосибирск - Ленинск-Кузнецкий (в границах НСО)"</t>
  </si>
  <si>
    <t>Объект введен в эксплуатацию в 2014 году</t>
  </si>
  <si>
    <t>Ввод в эксплуатацию 1,6 км автодороги</t>
  </si>
  <si>
    <t>Реконструкция автомобильной дороги "94 км а/д ""К-22"-Усть -Ламенка" в Венгеровском районе Новосибирской области</t>
  </si>
  <si>
    <t>Ввод в эксплуатацию 7,17 км автодороги</t>
  </si>
  <si>
    <t>Реконструкция автомобильной дороги "70 км а/д "К-12" - Пихтовка - Пономаревка" на участке км 79+087 - км 84+087 в Колыванском районе Новосибирской области</t>
  </si>
  <si>
    <t xml:space="preserve">Реконструкция автомобильной дороги "Куйбышев - Малинино" на участке км 5+065 - км 6+800 в Куйбышевском районе Новосибирской области </t>
  </si>
  <si>
    <t>Ввод в эксплуатацию 1,7 км автодороги</t>
  </si>
  <si>
    <t>Строительство мостового перехода через протоку Кожурла  на а/д "Купино - Новониколаевка - Новорозинская переправа" в Купинском районе Новосибирской области</t>
  </si>
  <si>
    <t>Реконструкция автомобильной дороги "53 км а/д "К-15" - Борково"</t>
  </si>
  <si>
    <t>Ввод в эксплуатацию 3 км автодороги</t>
  </si>
  <si>
    <t>Реконструкция автомобильной дороги "22 км а/д "К-29" - Бобровка - Шайдурово - Чингис (в гр. района)" на участке км 41+749 - км 43+310 в Сузунском районе Новосибирской области</t>
  </si>
  <si>
    <t>Ввод в эксплуатацию 2 км автодороги</t>
  </si>
  <si>
    <t>Реконструкция автомобильной дороги "Убинское-Кундран" в Убинском районе Новосибирской области</t>
  </si>
  <si>
    <t>Реконструкция автомобильной дороги "Чаны-Венгерово-Кыштовка" в Чановском районе новосибирской области</t>
  </si>
  <si>
    <t>Реконструкция автомобильной дороги "14 км а/д "Н-3203" -  Сарыкамышка" на участке км 0+000 - км 3+000 в Чулымском районе Новосибирской области.</t>
  </si>
  <si>
    <t>Капитальный ремонт 2,8 км автодороги</t>
  </si>
  <si>
    <t>Капитальный ремонт 0,5 км автодороги</t>
  </si>
  <si>
    <t>а/д "Куйбышев - Венгерово - гр. Омской области
(старый Московский тракт)"</t>
  </si>
  <si>
    <t>Капитальный ремонт 1,7 км автодороги</t>
  </si>
  <si>
    <t>а/д "Новосибирск - аэропорт Толмачево"</t>
  </si>
  <si>
    <t xml:space="preserve"> Ремонт 0,45 км автодороги</t>
  </si>
  <si>
    <t>Капитальный ремонт 1,65 км автодороги</t>
  </si>
  <si>
    <t>Капитальный ремонт 4,9 км автодороги</t>
  </si>
  <si>
    <t>Капитальный ремонт 0,8 км автодороги</t>
  </si>
  <si>
    <t>Капитальный ремонт 0,95 км автодороги</t>
  </si>
  <si>
    <t>Ввод в эксплуатацию 1,68 км автодороги</t>
  </si>
  <si>
    <t>Реконструкция автомобильной дороги "Подъезд к с.Нижнекаменка
/34 км/" в Ордынском районе Новосибирской области</t>
  </si>
  <si>
    <t>Реализация мероприятия позволит осуществлять заблаговременную подготовку  проектно-сметной документации, проведение процедуры размещения государственного заказа на строительно-монтажные работы до начала строительного сезона,   обеспечить разработку проектной и рабочей документации на первоочередные объекты  дорожной инфраструктуры Новосибирской области</t>
  </si>
  <si>
    <t>Реализация мероприятия позволит обеспечить поддержание транспортно-эксплуатационных характеристик автомобильных дорог и искусственных сооружений в состоянии, соответствующем требованиям действующих отраслевых нормативов</t>
  </si>
  <si>
    <t>Сумма затрат (тыс.руб.), в том числе:</t>
  </si>
  <si>
    <t>Значение показателя на 2018 год</t>
  </si>
  <si>
    <t>Строительство моста ч/р Койниха на 7 км а/д "70 км а/д "М-52"-Евсино-Новолокти" в Искитимском районе Новосибирской области</t>
  </si>
  <si>
    <t xml:space="preserve">Строительство мостового перехода ч/р Ик на а/д "Легостаево - Новососедово - Верх-Ики ( в гр.района)" в Искитимском районе Новосибирской области </t>
  </si>
  <si>
    <t>Реконструкция автомобильной дороги "56 км а/д "Н-3118" - Чаинка - Тюменка" на участке км 16+963 - км 22+963 в Купинском районе Новосибирской области</t>
  </si>
  <si>
    <t>Строительство автомобильной дороги «Обход с.Сарапулка» с мостом ч/р Иня  в Мошковском и Тогучинском районах Новосибирской области</t>
  </si>
  <si>
    <t>Реконструкция мостового перехода ч/р Шеничный Лог на 134 км а/д "Новосибирск - Кочки - Павлодар (в пред. РФ)"в Ордынском районе Новосибирской области</t>
  </si>
  <si>
    <t>Реконструкция автомобильной дороги "79 км а/д "К-04"-Федоровка" на участке 17+900 - км 21+900  в Северном районе Новосибирской области</t>
  </si>
  <si>
    <t>Строительство моста через реку Кама на 2 км а/д "Подъезд к с. Чистое озеро /8 км/" в Венгеровском районе Новосибирской области</t>
  </si>
  <si>
    <t>Реконструкция автомобильной дороги "1 км а/д "Н-2123" - Верх-Тула -  Ленинское -ОБЬГЭС" в Новосибирском районе Новосибирской области</t>
  </si>
  <si>
    <t>Ввод в эксплуатацию 2,261 км автодороги</t>
  </si>
  <si>
    <t xml:space="preserve"> </t>
  </si>
  <si>
    <t>Сумма затрат (областной бюджет, тыс.руб.)</t>
  </si>
  <si>
    <t>областной бюджет</t>
  </si>
  <si>
    <t>федеральный бюджет*</t>
  </si>
  <si>
    <t>а/д "130 км а/д "М-53" -  Тогучин-Карпысак"</t>
  </si>
  <si>
    <t>а/д "81 км а/д "К-07" - Баклуши"</t>
  </si>
  <si>
    <t>а/д "29 км а/д "К-29" - Заковряжино - Шипуново"</t>
  </si>
  <si>
    <t>а/д "109 км а/д "К-16" - Буготак - Репьево"</t>
  </si>
  <si>
    <t>мост ч/р Карасук на 5 км а/д "178 км а/д "К-17р" - Быструха"</t>
  </si>
  <si>
    <t xml:space="preserve"> Ремонт 5 км автодороги (в т.ч. поверхностная обработка)</t>
  </si>
  <si>
    <t xml:space="preserve"> Ремонт 0,81 км автодороги</t>
  </si>
  <si>
    <t>Ремонт путепровода протяженностью 48,44 п.м</t>
  </si>
  <si>
    <t xml:space="preserve"> Ремонт 4,5 км автодороги</t>
  </si>
  <si>
    <t>а/д "46 км а/д "М-52" - Сосновка"</t>
  </si>
  <si>
    <t>а/д "203 км а/д "К-17р"-Каргат"</t>
  </si>
  <si>
    <t>а/д "Чаны - Венгерово - Кыштовка"</t>
  </si>
  <si>
    <t>а/д "130 км а/д "М-53" - Тогучин - Карпысак"</t>
  </si>
  <si>
    <t xml:space="preserve"> Ремонт 10 км автодороги (в т.ч. поверхностная обработка)</t>
  </si>
  <si>
    <t xml:space="preserve">а/д "Новосибирск - Ленинск-Кузнецкий (в границах НСО)" </t>
  </si>
  <si>
    <t>Капитальный ремонт 2,486 км автодороги</t>
  </si>
  <si>
    <t xml:space="preserve">Реализация мероприятия позволит привести технические параметры автомобильных дорог и искусственных сооружений до значений, соответствующих присвоенной им технической категории, усовершенствовать дорожную одежду и сделать ее более прочной и долговечной. </t>
  </si>
  <si>
    <t>Реализация мероприятия позволит осуществлять контроль качества дорожно-строительных работ на автомобильных дорогах регионального, межмуниципального и местного значения Новосибирской области</t>
  </si>
  <si>
    <t>1.2.3. Оказание услуг по независимому контролю (диагностика и оценка) состояния автомобильных дорог и тротуаров после ремонта с отбором проб и испытанием материалов покрытия</t>
  </si>
  <si>
    <t>Ввод в эксплуатацию моста протяженностью  44,72 п.м (подходы 0,42 км) **</t>
  </si>
  <si>
    <t>Ввод в эксплуатацию моста протяженностью 36,82 п.м (подходы 0,078 км) **</t>
  </si>
  <si>
    <t>Ввод в эксплуатацию моста протяженностью  24,92 п.м (подходы 0,18 км) **</t>
  </si>
  <si>
    <t>Ввод в эксплуатацию моста протяженностью  23,1 п.м **</t>
  </si>
  <si>
    <t>** Расчетная протяженность объекта строительства (реконструкции) искусственного сооружения определяется в соответствии с Методикой оценки вклада субъекта Российской Федерации в решение задач по удвоению в 2013-2022 годах объемов строительства автомобильных дорог по сравнению с предыдущим десятилетием (2003-2012 годы), разработанной Минтрансом России.</t>
  </si>
  <si>
    <t>Ввод в эксплуатацию 4,5 км автодороги</t>
  </si>
  <si>
    <t>61ХХХХХХ</t>
  </si>
  <si>
    <t>ХХХХХ</t>
  </si>
  <si>
    <t>Реконструкция а/д 1 км а/д"Н-3207"- Базово - гр. Ордынского р-на" в Чулымском районе</t>
  </si>
  <si>
    <t>Значение показателя на 2016 год (поквартально)</t>
  </si>
  <si>
    <t>Мощность, км/ п.м</t>
  </si>
  <si>
    <t>Реконструкция автомобильной дороги "29 км а/д "Н-3104"-Новый Кошкуль" в Чистоозерном районе Новосибирской области</t>
  </si>
  <si>
    <t>Ввод в эксплуатацию 2,5 км автодороги</t>
  </si>
  <si>
    <t>стройка</t>
  </si>
  <si>
    <t>реконструкция</t>
  </si>
  <si>
    <t>с ИССО</t>
  </si>
  <si>
    <t>а/д</t>
  </si>
  <si>
    <t>Оплата по исполнительному листу согласно вынесенного судебного решения</t>
  </si>
  <si>
    <t>Строительство мостового перехода через реку Карасук на 43 км а/д "103 км а/д "К-17р" - Петровский - Большеникольское - Чулым (в гр.района)</t>
  </si>
  <si>
    <t>Реконструкция моста через протоку на 6 км а/д "371 км к-17р км а/д «К-17р» - Калиновка» в Карасукском районе Новосибирской области</t>
  </si>
  <si>
    <t>Ввод в эксплуатацию моста протяженностью 35,2 п.м (подходы 0,4 км) **</t>
  </si>
  <si>
    <t>-</t>
  </si>
  <si>
    <t>1.Цель: : Развитие и обеспечение сохранности автомобильных дорог регионального, межмуниципального и местного значения для обеспечения внутриобластных перевозок в интересах экономики и населения Новосибирской области и для усиления роли Новосибирска как крупнейшего транспортно-логистического узла азиатской части России</t>
  </si>
  <si>
    <t xml:space="preserve">а/д "Новосибирск - Колывань - Томск (в границах НСО)" </t>
  </si>
  <si>
    <t>а/д "Новосибирск-Кочки-Павлодар (в пред. РФ)"(поверхностная обработка)</t>
  </si>
  <si>
    <t>Капитальный ремонт  автодороги 0,5 км</t>
  </si>
  <si>
    <t>Ввод в эксплуатацию 6  км автодороги</t>
  </si>
  <si>
    <t>Ввод в эксплуатацию 2,2 км автодороги</t>
  </si>
  <si>
    <t>Строительство автомобильной дороги "с.Березово-с.Гусельниково"</t>
  </si>
  <si>
    <t>Реконструкция автомобильной дороги "Искитим -Верх-Коен-Михайловка</t>
  </si>
  <si>
    <t>Реконструкция автомобильной дороги "19 км а/д "Н-0804"-Морозово"</t>
  </si>
  <si>
    <t>Реконструкция автомобильной дороги  а/д «2 км а/д «Н-1514» - Октябрьский - Хабаровский» на участке км 1+115- км 2+615 в Краснозёрском районе Новосибирской области</t>
  </si>
  <si>
    <t>Реконструкция автомобильной дороги "173 км а/д "К-01" Рождественка - Новоключи"</t>
  </si>
  <si>
    <t xml:space="preserve">Реконструкция автомобильной дороги "14 км а/д "Н-0601" - Ильинка - Дружный" </t>
  </si>
  <si>
    <t>Реконструкция автомобильной дороги "Чаны - Погорелка" на участке км 11+468 - км 13+200</t>
  </si>
  <si>
    <t xml:space="preserve">Строительство а/д с. Березово – с. Гусельниково </t>
  </si>
  <si>
    <t>Для проведения проектно -изыскательских работ</t>
  </si>
  <si>
    <t>Капитальный ремонт водопропускной трубы</t>
  </si>
  <si>
    <t>Ремонт водопропускных труб</t>
  </si>
  <si>
    <t>Капитальный ремонт 1,5 км автодороги</t>
  </si>
  <si>
    <t>Значение показателя на 2019 год</t>
  </si>
  <si>
    <t>Реконструкция автомобильной дороги "Барабинск-Зюзя-Квашнино"</t>
  </si>
  <si>
    <t>Ввод в эксплуатацию 2,0 км автодороги</t>
  </si>
  <si>
    <t>Реконструкция автомобильной дороги  "26 км а/д "Н-0502" - Ночка" на участке км 0+000 - км 2+674  в Венгеровском районе Новосибирской области</t>
  </si>
  <si>
    <t>Строительство моста через реку  Петушиха на 4 км а/д "Искитим-Лебедевка", Искитимский район</t>
  </si>
  <si>
    <t>Строительство автомобильной дороги "М-51"- Коченево" в Коченевском районе</t>
  </si>
  <si>
    <t>Ввод в эксплуатацию 1,8 км автодороги</t>
  </si>
  <si>
    <t>Реконструкция автомобильной дороги «332км а/д «К-17р»-ст.Зубково» на участке км 10+900 - км 12+235  в Краснозёрском районе Новосибирской области</t>
  </si>
  <si>
    <t>Строительство моста через реку Карасук на 5 км а/д "Майское-Чернаки"</t>
  </si>
  <si>
    <t>Ввод в эксплуатацию 1,5 км автодороги</t>
  </si>
  <si>
    <t xml:space="preserve">Реконструкция автомобильной дороги «2 км а/д «Н-1514» - Октябрьский - Хабаровский»  в Краснозёрском районе </t>
  </si>
  <si>
    <t xml:space="preserve">Реконструкция автомобильной дороги "Подъезд к г.Куйбышев" </t>
  </si>
  <si>
    <t>Реконструкция автомобильной дороги "56 км а/д "Н-3118"- Чаинка-Тюменка" на участке км 22+963 - км 27+963 в Купинском районе Новосибирской области</t>
  </si>
  <si>
    <t>Реконструкция автомобильной дороги "Кыштовка-Малокрасноярка" на участке км 29+300 - км 35+300 в Кыштовском районе Новосибирской области</t>
  </si>
  <si>
    <t>Ввод в эксплуатацию 8,5 км автодороги</t>
  </si>
  <si>
    <t>Реконструкция автомобильной дороги "Новосибирск-Ленинск-Кузнецкий" на участке км 12- км 24 в Новосибирском районе Новосибирской области</t>
  </si>
  <si>
    <t>Строительство автомобильной дороги "2 км автомобильной дороги "Академгородок-Ключи" - Каинская Заимка" на участке км 0+00 - км 2+200 в Новосибирском районе</t>
  </si>
  <si>
    <t>Строительство автомобильной дороги от с. Криводановка до Северного обхода г. Новосибирска</t>
  </si>
  <si>
    <t xml:space="preserve">Строительство пешеходного моста на 1 км а/д "Новосибирск - аэропорт Толмачево" </t>
  </si>
  <si>
    <t>Реконструкция автомобильной дороги  "Новосибирск - аэропорт Толмачево" в г. Обь Новосибирской области</t>
  </si>
  <si>
    <t>Реконструкция автомобильной дороги "29 км а/д "К-29" - Заковряжино - Шипуново" на участке км 19+927 - км 20+027  (ликвидация оврагообразования) в Сузунском районе Новосибирской области</t>
  </si>
  <si>
    <t>Реконструкция автомобильной дороги  "992 км а/д "М-51" - Купино - Карасук" в Татарском районе Новосибирской области</t>
  </si>
  <si>
    <t>Ввод в эксплуатацию 14,2 км автодороги</t>
  </si>
  <si>
    <t>Реконструкция автомобильной дороги  "992 км а/д "М-51" - Купино - Карасук" в Чистоозерном районе Новосибирской области</t>
  </si>
  <si>
    <t>а/д "Подъезд к с. Здвинск /2км/ "</t>
  </si>
  <si>
    <t>Ликвидация оврагообразования</t>
  </si>
  <si>
    <t>Капитальный ремонт 1,0 км автодороги</t>
  </si>
  <si>
    <t>а/д "1413 км а/д "М-51" - Колывань"</t>
  </si>
  <si>
    <t>Капремонт водопропускных труб</t>
  </si>
  <si>
    <t>а/д "53 км а/д "К-15" - Борково"</t>
  </si>
  <si>
    <t>а/д "24 км а/д "М-53" - Локти (в гр. района)"</t>
  </si>
  <si>
    <t>а/д "Новосибирск-Кочки-Павлодар" на участке "14,150 км - 15,300 км"</t>
  </si>
  <si>
    <t>Капитальный ремонт водопропускных труб</t>
  </si>
  <si>
    <t>а/д "Северное - Биаза - гр. Кыштовского района"</t>
  </si>
  <si>
    <t>Капитальный ремонт 1,25 км автодороги</t>
  </si>
  <si>
    <t>ликвидация оврагообразования  на а/д "29 км а/д "К-29" - Заковряжино - Шипуново" км 19+977</t>
  </si>
  <si>
    <t>Капитальный ремонт 3,775 км автодороги</t>
  </si>
  <si>
    <t>а/д "103 км а/д "К-17р" - Петровский - Большеникольское -Чулым (в гр. района)"</t>
  </si>
  <si>
    <t>Капитальный ремонт автодороги 3,0 км</t>
  </si>
  <si>
    <t>Болотинский район:</t>
  </si>
  <si>
    <t xml:space="preserve"> Ремонт 2,3 км автодороги</t>
  </si>
  <si>
    <t xml:space="preserve"> Ремонт 1,0 км автодороги</t>
  </si>
  <si>
    <t>Ремонт 1,0 км автодороги</t>
  </si>
  <si>
    <t xml:space="preserve"> Ремонт 10,0 км автодороги (в т.ч. поверхностная обработка)</t>
  </si>
  <si>
    <t xml:space="preserve"> Ремонт 8,0 км автодороги (в т.ч. поверхностная обработка)</t>
  </si>
  <si>
    <t xml:space="preserve"> Ремонт 0,8 км автодороги</t>
  </si>
  <si>
    <t>а/д "Новосибирск - Ленинск-Кузнецкий (в границах НСО)" (поверхностная обработка)</t>
  </si>
  <si>
    <t>а/д "Новосибирск - Ленинск-Кузнецкий (в границах НСО)" (устройство слоя износа из литых эмульсионно – минеральных смесей, в соответствии с ОДМ, утвержденной распоряжением Росавтодора N 377-р от 04.10.2001 г.)</t>
  </si>
  <si>
    <t>а/д "Чаны - Погорелка" (поверхностная обработка)</t>
  </si>
  <si>
    <t>а/д "3 км а/д "К-32"-Михайловка - гр. Алтайского края"</t>
  </si>
  <si>
    <t>Ввод в эксплуатацию моста протяженностью  73,1 п.м (подходы 0,5 км) **</t>
  </si>
  <si>
    <t xml:space="preserve">Строительство моста через ручей на 2 км автомобильной дороги «2 км а/д «Н-1514» - Октябрьский - Хабаровский» </t>
  </si>
  <si>
    <t>Реконструкция автомобильной дороги  "Инская - Барышево - 39 км а/д "К-19р" (в гр. района)" на участке км 17+939 - км 21+000 в Новосибирском районе Новосибирской области</t>
  </si>
  <si>
    <t xml:space="preserve"> Ремонт 2,53 км автодороги</t>
  </si>
  <si>
    <t>Ввод в эксплуатацию 2,1 км автодороги</t>
  </si>
  <si>
    <t>Строительство автомобильной дороги "Барышево - Орловка - Кольцово" с автодорожным тоннелем под железной дорогой</t>
  </si>
  <si>
    <t>Ввод в эксплуатацию 5,5 км автодороги</t>
  </si>
  <si>
    <t xml:space="preserve">а/д "Здвинск-Довольное-17 км а/д "К-09" </t>
  </si>
  <si>
    <t>Капитальный ремонт 1,72 км автодороги</t>
  </si>
  <si>
    <t>Капитальный ремонт 2,0 км автодороги</t>
  </si>
  <si>
    <t xml:space="preserve"> Ремонт 20,0 км автодороги (в т.ч. поверхностная обработка)</t>
  </si>
  <si>
    <t xml:space="preserve"> Ремонт 5,0 км автодороги</t>
  </si>
  <si>
    <t>1.2.2. Обеспечение восстановления и развития автодорог местного значения за счет субсидий местным бюджетам на осуществление дорожной деятельности в отношении автомобильных дорог местного значения</t>
  </si>
  <si>
    <t xml:space="preserve">1.2. Задача: Обеспечение сохранности и восстановления автомобильных дорог регионального, межмуниципального и местного значения и искусственных сооружений на них, а также улично-дорожной сети в муниципальных образованиях  Новосибирской области. </t>
  </si>
  <si>
    <t>областной бюджет, тыс.руб.</t>
  </si>
  <si>
    <t>федеральный бюджет, тыс.руб.</t>
  </si>
  <si>
    <t>Сумма затрат  тыс.руб.</t>
  </si>
  <si>
    <t>Сумма затрат, тыс.руб.</t>
  </si>
  <si>
    <t>Обл.бюджет тыс.руб.</t>
  </si>
  <si>
    <t>Сумма затрат тыс.руб.</t>
  </si>
  <si>
    <t>Ввод в эксплуатацию  6,9 км автодороги</t>
  </si>
  <si>
    <t>Ввод в эксплуатацию 1,34 км автодороги</t>
  </si>
  <si>
    <t>Капитальный ремонт 1,45 км автодороги</t>
  </si>
  <si>
    <t>а/д "332 км а/д "К-17р" -  ст.Зубково"</t>
  </si>
  <si>
    <t>областной бюджет тыс. руб.</t>
  </si>
  <si>
    <t>Ввод в эксплуатацию моста протяженностью  42,85 п.м (подходы 0,3 км)**</t>
  </si>
  <si>
    <t xml:space="preserve">Реконструкция автомобильной дороги "52 км а/д "К-02" - Филошенка" на участке км 18+109 - км 25+057 в Венгеровском районе Новосибирской области </t>
  </si>
  <si>
    <t xml:space="preserve">Реконструкция автомобильной дороги "Новосибирск-Садовый" в Новосибирском районе Новосибирской области </t>
  </si>
  <si>
    <t>Реконструкция автомобильной дороги  "Инская - Барышево - 39 км а/д "К-19р" (в гр. района)" на участке км 21+000 - км 27+158 в Новосибирском районе Новосибирской области</t>
  </si>
  <si>
    <t>Реконструкция автомобильной дороги  "187 км а/д "К-22" - Резино", в Усть-Таркском районе Новосибирской области</t>
  </si>
  <si>
    <t>Ввод в эксплуатацию 0,9 км автодороги</t>
  </si>
  <si>
    <t>федеральный бюджет *****</t>
  </si>
  <si>
    <t>федеральный бюджет, тыс.руб. *****</t>
  </si>
  <si>
    <t>федеральный бюджет, тыс.руб.*****</t>
  </si>
  <si>
    <t>***** Мероприятия приоритетного проекта "Безопасные и качественные дороги"</t>
  </si>
  <si>
    <t>Ввод в эксплуатацию моста протяженностью 68 п.м (подходы 0,4 км) **(параметры строительства будут уточняться)</t>
  </si>
  <si>
    <t>а/д "Новосибирск - Сокур (в гр.района)"</t>
  </si>
  <si>
    <t xml:space="preserve"> Ремонт 8,3 км автодороги</t>
  </si>
  <si>
    <t>Оплата кредиторской задолженности по выполненным и принятым работам в 2016 году</t>
  </si>
  <si>
    <t>Цель: Развитие и обеспечение сохранности автомобильных дорог регионального, межмуниципального и местного значения для обеспечения внутриобластных перевозок в интересах экономики и населения Новосибирской области и для усиления роли Новосибирска как крупнейшего транспортно-логистического узла азиатской части России.</t>
  </si>
  <si>
    <t xml:space="preserve"> Оценка степени достижения целевого индикатора осуществляется по результатам выполненных работ по итогам года</t>
  </si>
  <si>
    <t>км</t>
  </si>
  <si>
    <t>%</t>
  </si>
  <si>
    <t>автомобильных дорог общего пользования местного значения</t>
  </si>
  <si>
    <t>автомобильных дорог общего пользования регионального и межмуниципального значения</t>
  </si>
  <si>
    <t>В связи с тем, что оценка степени достижения целевого индикатора осуществляется по результатам выполненных работ по итогам года, поквартальные значения индикатора не приводятся</t>
  </si>
  <si>
    <t>4.Объемы ввода в эксплуатацию после строительства и реконструкции автомобильных дорог общего пользования регионального и межмуниципального  значения**</t>
  </si>
  <si>
    <t>3.Протяженность сети автомобильных дорог общего пользования регионального и межмуниципального  значения на территории Новосибирской области</t>
  </si>
  <si>
    <t>км/тыс.кв.км</t>
  </si>
  <si>
    <t>2.Плотность автодорог регионального и межмуниципального значения с твердым покрытием (км автодорог на 1000 кв. км территории)</t>
  </si>
  <si>
    <t>1.Удельный вес автодорог с твердым покрытием в общей протяженности автодорог регионального и межмуниципального значения</t>
  </si>
  <si>
    <t>Задача 1.  Развитие и модернизация автомобильных дорог общего пользования регионального и межмуниципального значения и искусственных сооружений на них.</t>
  </si>
  <si>
    <t>Примечание</t>
  </si>
  <si>
    <t>Значение весового коэффициента целевого индикатора</t>
  </si>
  <si>
    <t>Ед. измерения</t>
  </si>
  <si>
    <t>Наименование целевого индикатора</t>
  </si>
  <si>
    <t>Цель/задачи, требующие решения для достижения цели</t>
  </si>
  <si>
    <t>государственной программы Новосибирской области</t>
  </si>
  <si>
    <t>Целевые индикаторы</t>
  </si>
  <si>
    <t>Таблица 1</t>
  </si>
  <si>
    <t>Федер.бюджет тыс.руб. *****</t>
  </si>
  <si>
    <t>Реализация мероприятия позволит восстановить изношенные верхние слои покрытий, восстановить дорожную одежду на участках с пучинистыми и слабыми грунтами, а также выполнить другие работы некапитального характера по восстановлению потребительских свойств автомобильных дорог и искусственных сооружений на них</t>
  </si>
  <si>
    <t>Реконструкция автомобильной дороги "39 км а/д "К-26" - Бровничи" на участке км 0 + 000 - км 6 + 895 в Венгеровском районе Нововсибирской области</t>
  </si>
  <si>
    <t>Ввод в эксплуатацию  автодороги, автодорожного тоннеля (объем работ  уточняется)</t>
  </si>
  <si>
    <t>Ввод в эксплуатацию моста протяженностью 50,0 п.м (подходы 0,6 км)  **</t>
  </si>
  <si>
    <t xml:space="preserve">Строительство мостового перехода ч/р Каракан на 55 км а/д "54 км а/д "М-52" - Завьялово -Факел Революции" в Искитимском районе Новосибирской области </t>
  </si>
  <si>
    <t>местные бюджеты</t>
  </si>
  <si>
    <t xml:space="preserve">федеральный бюджет </t>
  </si>
  <si>
    <t>Ввод в эксплуатацию 13,1 км автодороги</t>
  </si>
  <si>
    <t xml:space="preserve">Ввод в эксплуатацию моста протяженностью  23,6 п.м (подходы 0,0766 км)** </t>
  </si>
  <si>
    <t>Ввод в эксплуатацию моста протяженностью  247,3 п.м (подходы 0,6 км) **</t>
  </si>
  <si>
    <t>федеральный  бюджет, тыс.руб.*****</t>
  </si>
  <si>
    <t>Сумма затрат (тыс.руб.)</t>
  </si>
  <si>
    <t>Капитальный ремонт 5 км автодороги</t>
  </si>
  <si>
    <t>Капитальный ремонт 1,033 км автодороги</t>
  </si>
  <si>
    <t>Капитальный ремонт 2,568 км автодороги</t>
  </si>
  <si>
    <t xml:space="preserve"> Ремонт 12,8 км автодороги (в т.ч. поверхностная обработка)</t>
  </si>
  <si>
    <t>а/д "Новосибирск - Колывань -Томск (в границах НСО)" (поверхностная обработка)</t>
  </si>
  <si>
    <t>а/д "Кольцово - Академгородок"</t>
  </si>
  <si>
    <t xml:space="preserve"> Ремонт 8,5 км автодороги (в т.ч. поверхностная обработка)</t>
  </si>
  <si>
    <t xml:space="preserve"> Ремонт 9,8 км автодороги</t>
  </si>
  <si>
    <t>а/д "1 км а/д "Н-2123" - Верх-Тула -  Ленинское-ОБЬГЭС"</t>
  </si>
  <si>
    <t xml:space="preserve"> Ремонт 26,1 км автодороги (в т.ч. поверхностная обработка)</t>
  </si>
  <si>
    <t>Бюджетные обязательства по выполненным и принятым работам в 2016 году</t>
  </si>
  <si>
    <t>Оплата бюджетных обязательства по выполненным и принятым работам в 2016 году</t>
  </si>
  <si>
    <t>Реконструкция автомобильной дороги "22 км а/д "К-08" - Сарыбалык - Даниловская Ферма" на участке км 0+003 - км 2+068 в Доволенском районе  Новосибирской области</t>
  </si>
  <si>
    <t xml:space="preserve">Капитальный ремонт моста 34,7 п.м (подходы 0,04 км) </t>
  </si>
  <si>
    <t>Федер.бюджет тыс.руб. *</t>
  </si>
  <si>
    <t>внебюджетные источники</t>
  </si>
  <si>
    <t>Капитальный ремонт 56,65 п.м (0,9293 км)**</t>
  </si>
  <si>
    <t>Капитальный ремонт 0,3 км автодороги</t>
  </si>
  <si>
    <t>Задача 2. Обеспечение сохранности и восстановления автомобильных дорог регионального, межмуниципального и местного значения и искусственных сооружений на них, а также улично-дорожной сети в муниципальных образованиях  Новосибирской области.</t>
  </si>
  <si>
    <t>Реализация мероприятия позволит завершить государственную регистрацию права собственности Новосибирской области на автомобильные дороги и земельные участки, входящие в полосы отвода автомобильных дорог, а также права ГКУ НСО ТУАД на оперативное управление и постоянное (бессрочное) пользование</t>
  </si>
  <si>
    <t>61000R0181</t>
  </si>
  <si>
    <t>61000XXXXX</t>
  </si>
  <si>
    <t>52X</t>
  </si>
  <si>
    <t>федеральный бюджет***</t>
  </si>
  <si>
    <t>федеральный бюджет ***</t>
  </si>
  <si>
    <t>федеральный бюджет ******</t>
  </si>
  <si>
    <t>Федер.бюджет тыс.руб. ******</t>
  </si>
  <si>
    <t>52Х</t>
  </si>
  <si>
    <t>Значение показателя на 2018 год (поквартально)</t>
  </si>
  <si>
    <t>Значение показателя на 2020 год</t>
  </si>
  <si>
    <t>Ввод в эксплуатацию 7,5 км автодороги</t>
  </si>
  <si>
    <t>Ввод в эксплуатацию 12,5 км автодороги</t>
  </si>
  <si>
    <t>Ввод в эксплуатацию 2,5  км автодороги</t>
  </si>
  <si>
    <t>Реконструкция автомобильной дороги  "Инская - Барышево - 39 км а/д "К-19р" (в гр. района)" на участке км 26+000 - км 30+739 в Новосибирском районе Новосибирской области</t>
  </si>
  <si>
    <t>Ввод в эксплуатацию 4,7 км автодороги</t>
  </si>
  <si>
    <t>на очередной 2018 год и плановый период 2019 и 2020 годов</t>
  </si>
  <si>
    <t>Капитальный ремонт 1,2 км автодороги</t>
  </si>
  <si>
    <t xml:space="preserve">а/д «Сузун - Битки - Преображенка - 18 км а/д «К-13» (в гр. района)» </t>
  </si>
  <si>
    <t>а/д "53 км а/д "К-29" - Шарчино"</t>
  </si>
  <si>
    <t>а/д "Убинское - Кундран"</t>
  </si>
  <si>
    <t>Капитальный ремонт 0,9км  автодороги</t>
  </si>
  <si>
    <t xml:space="preserve"> Ремонт 6,0 км автодороги (в т.ч. поверхностная обработка)</t>
  </si>
  <si>
    <t xml:space="preserve"> Ремонт 6,5 км автодороги (в т.ч. поверхностная обработка)</t>
  </si>
  <si>
    <t>а/д "105 км а/д "М-52" - Черепаново - Маслянино"</t>
  </si>
  <si>
    <t xml:space="preserve"> Ремонт 2,0 км автодороги</t>
  </si>
  <si>
    <t>Минтранс НСО, ГКУ НСО "Мост"</t>
  </si>
  <si>
    <t>Применяемые сокращения: 
ГКУ НСО ТУАД – государственное казенное учреждение Новосибирской области «Территориальное управление автомобильных дорог Новосибирской области»;                                                                                                                                                                                                                                                                   ГКУ НСО "Мост" – государственное казенное учреждение Новосибирской области "Мост";
км – километр;
Минтранс НСО – министерство транспорта и дорожного хозяйства Новосибирской области;
НСО – Новосибирская область;                                                                                                                                                                                                                                                                                                                                                                                                                                                    п.м – погонные метры;                                                                                                                                                                                                                                                                                                                                                                                                                                                                                       РФ  – Российская Федерация;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руб. – тысяча рублей;                                                                                                                                                                                                                                                                                                                                                                                                                                                                                                                                                                                                                                                                                                                                                                                                                                                                                                                                                                      шт. –  штука.</t>
  </si>
  <si>
    <t>***</t>
  </si>
  <si>
    <t>Государственная программа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</si>
  <si>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шт.</t>
  </si>
  <si>
    <t xml:space="preserve">местный бюджет </t>
  </si>
  <si>
    <t>Бюджетные обязательства по выполненным и принятым работам в 2017 году</t>
  </si>
  <si>
    <t>Предусмотрены средства на оказание услуг по осуществлению функций независимого контроля за капитальным ремонтом автомобильных дорог</t>
  </si>
  <si>
    <t>Предусмотрены средства на оказание услуг по осуществлению функций независимого контроля за ремонтом автомобильных дорог</t>
  </si>
  <si>
    <t>Предусмотрены средства для оплаты энергопотребительских систем, на содержание мониторинговых приборов, содержание метеостанций, весового контроля, мероприятия по снегоборьбе и т.д.</t>
  </si>
  <si>
    <t>Таблица 3.1</t>
  </si>
  <si>
    <t xml:space="preserve">Весовой коэффициент по целевому индикатору будет присвоен после заключения федерального соглашения и начала финансирования  </t>
  </si>
  <si>
    <t>Передача земельных участков, попадающих в зону строительства, в собственность субъекта РФ, с последующей передачей концессионеру и начало строительно-монтажных работ в 2019 году</t>
  </si>
  <si>
    <t>1.2.1.1. Капитальный ремонт автомобильных дорог регионального и межмуниципального значения и искусственных сооружений на них (подробный перечень объектов указан в Таблице 3.1 плана реализации)</t>
  </si>
  <si>
    <t>1.2.1.2. Ремонт автомобильных дорог регионального и межмуниципального значения и искусственных сооружений на них (подробный перечень объектов указан в Таблице 3.1 плана реализации)</t>
  </si>
  <si>
    <t xml:space="preserve">Реконструкция автомобильной дороги "Венгерово - Минино - Верх-Красноярка - Северное (в гр. района)" в Венгеровском районе Новосибирской области       </t>
  </si>
  <si>
    <t>Ввод в эксплуатацию 2,4 км автодороги</t>
  </si>
  <si>
    <t>а/д "Сузун - Битки - Преображенка - 18 км а/д "К-13" (в гр. района) "</t>
  </si>
  <si>
    <t>Капитальный ремонт автодороги 2,1 км</t>
  </si>
  <si>
    <t>а/д "1408 км а/д "М-51" - Крутологово"</t>
  </si>
  <si>
    <t xml:space="preserve"> Ремонт 1,3 км автодороги</t>
  </si>
  <si>
    <t>а/д "15 км а/д "К-38" - Вассино - Дергоусово"</t>
  </si>
  <si>
    <t>Усть-Тарский район:</t>
  </si>
  <si>
    <t xml:space="preserve"> Ремонт 1,6 км автодороги</t>
  </si>
  <si>
    <t>а/д "Коченево - совхоз Коченевский"</t>
  </si>
  <si>
    <t xml:space="preserve">Реконструкция автомобильной дороги "99 км а/д "К-02" - Павлово" на участке км 10+500 - км 23+049 в Венгеровском районе Новосибирской области  </t>
  </si>
  <si>
    <t>Реконструкция автомобильной дороги "Мироновка - Петрушино" в Баганском районе Новосибирской области</t>
  </si>
  <si>
    <t>Реконструкция   автомобильной дороги  "Новосибирск - Кочки - Павлодар (в пред. РФ)" на участке Новосибирск – Ярково в Новосибирском районе Новосибирской области</t>
  </si>
  <si>
    <t>Ввод в эксплуатацию 6,948 км автодороги</t>
  </si>
  <si>
    <t>Ввод в эксплуатацию 2,646 км автодороги</t>
  </si>
  <si>
    <t>Капитальный ремонт 1,6 км автодороги</t>
  </si>
  <si>
    <t xml:space="preserve">Приложение к приказу Минтранса НСО                                                               от ..2018 № </t>
  </si>
  <si>
    <t xml:space="preserve">Приложение к приказу Минтранса НСО                                                               от  . . 2018 № </t>
  </si>
  <si>
    <t>Ввод в эксплуатацию 0,2 км автодороги</t>
  </si>
  <si>
    <t>Капитальный ремонт 4,2 км автодороги</t>
  </si>
  <si>
    <t xml:space="preserve"> Ремонт 8,9 км автодороги</t>
  </si>
  <si>
    <t xml:space="preserve"> Ремонт 4,1 км автодороги </t>
  </si>
  <si>
    <t xml:space="preserve"> Ремонт 1,4 км автодороги</t>
  </si>
  <si>
    <t>Рз</t>
  </si>
  <si>
    <t>Пр</t>
  </si>
  <si>
    <t>04</t>
  </si>
  <si>
    <t>09</t>
  </si>
  <si>
    <t>х</t>
  </si>
  <si>
    <t>Всего, в том числе:</t>
  </si>
  <si>
    <t>Оплата кредиторской задолжности за работы, выполненные в 2017 году</t>
  </si>
  <si>
    <t>В 2018 году будут исполнены по бюджетные обязательствам по выполненным и принятым работам в 2017 году</t>
  </si>
  <si>
    <t>Стоимость единицы</t>
  </si>
  <si>
    <t>Сумма затрат всего, в том числе</t>
  </si>
  <si>
    <t>федеральный бюджет</t>
  </si>
  <si>
    <t>областной бюджет, в том числе:</t>
  </si>
  <si>
    <t>Капитальный ремонт 1,40 км автодороги</t>
  </si>
  <si>
    <t>Значение показателя на очередной финансовый 2018 год</t>
  </si>
  <si>
    <t>1.2.1.3.1.Содержание автомобильных дорог регионального и межмуниципального значения и искусственных сооружений на них</t>
  </si>
  <si>
    <t>1.2.1.3.2. Оплата кредиторской задолженности за работы, выполненные в 2017 году</t>
  </si>
  <si>
    <t>1.2.1.6.1. Научно-исследовательские и конструкторские работы  в дорожной отрасли</t>
  </si>
  <si>
    <t>1.2.1.6.2. Оплата кредиторской задолженности за работы, выполненные в 2017 году</t>
  </si>
  <si>
    <t>1.2.1.7.2. Оплата кредиторской задолженности за работы, выполненные в 2017 году</t>
  </si>
  <si>
    <t xml:space="preserve">1.2.1.7.1.Разработка проектно-сметной документации для автомобильных дорог регионального и межмуниципального значения </t>
  </si>
  <si>
    <t xml:space="preserve">1.2.1.8.1. Планово-предупредительный ремонт автомобильных дорог общего пользования  регионального и межмуниципального значения и сооружений на них </t>
  </si>
  <si>
    <t>1.2.1.8.2. Оплата кредиторской задолженности за работы, выполненные в 2017 году</t>
  </si>
  <si>
    <t>Реализация мероприятия позволит в 2018-2020 годах  обеспечить поддержание транспортно-эксплуатационных характеристик автомобильных дорог и искусственных сооружений в состоянии, соответствующем требованиям действующих отраслевых нормативов</t>
  </si>
  <si>
    <t>В 2018-2020 годах реализация данного мероприятия позволит устранить деформации и повреждения покрытия проезжей части автомобильных дорог и элементов искусственных дорожных сооружений, восстановить продольный и поперечный профиль проезжей части автомобильных дорог с щебеночным покрытием, в том числе путем добавления нового материала</t>
  </si>
  <si>
    <t>В 2018 будет произведена оплата бюджетных обязательств по выполненным и принятым работам в 2017 году</t>
  </si>
  <si>
    <t>В 2018-2020 годах продолжится работа по совершенствованию дорожных технологий, конструкций и материалов, разработка индивидуальных сметных норм и единичных расценок, отсутствующих в сметной нормативной базе</t>
  </si>
  <si>
    <t>В 2018-2020 годах   реализация мероприятия позволит осуществлять заблаговременную подготовку  проектно-сметной документации, проведение процедуры размещения государственного заказа на строительно-монтажные работы до начала строительного сезона,   обеспечить разработку проектной и рабочей документации на первоочередные объекты  дорожной инфраструктуры Новосибирской области</t>
  </si>
  <si>
    <t>Выполнение работ по ответственному хранению материальных ценностей мобилизационного резерва</t>
  </si>
  <si>
    <t>Реконструкция автомобильной дороги  "Каргат - Маршанское" на участке км 14+008  - км 34+106 в Каргатском районе Новосибирской области</t>
  </si>
  <si>
    <t>а/д «60 км а/д «К-09» - Довольное»</t>
  </si>
  <si>
    <t>**Значения целевых индикаторов с учетом расчетной протяженности конкретных объектов строительства и реконструкции искусственных сооружений, введенных в эксплуатацию в отчетном году</t>
  </si>
  <si>
    <t>Выполнение работ в 2018-2020 годах в соответствии с заключенными договорами.Ввод в  2024 году в эксплуатацию  автодороги протяженностью 8,7 км</t>
  </si>
  <si>
    <t>а/д "21 км а/д "К-17р" - Верх-Тула"</t>
  </si>
  <si>
    <t xml:space="preserve"> Ремонт 1,1 км автодороги</t>
  </si>
  <si>
    <t xml:space="preserve"> Ремонт 1,4 км автодороги </t>
  </si>
  <si>
    <t xml:space="preserve"> Ремонт 11,5 км автодороги (в т.ч. поверхностная обработка)</t>
  </si>
  <si>
    <t xml:space="preserve"> Ремонт 1,7 км автодороги</t>
  </si>
  <si>
    <t>Реконструкция моста через ручей на 19 км а/д "Мальчиха - Лаптевка" в Колыванском районе Новосибирской области</t>
  </si>
  <si>
    <t>Реконструкция пешеходного моста на 8,61км а/д "Советское шоссе" в Новосибирском районе Новосибирской области</t>
  </si>
  <si>
    <t>Капитальный ремонт моста протяженностью 125,32 п.м.</t>
  </si>
  <si>
    <t>Капитальный ремонт моста протяженностью 45,68 п.м.</t>
  </si>
  <si>
    <t>Капитальный ремонт моста протяженностью 28,97 п.м.</t>
  </si>
  <si>
    <t>Ввод в эксплуатацию надземного пешеходного перехода  протяженностью 33,89 п.м  **</t>
  </si>
  <si>
    <t>Капитальный ремонт автодороги 4,2 км</t>
  </si>
  <si>
    <t>Устранение недостатков на гарантийном объекте, без  ввода в эксплуатацию</t>
  </si>
  <si>
    <t xml:space="preserve"> Ремонт 5,8 км автодороги </t>
  </si>
  <si>
    <t>61000R5670</t>
  </si>
  <si>
    <t>Для проведения проектно -изыскательских работ.  Мостовой  переход протяженностью 56,5 п.м., подходы 0,343 км</t>
  </si>
  <si>
    <t>Для проведения проектно -изыскательских работ. Протяженность автомобильной дороги 4,0  км</t>
  </si>
  <si>
    <t>Для проведения проектно -изыскательских работ. Протяженность автомобильной дороги 22,0  км</t>
  </si>
  <si>
    <t>Капитальный ремонт автодороги 0,4 км</t>
  </si>
  <si>
    <t xml:space="preserve">Для проведения регистрации права собственности </t>
  </si>
  <si>
    <t>Долгосрочная реализация в будующих периодах. Протяженность автомобильной дороги 10,0  км</t>
  </si>
  <si>
    <t>Предусмотрены средства на выполнение подготовительных работ для реконструкции автомобильных дорог, на оказание услуг по осуществлению функций строительного контроля за реконструкцией автомобильных дорог</t>
  </si>
  <si>
    <t xml:space="preserve"> Ремонт 14,6 ,км автодороги (в т.ч. поверхностная обработка)</t>
  </si>
  <si>
    <t xml:space="preserve"> Ремонт 3,8 км автодороги</t>
  </si>
  <si>
    <t>* Мероприятия в рамках реализации подпрограммы «Устойчивое развитие сельских территорий на 2014-2017 годы и на период до 2020 года» государственной программы Российской Федерации «Государственная программа развития сельского хозяйства и регулирования рынков сельскохозяйственной продукции, сырья и продовольствия на 2013 - 2020 годы»</t>
  </si>
  <si>
    <t xml:space="preserve">Начало работ, ввод в эксплатацию автомобильной дороги 2,6 км в 2021 году </t>
  </si>
  <si>
    <t>Оценка степени достижения целевого индикатора осуществляется по результатам выполненных работ по итогам года</t>
  </si>
  <si>
    <t xml:space="preserve"> В 2019 году оплата выполненных работ в соответствии с заключенными договорами, ввод в эксплуатацию в 2020 1,9 км автодороги.</t>
  </si>
  <si>
    <t xml:space="preserve">Запланированы работы по стрительсту моста в 2018-2019  годах  с вводом  в эксплуатацию моста в 2019 году протяженностью  63,83 п.м (подходы 0,3 км)** </t>
  </si>
  <si>
    <t>Ввод в эксплуатацию моста протяженностью 17,48 п.м. (подходы 0,1 км) **</t>
  </si>
  <si>
    <t xml:space="preserve">Оснащение объектов транспортной инфраструктуры техническими средствами обеспечения транспортной безопасности искусственных сооружений на автомобильных дорогах общего пользования Новосибирской области </t>
  </si>
  <si>
    <t xml:space="preserve"> Ремонт 9,3 км автодороги</t>
  </si>
  <si>
    <t>Наименовани показателя</t>
  </si>
  <si>
    <t>Сумма затрат всего, в том числе:</t>
  </si>
  <si>
    <t>Сумма затрат по государственной программе</t>
  </si>
  <si>
    <t>Итого затрат по задаче 1.2. цели 1. государственной программы</t>
  </si>
  <si>
    <t>Итого затрат по задаче 1.1 цели 1. государственной программы</t>
  </si>
  <si>
    <t xml:space="preserve"> Ремонт автодороги (сдача объекта перенесена на 2019 год, объем работ будет уточнен после заключения государственного контракта)</t>
  </si>
  <si>
    <t>6.Прирост протяженности сети автомобильных дорог регионального и межмуниципального  значения на территории Новосибирской области в результате строительства новых автомобильных дорог</t>
  </si>
  <si>
    <t>7. Прирост протяженности автомобильных дорог общего пользования регионального и межмуниципального значения на территории Новосибирской области, соответствующих нормативным требованиям к транспортно-эксплуатационным показателям в результате реконструкции автомобильных дорог</t>
  </si>
  <si>
    <t>8. Ввод в эксплуатацию автомобильных дорог общего пользования после строительства или реконструкции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</si>
  <si>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П2. Объем работ, выполненных в ходе строительства мостового перехода через р. Обь в створе ул. Ипподромской г. Новосибирска на условиях государственно-частного партнерства**</t>
  </si>
  <si>
    <t>5. Количество искусственных сооружений, оснащенных средствами обеспечения транспортной безопасности</t>
  </si>
  <si>
    <t>Искусственные сооружения, оснащеные средствами обеспечения транспортной безопасности, ед.</t>
  </si>
  <si>
    <t xml:space="preserve">11.Доля протяженности автомобильных дорог общего пользования, относящихся к государственной собственности Новосибирской области, не отвечающих нормативным требованиям, в общей протяженности автомобильных дорог общего пользования, относящихся к государственной собственности Новосибирской области </t>
  </si>
  <si>
    <t xml:space="preserve">12. Протяженность автомобильных дорог общего пользования регионального или межмуниципального значения с покрытием переходного типа на территории  Новосибирской области   </t>
  </si>
  <si>
    <t xml:space="preserve">13. Общая протяженность грунтовых автомобильных дорог общего пользования регионального или межмуниципального значения  на территории  Новосибирской области   </t>
  </si>
  <si>
    <t>14.Общая протяженность автомобильных дорог общего пользования регионального, межмуниципального и местного значения, соответствующих нормативным требованиям к транспортно-эксплуатационным показателям на 31 декабря отчетного года, в том числе:</t>
  </si>
  <si>
    <t xml:space="preserve">15. Прирост протяженности автомобильных дорог регионального, межмуниципального и местного значения, соответствующих нормативным требованиям к транспортно-эксплуатационным показателям в результате капитального ремонта и ремонта автомобильных дорог, в том числе: </t>
  </si>
  <si>
    <t xml:space="preserve">16. Объемы ввода в эксплуатацию в результате планово-предупредительного ремонта автомобильных дорог общего пользования  регионального и межмуниципального значения и сооружений на них </t>
  </si>
  <si>
    <t>17. Доля протяженности автомобильных дорог регионального, межмуниципального и местного значения, соответствующих нормативным требованиям к транспортно-эксплуатационным показателям на 31 декабря отчетного периода, в том числе:</t>
  </si>
  <si>
    <t>18.Удельный вес автодорог регионального значения с твердым покрытием (опорная сеть), не соответствующих нормативным требованиям</t>
  </si>
  <si>
    <t>19.Удельный вес мостовых сооружений на автодорогах регионального и межмуниципального значения, находящихся в неудовлетворительном техническом состоянии и не соответствующих нормативным требованиям</t>
  </si>
  <si>
    <t>20.Протяженность сети автомобильных дорог общего пользования местного значения на территории Новосибирской области</t>
  </si>
  <si>
    <t>21.Объемы ввода в эксплуатацию после строительства и реконструкции автомобильных дорог общего пользования местного значения</t>
  </si>
  <si>
    <t>22.Прирост протяженности сети автомобильных дорог местного значения на территории Новосибирской области в результате строительства новых автомобильных дорог</t>
  </si>
  <si>
    <t>23.Прирост протяженности автомобильных дорог общего пользования местного значения на территории Новосибирской области, соответствующих нормативным требованиям к транспортно-эксплуатационным показателям, в результате реконструкции автомобильных дорог</t>
  </si>
  <si>
    <t xml:space="preserve">24. Общая протяженность автомобильных дорог общего пользования местного значения с покрытием переходного типа на территории  Новосибирской области   </t>
  </si>
  <si>
    <t xml:space="preserve">25. Протяженность грунтовых автомобильных дорог общего пользования местного значения  на территории  Новосибирской области   </t>
  </si>
  <si>
    <t>* Степень готовности объекта определена на 2018-2022 годы с учетом запланированных обьемов финансирования и будет скорректирована при выделении межбюдетных трансфертов из федерального бюджета</t>
  </si>
  <si>
    <t>Ввод 1,4 км  капитального ремонта автодороги  в 2018 году</t>
  </si>
  <si>
    <t>П1. Количество изъятых земельных участков, попадающих в зону строительства, передаваемых в собственность субъекта РФ, с последующей передачей концессионеру</t>
  </si>
  <si>
    <t>10. Непревышение планового значения доли средств федерального бюджета в годовом объеме инвестиций, направленных на строительство (реконструкцию)  объекта, предусмотренного мероприятиями по строительству (реконструкции) автомобильных дорог (участков автомобильных дорог и (или) искусственных сооружений), реализуемых с применением механизмов  государственно-частного партнерства</t>
  </si>
  <si>
    <t>9. Техническая готовность объекта, предусмотренного мероприятиями по строительству (реконструкции) автомобильных дорог (участков автомобильных дорог и (или) искусственных сооружений), реализуемых с применением механизмов  государственно-частного партнерства*</t>
  </si>
  <si>
    <t>1.1.2.Мероприятия  по строительству (реконструкции) автомобильных дорог (участков автомобильных дорог и (или) искусственных сооружений), реализуемых с применением механизмов  государственно-частного партнерства, в том числе:</t>
  </si>
  <si>
    <t>1.1.2. .Мероприятия  по строительству (реконструкции) автомобильных дорог (участков автомобильных дорог и (или) искусственных сооружений), реализуемых с применением механизмов  государственно-частного партнерства, в том числе:</t>
  </si>
  <si>
    <t>***  Мероприятия  по строительству (реконструкции) автомобильных дорог (участков автомобильных дорог и (или) искусственных сооружений), реализуемых с применением механизмов  государственно-частного партнерства</t>
  </si>
  <si>
    <t>**** Остатки средств  федерального бюджета, неиспользованные на 1 января текущего года</t>
  </si>
  <si>
    <t xml:space="preserve"> Оценка степени достижения целевого индикатора осуществляется по результатам выполненных работ по итогам строительства</t>
  </si>
  <si>
    <t xml:space="preserve">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</t>
  </si>
  <si>
    <t xml:space="preserve">"Развитие автомобильных дорог регионального, межмуниципального и местного значения в Новосибирской области" </t>
  </si>
  <si>
    <t>41X</t>
  </si>
  <si>
    <t xml:space="preserve">Ввод в эксплуатацию законченных строительством и реконструкцией автодорог общего пользования регионального и межмуниципального значения и искусственных сооружений на них:                                             в 2018 году - 18,1 км;                                         в 2019 году - 23,7 км;                                            в 2020 году - 21,6 км.                                          </t>
  </si>
  <si>
    <t xml:space="preserve">Ввод в эксплуатацию законченных строительством и реконструкцией автодорог общего пользования регионального и межмуниципального значения; ввод в эксплуатацию искусственных сооружений:                                                                                       в 2018 году - 18,1 км;                                            в 2019 году - 23,7 км                     в 2020 году - 21,6 км                     </t>
  </si>
  <si>
    <t>1.1.1. Строительство и реконструкция автомобильных дорог регионального и межмуниципального значения и искусственных сооружений на них в целях увеличения их пропускной способности (подробный перечень объектов указан в Таблице 3.1 плана реализации)</t>
  </si>
  <si>
    <t xml:space="preserve">1.1.1. Строительство и реконструкция автомобильных дорог регионального и межмуниципального значения и искусственных сооружений на них в целях увеличения их пропускной способности </t>
  </si>
  <si>
    <t>Стоимость единицы, тыс.руб. ***</t>
  </si>
  <si>
    <r>
      <t>федеральный бюджет</t>
    </r>
    <r>
      <rPr>
        <b/>
        <sz val="6"/>
        <rFont val="Times New Roman"/>
        <family val="1"/>
        <charset val="204"/>
      </rPr>
      <t xml:space="preserve"> *</t>
    </r>
  </si>
  <si>
    <r>
      <rPr>
        <b/>
        <sz val="10"/>
        <rFont val="Times New Roman"/>
        <family val="1"/>
        <charset val="204"/>
      </rPr>
      <t>федеральный бюджет</t>
    </r>
    <r>
      <rPr>
        <b/>
        <sz val="8"/>
        <rFont val="Times New Roman"/>
        <family val="1"/>
        <charset val="204"/>
      </rPr>
      <t xml:space="preserve"> ***** </t>
    </r>
  </si>
  <si>
    <r>
      <t>Федер.бюджет тыс.руб.</t>
    </r>
    <r>
      <rPr>
        <sz val="8"/>
        <rFont val="Times New Roman"/>
        <family val="1"/>
        <charset val="204"/>
      </rPr>
      <t xml:space="preserve"> *</t>
    </r>
  </si>
  <si>
    <r>
      <t>федеральный бюджет</t>
    </r>
    <r>
      <rPr>
        <b/>
        <sz val="8"/>
        <rFont val="Times New Roman"/>
        <family val="1"/>
        <charset val="204"/>
      </rPr>
      <t xml:space="preserve"> *****</t>
    </r>
  </si>
  <si>
    <r>
      <t xml:space="preserve">федеральный бюджет </t>
    </r>
    <r>
      <rPr>
        <b/>
        <sz val="8"/>
        <rFont val="Times New Roman"/>
        <family val="1"/>
        <charset val="204"/>
      </rPr>
      <t>1*</t>
    </r>
  </si>
  <si>
    <r>
      <t>федеральный бюджет</t>
    </r>
    <r>
      <rPr>
        <sz val="8"/>
        <rFont val="Times New Roman"/>
        <family val="1"/>
        <charset val="204"/>
      </rPr>
      <t xml:space="preserve"> *****</t>
    </r>
  </si>
  <si>
    <t>Количество **</t>
  </si>
  <si>
    <t>Количество муниципальных образований ****</t>
  </si>
  <si>
    <r>
      <t>федеральный бюджет *</t>
    </r>
    <r>
      <rPr>
        <b/>
        <sz val="8"/>
        <rFont val="Times New Roman"/>
        <family val="1"/>
        <charset val="204"/>
      </rPr>
      <t xml:space="preserve"> </t>
    </r>
  </si>
  <si>
    <r>
      <rPr>
        <sz val="8"/>
        <rFont val="Times New Roman"/>
        <family val="1"/>
        <charset val="204"/>
      </rPr>
      <t xml:space="preserve">* </t>
    </r>
    <r>
      <rPr>
        <sz val="11"/>
        <rFont val="Times New Roman"/>
        <family val="1"/>
        <charset val="204"/>
      </rPr>
      <t>Мероприятия в рамках реализации подпрограммы «Устойчивое развитие сельских территорий на 2014-2017 годы и на период до 2020 года» государственной программы Российской Федерации «Государственная программа развития сельского хозяйства и регулирования рынков сельскохозяйственной продукции, сырья и продовольствия на 2013 - 2020 годы»</t>
    </r>
  </si>
  <si>
    <r>
      <rPr>
        <sz val="8"/>
        <rFont val="Times New Roman"/>
        <family val="1"/>
        <charset val="204"/>
      </rPr>
      <t xml:space="preserve">** </t>
    </r>
    <r>
      <rPr>
        <sz val="11"/>
        <rFont val="Times New Roman"/>
        <family val="1"/>
        <charset val="204"/>
      </rPr>
      <t>Количественное значение не устанавливается,  объем выполняемых работ по инвентаризации и паспортизации автомобильных дорог и дорожных сооружений на них, аварийно-восстановительных работ, НИОКР в дорожной отрасли, по разработке проектно-сметной документации для автомобильных дорог регионального и межмуниципального значения на них на очередной финансовый год определяется Минтрансом НСО совместно с ГКУ НСО ТУАД, исходя  из существующей потребности дорожной отрасли и имеющихся объемов финансирования на соответствующий год.</t>
    </r>
  </si>
  <si>
    <r>
      <rPr>
        <sz val="8"/>
        <rFont val="Times New Roman"/>
        <family val="1"/>
        <charset val="204"/>
      </rPr>
      <t xml:space="preserve">*** </t>
    </r>
    <r>
      <rPr>
        <sz val="11"/>
        <rFont val="Times New Roman"/>
        <family val="1"/>
        <charset val="204"/>
      </rPr>
      <t xml:space="preserve">Стоимость единицы указана в соотношении объема выполняемых работ и общего объема затрат в соответствующем году </t>
    </r>
  </si>
  <si>
    <t>**** Количество муниципальных образований, в которых осуществляется независимый контроль состояния автомобильных дорог после ремонта на очередной год,  определяется Минтрансом исходя  из существующей потребности дорожной отрасли и имеющихся объемов финансирования на соответствующий год.</t>
  </si>
  <si>
    <t>****** Мероприятия  по строительству (реконструкции) автомобильных дорог (участков автомобильных дорог и (или) искусственных сооружений), реализуемых с применением механизмов  государственно-частного партнерства</t>
  </si>
  <si>
    <t xml:space="preserve">1.1.3.  Оснащение объектов транспортной инфраструктуры техническими средствами обеспечения транспортной безопасности искусственных сооружений на автомобильных дорогах общего пользования Новосибирской области </t>
  </si>
  <si>
    <t xml:space="preserve">1.1.3. Оснащение объектов транспортной инфраструктуры техническими средствами обеспечения транспортной безопасности искусственных сооружений на автомобильных дорогах общего пользования Новосибирской области </t>
  </si>
  <si>
    <t>1.1.2.1. Строительство объекта капитального строительства "Мостовой переход через р. Обь в створе ул. Ипподромской г. Новосибирска. Этап 0. Подготовительные работы. Этап 1. Строительство мостового перехода через р. Обь. Этап 2. Строительство транспортной развязки в створе ул. Станиславского" в рамках концессионного соглашения, заключенного в соответствии с Федеральным законом от 21 июля 2005 г. № 115-ФЗ "О концессионных соглашениях", подлежащего эксплуатации на платной основе</t>
  </si>
  <si>
    <t xml:space="preserve">В 2019 году ввод в эксплуатацию  путепровода протяженностью 121,4 п.м  ** </t>
  </si>
  <si>
    <t>Техническая готовность объекта, %</t>
  </si>
  <si>
    <t xml:space="preserve">В 2018 году подготовка территории под строительство: проведение оценки размера возмещения стоимости недвижимого имущества, обследование зданий и сооружений, кадастровые и топографические работы; выплаты размера возмещения правообладателям при изъятии земельных участков и имущества, расположенного на них, передача 31 участка, выполнение комплекса строительно-монтажных работ по выносу инженерных коммуникаций из зоны строительства объекта. Этап 0, проведение спасательных археологических раскопок на территории выявленного объекта археологического наследия - памятника археологии.
в 2019 году выплаты размера возмещения правообладателям при изъятии земельных участков и имущества, расположенного на них, передача 133 участков. Разработка рабочей документации (концессионер). Выполнение строительно- монтажных работ по подготовке территории строительства, учитывая комплекс мероприятий по охране окружающей среды, вынос инженерных коммуникаций.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</si>
</sst>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_р_._-;\-* #,##0.0_р_._-;_-* &quot;-&quot;?_р_._-;_-@_-"/>
    <numFmt numFmtId="168" formatCode="#,##0.0"/>
    <numFmt numFmtId="169" formatCode="0.0"/>
    <numFmt numFmtId="170" formatCode="_-* #,##0.000_р_._-;\-* #,##0.000_р_._-;_-* &quot;-&quot;??_р_._-;_-@_-"/>
    <numFmt numFmtId="171" formatCode="#,##0.0_ ;\-#,##0.0\ "/>
    <numFmt numFmtId="172" formatCode="#,##0.00_ ;\-#,##0.00\ "/>
    <numFmt numFmtId="173" formatCode="0.000"/>
    <numFmt numFmtId="174" formatCode="0.0%"/>
    <numFmt numFmtId="177" formatCode="#,##0.0000"/>
    <numFmt numFmtId="178" formatCode="#,##0.000"/>
  </numFmts>
  <fonts count="5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</font>
    <font>
      <sz val="10"/>
      <name val="Helv"/>
    </font>
    <font>
      <sz val="10"/>
      <name val="Times New Roman"/>
      <family val="1"/>
    </font>
    <font>
      <sz val="10"/>
      <name val="Times New Roman CE"/>
      <family val="1"/>
      <charset val="238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name val="Times New Roman Cyr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Times New Roman CE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b/>
      <sz val="9"/>
      <name val="Times New Roman Cyr"/>
      <charset val="204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0" fontId="8" fillId="0" borderId="0"/>
    <xf numFmtId="0" fontId="8" fillId="0" borderId="0"/>
    <xf numFmtId="0" fontId="4" fillId="0" borderId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" fillId="0" borderId="0"/>
    <xf numFmtId="0" fontId="16" fillId="0" borderId="0"/>
    <xf numFmtId="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4" fillId="0" borderId="0"/>
    <xf numFmtId="0" fontId="8" fillId="0" borderId="0"/>
    <xf numFmtId="0" fontId="8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" fillId="0" borderId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</cellStyleXfs>
  <cellXfs count="541">
    <xf numFmtId="0" fontId="0" fillId="0" borderId="0" xfId="0"/>
    <xf numFmtId="0" fontId="2" fillId="2" borderId="1" xfId="1" applyNumberFormat="1" applyFont="1" applyFill="1" applyBorder="1" applyAlignment="1" applyProtection="1">
      <alignment horizontal="center" vertical="top" wrapText="1"/>
      <protection hidden="1"/>
    </xf>
    <xf numFmtId="0" fontId="2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4" applyNumberFormat="1" applyFont="1" applyFill="1" applyBorder="1" applyAlignment="1" applyProtection="1">
      <alignment horizontal="center" vertical="top" wrapText="1"/>
      <protection hidden="1"/>
    </xf>
    <xf numFmtId="166" fontId="2" fillId="2" borderId="1" xfId="4" applyNumberFormat="1" applyFont="1" applyFill="1" applyBorder="1" applyAlignment="1" applyProtection="1">
      <alignment horizontal="center" vertical="top" wrapText="1"/>
      <protection hidden="1"/>
    </xf>
    <xf numFmtId="166" fontId="9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165" fontId="9" fillId="2" borderId="1" xfId="4" applyFont="1" applyFill="1" applyBorder="1" applyAlignment="1" applyProtection="1">
      <alignment horizontal="center" vertical="center" wrapText="1"/>
      <protection hidden="1"/>
    </xf>
    <xf numFmtId="166" fontId="2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0" applyNumberFormat="1" applyFont="1" applyFill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66" fontId="9" fillId="2" borderId="1" xfId="4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vertical="center" wrapText="1"/>
      <protection hidden="1"/>
    </xf>
    <xf numFmtId="0" fontId="9" fillId="2" borderId="3" xfId="1" applyNumberFormat="1" applyFont="1" applyFill="1" applyBorder="1" applyAlignment="1" applyProtection="1">
      <alignment vertical="top" wrapText="1"/>
      <protection hidden="1"/>
    </xf>
    <xf numFmtId="0" fontId="9" fillId="2" borderId="4" xfId="1" applyNumberFormat="1" applyFont="1" applyFill="1" applyBorder="1" applyAlignment="1" applyProtection="1">
      <alignment vertical="top" wrapText="1"/>
      <protection hidden="1"/>
    </xf>
    <xf numFmtId="0" fontId="10" fillId="2" borderId="3" xfId="0" applyNumberFormat="1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vertical="top" wrapText="1"/>
      <protection hidden="1"/>
    </xf>
    <xf numFmtId="166" fontId="2" fillId="2" borderId="1" xfId="4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 applyProtection="1">
      <alignment horizontal="left" vertical="center" wrapText="1"/>
      <protection hidden="1"/>
    </xf>
    <xf numFmtId="166" fontId="2" fillId="2" borderId="1" xfId="4" applyNumberFormat="1" applyFont="1" applyFill="1" applyBorder="1" applyAlignment="1" applyProtection="1">
      <alignment horizontal="right" vertical="center"/>
      <protection hidden="1"/>
    </xf>
    <xf numFmtId="166" fontId="2" fillId="2" borderId="1" xfId="4" applyNumberFormat="1" applyFont="1" applyFill="1" applyBorder="1"/>
    <xf numFmtId="0" fontId="11" fillId="2" borderId="0" xfId="0" applyNumberFormat="1" applyFont="1" applyFill="1" applyAlignment="1">
      <alignment horizontal="right" vertical="center" wrapText="1"/>
    </xf>
    <xf numFmtId="0" fontId="2" fillId="2" borderId="0" xfId="0" applyNumberFormat="1" applyFont="1" applyFill="1" applyAlignment="1">
      <alignment horizontal="center" vertical="center" wrapText="1"/>
    </xf>
    <xf numFmtId="166" fontId="2" fillId="2" borderId="1" xfId="4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/>
    </xf>
    <xf numFmtId="169" fontId="9" fillId="2" borderId="1" xfId="4" applyNumberFormat="1" applyFont="1" applyFill="1" applyBorder="1" applyAlignment="1">
      <alignment horizontal="center" vertical="center" wrapText="1"/>
    </xf>
    <xf numFmtId="169" fontId="9" fillId="2" borderId="1" xfId="0" applyNumberFormat="1" applyFont="1" applyFill="1" applyBorder="1" applyAlignment="1">
      <alignment horizontal="center" vertical="center" wrapText="1"/>
    </xf>
    <xf numFmtId="166" fontId="9" fillId="2" borderId="2" xfId="4" applyNumberFormat="1" applyFont="1" applyFill="1" applyBorder="1" applyAlignment="1" applyProtection="1">
      <alignment horizontal="center" vertical="center" wrapText="1"/>
      <protection hidden="1"/>
    </xf>
    <xf numFmtId="166" fontId="9" fillId="2" borderId="4" xfId="4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0" applyNumberFormat="1" applyFont="1" applyFill="1" applyAlignment="1">
      <alignment horizontal="center" vertical="center" wrapText="1"/>
    </xf>
    <xf numFmtId="0" fontId="2" fillId="2" borderId="3" xfId="0" applyNumberFormat="1" applyFont="1" applyFill="1" applyBorder="1" applyAlignment="1">
      <alignment vertical="top" wrapText="1"/>
    </xf>
    <xf numFmtId="167" fontId="7" fillId="2" borderId="0" xfId="0" applyNumberFormat="1" applyFont="1" applyFill="1" applyAlignment="1">
      <alignment vertical="center" wrapText="1"/>
    </xf>
    <xf numFmtId="165" fontId="9" fillId="2" borderId="1" xfId="4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top" wrapText="1"/>
    </xf>
    <xf numFmtId="165" fontId="9" fillId="2" borderId="1" xfId="4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7" fillId="2" borderId="0" xfId="4" applyNumberFormat="1" applyFont="1" applyFill="1" applyAlignment="1">
      <alignment vertical="center" wrapText="1"/>
    </xf>
    <xf numFmtId="170" fontId="2" fillId="2" borderId="1" xfId="4" applyNumberFormat="1" applyFont="1" applyFill="1" applyBorder="1" applyAlignment="1">
      <alignment horizontal="center" vertical="center" wrapText="1"/>
    </xf>
    <xf numFmtId="167" fontId="7" fillId="2" borderId="0" xfId="4" applyNumberFormat="1" applyFont="1" applyFill="1" applyAlignment="1">
      <alignment vertical="center" wrapText="1"/>
    </xf>
    <xf numFmtId="0" fontId="2" fillId="2" borderId="4" xfId="0" applyNumberFormat="1" applyFont="1" applyFill="1" applyBorder="1" applyAlignment="1">
      <alignment vertical="top" wrapText="1"/>
    </xf>
    <xf numFmtId="0" fontId="9" fillId="2" borderId="4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168" fontId="15" fillId="2" borderId="1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vertical="center" wrapText="1"/>
    </xf>
    <xf numFmtId="0" fontId="17" fillId="0" borderId="0" xfId="0" applyNumberFormat="1" applyFont="1" applyFill="1" applyAlignment="1">
      <alignment vertical="top" wrapText="1"/>
    </xf>
    <xf numFmtId="0" fontId="20" fillId="0" borderId="0" xfId="0" applyNumberFormat="1" applyFont="1" applyFill="1" applyAlignment="1">
      <alignment vertical="top" wrapText="1"/>
    </xf>
    <xf numFmtId="166" fontId="17" fillId="0" borderId="0" xfId="0" applyNumberFormat="1" applyFont="1" applyFill="1" applyAlignment="1">
      <alignment vertical="top" wrapText="1"/>
    </xf>
    <xf numFmtId="2" fontId="17" fillId="0" borderId="0" xfId="0" applyNumberFormat="1" applyFont="1" applyFill="1" applyAlignment="1">
      <alignment vertical="top" wrapText="1"/>
    </xf>
    <xf numFmtId="167" fontId="17" fillId="0" borderId="0" xfId="0" applyNumberFormat="1" applyFont="1" applyFill="1" applyAlignment="1">
      <alignment vertical="top" wrapText="1"/>
    </xf>
    <xf numFmtId="168" fontId="9" fillId="2" borderId="1" xfId="4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9" fillId="2" borderId="2" xfId="1" applyNumberFormat="1" applyFont="1" applyFill="1" applyBorder="1" applyAlignment="1" applyProtection="1">
      <alignment horizontal="left" vertical="top" wrapText="1"/>
      <protection hidden="1"/>
    </xf>
    <xf numFmtId="0" fontId="9" fillId="2" borderId="3" xfId="1" applyNumberFormat="1" applyFont="1" applyFill="1" applyBorder="1" applyAlignment="1" applyProtection="1">
      <alignment horizontal="left" vertical="top" wrapText="1"/>
      <protection hidden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9" fillId="2" borderId="4" xfId="1" applyNumberFormat="1" applyFont="1" applyFill="1" applyBorder="1" applyAlignment="1" applyProtection="1">
      <alignment horizontal="left" vertical="top" wrapText="1"/>
      <protection hidden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vertical="top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Fill="1" applyBorder="1" applyAlignment="1">
      <alignment vertical="top" wrapText="1"/>
    </xf>
    <xf numFmtId="166" fontId="22" fillId="2" borderId="1" xfId="4" applyNumberFormat="1" applyFont="1" applyFill="1" applyBorder="1" applyAlignment="1">
      <alignment horizontal="center" vertical="center" wrapText="1"/>
    </xf>
    <xf numFmtId="169" fontId="2" fillId="2" borderId="1" xfId="4" applyNumberFormat="1" applyFont="1" applyFill="1" applyBorder="1" applyAlignment="1">
      <alignment horizontal="center" vertical="center" wrapText="1"/>
    </xf>
    <xf numFmtId="169" fontId="2" fillId="2" borderId="1" xfId="1" applyNumberFormat="1" applyFont="1" applyFill="1" applyBorder="1" applyAlignment="1" applyProtection="1">
      <alignment horizontal="center" vertical="top" wrapText="1"/>
      <protection hidden="1"/>
    </xf>
    <xf numFmtId="169" fontId="23" fillId="2" borderId="1" xfId="4" applyNumberFormat="1" applyFont="1" applyFill="1" applyBorder="1" applyAlignment="1">
      <alignment horizontal="center" vertical="center" wrapText="1"/>
    </xf>
    <xf numFmtId="169" fontId="23" fillId="2" borderId="1" xfId="4" applyNumberFormat="1" applyFont="1" applyFill="1" applyBorder="1" applyAlignment="1" applyProtection="1">
      <alignment horizontal="center" vertical="center" wrapText="1"/>
      <protection hidden="1"/>
    </xf>
    <xf numFmtId="166" fontId="3" fillId="2" borderId="1" xfId="4" applyNumberFormat="1" applyFont="1" applyFill="1" applyBorder="1" applyAlignment="1">
      <alignment horizontal="center" vertical="center" wrapText="1"/>
    </xf>
    <xf numFmtId="166" fontId="10" fillId="2" borderId="1" xfId="4" applyNumberFormat="1" applyFont="1" applyFill="1" applyBorder="1" applyAlignment="1">
      <alignment horizontal="center" vertical="center" wrapText="1"/>
    </xf>
    <xf numFmtId="169" fontId="7" fillId="2" borderId="0" xfId="0" applyNumberFormat="1" applyFont="1" applyFill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69" fontId="10" fillId="2" borderId="1" xfId="0" applyNumberFormat="1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 wrapText="1"/>
    </xf>
    <xf numFmtId="168" fontId="9" fillId="2" borderId="4" xfId="4" applyNumberFormat="1" applyFont="1" applyFill="1" applyBorder="1" applyAlignment="1">
      <alignment horizontal="center" vertical="center" wrapText="1"/>
    </xf>
    <xf numFmtId="168" fontId="2" fillId="2" borderId="1" xfId="4" applyNumberFormat="1" applyFont="1" applyFill="1" applyBorder="1" applyAlignment="1">
      <alignment horizontal="center" vertical="center" wrapText="1"/>
    </xf>
    <xf numFmtId="168" fontId="2" fillId="2" borderId="4" xfId="4" applyNumberFormat="1" applyFont="1" applyFill="1" applyBorder="1" applyAlignment="1">
      <alignment horizontal="center" vertical="center" wrapText="1"/>
    </xf>
    <xf numFmtId="168" fontId="2" fillId="2" borderId="1" xfId="4" applyNumberFormat="1" applyFont="1" applyFill="1" applyBorder="1" applyAlignment="1" applyProtection="1">
      <alignment horizontal="center" vertical="center" wrapText="1"/>
      <protection hidden="1"/>
    </xf>
    <xf numFmtId="168" fontId="19" fillId="0" borderId="1" xfId="4" applyNumberFormat="1" applyFont="1" applyFill="1" applyBorder="1" applyAlignment="1">
      <alignment horizontal="center" vertical="center" wrapText="1"/>
    </xf>
    <xf numFmtId="168" fontId="9" fillId="2" borderId="1" xfId="4" applyNumberFormat="1" applyFont="1" applyFill="1" applyBorder="1" applyAlignment="1" applyProtection="1">
      <alignment horizontal="center" vertical="center" wrapText="1"/>
      <protection hidden="1"/>
    </xf>
    <xf numFmtId="168" fontId="18" fillId="0" borderId="1" xfId="4" applyNumberFormat="1" applyFont="1" applyFill="1" applyBorder="1" applyAlignment="1">
      <alignment horizontal="center" vertical="center" wrapText="1"/>
    </xf>
    <xf numFmtId="168" fontId="23" fillId="2" borderId="1" xfId="4" applyNumberFormat="1" applyFont="1" applyFill="1" applyBorder="1" applyAlignment="1">
      <alignment horizontal="center" vertical="center" wrapText="1"/>
    </xf>
    <xf numFmtId="168" fontId="2" fillId="2" borderId="1" xfId="4" applyNumberFormat="1" applyFont="1" applyFill="1" applyBorder="1" applyAlignment="1" applyProtection="1">
      <alignment horizontal="center" vertical="top" wrapText="1"/>
      <protection hidden="1"/>
    </xf>
    <xf numFmtId="168" fontId="2" fillId="2" borderId="1" xfId="4" applyNumberFormat="1" applyFont="1" applyFill="1" applyBorder="1" applyAlignment="1">
      <alignment horizontal="center" vertical="top" wrapText="1"/>
    </xf>
    <xf numFmtId="168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9" fillId="2" borderId="2" xfId="4" applyNumberFormat="1" applyFont="1" applyFill="1" applyBorder="1" applyAlignment="1" applyProtection="1">
      <alignment horizontal="center" vertical="center" wrapText="1"/>
      <protection hidden="1"/>
    </xf>
    <xf numFmtId="168" fontId="9" fillId="2" borderId="4" xfId="4" applyNumberFormat="1" applyFont="1" applyFill="1" applyBorder="1" applyAlignment="1" applyProtection="1">
      <alignment horizontal="center" vertical="center" wrapText="1"/>
      <protection hidden="1"/>
    </xf>
    <xf numFmtId="168" fontId="2" fillId="2" borderId="1" xfId="4" applyNumberFormat="1" applyFont="1" applyFill="1" applyBorder="1" applyAlignment="1" applyProtection="1">
      <alignment horizontal="right" vertical="center"/>
      <protection hidden="1"/>
    </xf>
    <xf numFmtId="168" fontId="7" fillId="2" borderId="0" xfId="0" applyNumberFormat="1" applyFont="1" applyFill="1" applyAlignment="1">
      <alignment vertical="center" wrapText="1"/>
    </xf>
    <xf numFmtId="0" fontId="22" fillId="2" borderId="4" xfId="0" applyNumberFormat="1" applyFont="1" applyFill="1" applyBorder="1" applyAlignment="1">
      <alignment vertical="top" wrapText="1"/>
    </xf>
    <xf numFmtId="0" fontId="22" fillId="2" borderId="1" xfId="0" applyNumberFormat="1" applyFont="1" applyFill="1" applyBorder="1" applyAlignment="1">
      <alignment vertical="top"/>
    </xf>
    <xf numFmtId="0" fontId="7" fillId="2" borderId="0" xfId="0" applyNumberFormat="1" applyFont="1" applyFill="1" applyAlignment="1">
      <alignment vertical="top" wrapText="1"/>
    </xf>
    <xf numFmtId="0" fontId="2" fillId="2" borderId="0" xfId="0" applyNumberFormat="1" applyFont="1" applyFill="1" applyAlignment="1">
      <alignment horizontal="center" vertical="top" wrapText="1"/>
    </xf>
    <xf numFmtId="0" fontId="2" fillId="2" borderId="0" xfId="0" applyNumberFormat="1" applyFont="1" applyFill="1" applyBorder="1" applyAlignment="1">
      <alignment vertical="top" wrapText="1"/>
    </xf>
    <xf numFmtId="0" fontId="2" fillId="2" borderId="0" xfId="0" applyNumberFormat="1" applyFont="1" applyFill="1" applyBorder="1" applyAlignment="1">
      <alignment horizontal="center" vertical="top" wrapText="1"/>
    </xf>
    <xf numFmtId="166" fontId="2" fillId="2" borderId="0" xfId="4" applyNumberFormat="1" applyFont="1" applyFill="1" applyBorder="1" applyAlignment="1">
      <alignment horizontal="center" vertical="top" wrapText="1"/>
    </xf>
    <xf numFmtId="168" fontId="2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9" fillId="0" borderId="1" xfId="4" applyNumberFormat="1" applyFont="1" applyFill="1" applyBorder="1" applyAlignment="1">
      <alignment horizontal="center" vertical="center" wrapText="1"/>
    </xf>
    <xf numFmtId="168" fontId="2" fillId="0" borderId="1" xfId="4" applyNumberFormat="1" applyFont="1" applyFill="1" applyBorder="1" applyAlignment="1">
      <alignment horizontal="center" vertical="center" wrapText="1"/>
    </xf>
    <xf numFmtId="168" fontId="9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4" applyNumberFormat="1" applyFont="1" applyFill="1" applyBorder="1" applyAlignment="1">
      <alignment horizontal="center" vertical="center" wrapText="1"/>
    </xf>
    <xf numFmtId="168" fontId="23" fillId="0" borderId="1" xfId="4" applyNumberFormat="1" applyFont="1" applyFill="1" applyBorder="1" applyAlignment="1">
      <alignment horizontal="center" vertical="center" wrapText="1"/>
    </xf>
    <xf numFmtId="168" fontId="2" fillId="0" borderId="1" xfId="4" applyNumberFormat="1" applyFont="1" applyFill="1" applyBorder="1" applyAlignment="1">
      <alignment horizontal="center" vertical="top" wrapText="1"/>
    </xf>
    <xf numFmtId="169" fontId="2" fillId="0" borderId="1" xfId="4" applyNumberFormat="1" applyFont="1" applyFill="1" applyBorder="1" applyAlignment="1">
      <alignment horizontal="center" vertical="center" wrapText="1"/>
    </xf>
    <xf numFmtId="168" fontId="9" fillId="0" borderId="2" xfId="4" applyNumberFormat="1" applyFont="1" applyFill="1" applyBorder="1" applyAlignment="1">
      <alignment horizontal="center" vertical="center" wrapText="1"/>
    </xf>
    <xf numFmtId="168" fontId="9" fillId="0" borderId="4" xfId="4" applyNumberFormat="1" applyFont="1" applyFill="1" applyBorder="1" applyAlignment="1">
      <alignment horizontal="center" vertical="center" wrapText="1"/>
    </xf>
    <xf numFmtId="168" fontId="2" fillId="0" borderId="1" xfId="4" applyNumberFormat="1" applyFont="1" applyFill="1" applyBorder="1"/>
    <xf numFmtId="169" fontId="23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4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7" fillId="0" borderId="0" xfId="4" applyNumberFormat="1" applyFont="1" applyFill="1" applyAlignment="1">
      <alignment vertical="center" wrapText="1"/>
    </xf>
    <xf numFmtId="166" fontId="2" fillId="2" borderId="0" xfId="4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center" vertical="center" wrapText="1"/>
    </xf>
    <xf numFmtId="168" fontId="10" fillId="2" borderId="1" xfId="4" applyNumberFormat="1" applyFont="1" applyFill="1" applyBorder="1" applyAlignment="1">
      <alignment horizontal="center" vertical="center" wrapText="1"/>
    </xf>
    <xf numFmtId="168" fontId="22" fillId="2" borderId="1" xfId="4" applyNumberFormat="1" applyFont="1" applyFill="1" applyBorder="1" applyAlignment="1">
      <alignment horizontal="center" vertical="center" wrapText="1"/>
    </xf>
    <xf numFmtId="168" fontId="7" fillId="2" borderId="0" xfId="0" applyNumberFormat="1" applyFont="1" applyFill="1" applyAlignment="1">
      <alignment horizontal="center" vertical="center" wrapText="1"/>
    </xf>
    <xf numFmtId="168" fontId="3" fillId="2" borderId="1" xfId="4" applyNumberFormat="1" applyFont="1" applyFill="1" applyBorder="1" applyAlignment="1">
      <alignment horizontal="center" vertical="center" wrapText="1"/>
    </xf>
    <xf numFmtId="168" fontId="22" fillId="2" borderId="0" xfId="0" applyNumberFormat="1" applyFont="1" applyFill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/>
    </xf>
    <xf numFmtId="166" fontId="22" fillId="2" borderId="1" xfId="4" applyNumberFormat="1" applyFont="1" applyFill="1" applyBorder="1" applyAlignment="1">
      <alignment horizontal="center" vertical="center"/>
    </xf>
    <xf numFmtId="168" fontId="22" fillId="2" borderId="1" xfId="4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vertical="top"/>
    </xf>
    <xf numFmtId="166" fontId="22" fillId="2" borderId="2" xfId="4" applyNumberFormat="1" applyFont="1" applyFill="1" applyBorder="1" applyAlignment="1">
      <alignment horizontal="center" vertical="center" wrapText="1"/>
    </xf>
    <xf numFmtId="168" fontId="22" fillId="2" borderId="2" xfId="4" applyNumberFormat="1" applyFont="1" applyFill="1" applyBorder="1" applyAlignment="1">
      <alignment horizontal="center" vertical="center" wrapText="1"/>
    </xf>
    <xf numFmtId="166" fontId="10" fillId="2" borderId="4" xfId="4" applyNumberFormat="1" applyFont="1" applyFill="1" applyBorder="1" applyAlignment="1">
      <alignment horizontal="center" vertical="center" wrapText="1"/>
    </xf>
    <xf numFmtId="168" fontId="10" fillId="2" borderId="4" xfId="4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/>
    </xf>
    <xf numFmtId="166" fontId="22" fillId="2" borderId="2" xfId="4" applyNumberFormat="1" applyFont="1" applyFill="1" applyBorder="1" applyAlignment="1">
      <alignment horizontal="center" vertical="center"/>
    </xf>
    <xf numFmtId="168" fontId="22" fillId="2" borderId="2" xfId="4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vertical="top" wrapText="1"/>
    </xf>
    <xf numFmtId="0" fontId="22" fillId="2" borderId="1" xfId="0" applyNumberFormat="1" applyFont="1" applyFill="1" applyBorder="1" applyAlignment="1">
      <alignment vertical="center" wrapText="1"/>
    </xf>
    <xf numFmtId="0" fontId="20" fillId="0" borderId="14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/>
    </xf>
    <xf numFmtId="4" fontId="22" fillId="2" borderId="1" xfId="4" applyNumberFormat="1" applyFont="1" applyFill="1" applyBorder="1" applyAlignment="1">
      <alignment horizontal="center" vertical="center" wrapText="1"/>
    </xf>
    <xf numFmtId="4" fontId="10" fillId="2" borderId="1" xfId="4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>
      <alignment horizontal="center" vertical="center"/>
    </xf>
    <xf numFmtId="166" fontId="30" fillId="2" borderId="2" xfId="4" applyNumberFormat="1" applyFont="1" applyFill="1" applyBorder="1" applyAlignment="1">
      <alignment horizontal="center" vertical="center"/>
    </xf>
    <xf numFmtId="168" fontId="30" fillId="2" borderId="2" xfId="4" applyNumberFormat="1" applyFont="1" applyFill="1" applyBorder="1" applyAlignment="1">
      <alignment horizontal="center" vertical="center"/>
    </xf>
    <xf numFmtId="0" fontId="31" fillId="0" borderId="0" xfId="0" applyNumberFormat="1" applyFont="1" applyFill="1" applyAlignment="1">
      <alignment vertical="top"/>
    </xf>
    <xf numFmtId="0" fontId="32" fillId="2" borderId="2" xfId="0" applyNumberFormat="1" applyFont="1" applyFill="1" applyBorder="1" applyAlignment="1">
      <alignment horizontal="center" vertical="center"/>
    </xf>
    <xf numFmtId="168" fontId="22" fillId="2" borderId="2" xfId="4" applyNumberFormat="1" applyFont="1" applyFill="1" applyBorder="1" applyAlignment="1">
      <alignment horizontal="left" vertical="top" wrapText="1"/>
    </xf>
    <xf numFmtId="168" fontId="17" fillId="0" borderId="0" xfId="0" applyNumberFormat="1" applyFont="1" applyFill="1" applyAlignment="1">
      <alignment vertical="top" wrapText="1"/>
    </xf>
    <xf numFmtId="168" fontId="7" fillId="2" borderId="1" xfId="0" applyNumberFormat="1" applyFont="1" applyFill="1" applyBorder="1" applyAlignment="1">
      <alignment horizontal="center" vertical="center" wrapText="1"/>
    </xf>
    <xf numFmtId="4" fontId="22" fillId="2" borderId="1" xfId="4" applyNumberFormat="1" applyFont="1" applyFill="1" applyBorder="1" applyAlignment="1">
      <alignment horizontal="center" vertical="center"/>
    </xf>
    <xf numFmtId="172" fontId="17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10" fillId="2" borderId="4" xfId="0" applyNumberFormat="1" applyFont="1" applyFill="1" applyBorder="1" applyAlignment="1">
      <alignment vertical="top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Alignment="1">
      <alignment horizontal="center" vertical="top" wrapText="1"/>
    </xf>
    <xf numFmtId="0" fontId="22" fillId="2" borderId="1" xfId="0" applyNumberFormat="1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vertical="top" wrapText="1"/>
    </xf>
    <xf numFmtId="0" fontId="22" fillId="2" borderId="1" xfId="0" applyNumberFormat="1" applyFont="1" applyFill="1" applyBorder="1" applyAlignment="1">
      <alignment horizontal="left" vertical="top"/>
    </xf>
    <xf numFmtId="0" fontId="22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4" fontId="2" fillId="2" borderId="1" xfId="6" applyFont="1" applyFill="1" applyBorder="1" applyAlignment="1">
      <alignment horizontal="center" vertical="center" wrapText="1"/>
    </xf>
    <xf numFmtId="168" fontId="2" fillId="0" borderId="1" xfId="4" applyNumberFormat="1" applyFont="1" applyFill="1" applyBorder="1" applyAlignment="1">
      <alignment horizontal="right"/>
    </xf>
    <xf numFmtId="168" fontId="15" fillId="2" borderId="1" xfId="0" applyNumberFormat="1" applyFont="1" applyFill="1" applyBorder="1" applyAlignment="1">
      <alignment horizontal="right"/>
    </xf>
    <xf numFmtId="4" fontId="22" fillId="2" borderId="2" xfId="4" applyNumberFormat="1" applyFont="1" applyFill="1" applyBorder="1" applyAlignment="1">
      <alignment horizontal="center" vertical="center" wrapText="1"/>
    </xf>
    <xf numFmtId="171" fontId="22" fillId="2" borderId="16" xfId="4" applyNumberFormat="1" applyFont="1" applyFill="1" applyBorder="1" applyAlignment="1" applyProtection="1">
      <alignment horizontal="center" vertical="center" wrapText="1"/>
    </xf>
    <xf numFmtId="168" fontId="32" fillId="2" borderId="1" xfId="4" applyNumberFormat="1" applyFont="1" applyFill="1" applyBorder="1" applyAlignment="1">
      <alignment horizontal="center" vertical="center"/>
    </xf>
    <xf numFmtId="171" fontId="22" fillId="2" borderId="15" xfId="4" applyNumberFormat="1" applyFont="1" applyFill="1" applyBorder="1" applyAlignment="1" applyProtection="1">
      <alignment horizontal="center" vertical="center" wrapText="1"/>
    </xf>
    <xf numFmtId="0" fontId="22" fillId="2" borderId="2" xfId="0" applyNumberFormat="1" applyFont="1" applyFill="1" applyBorder="1" applyAlignment="1">
      <alignment vertical="top"/>
    </xf>
    <xf numFmtId="0" fontId="22" fillId="2" borderId="3" xfId="0" applyNumberFormat="1" applyFont="1" applyFill="1" applyBorder="1" applyAlignment="1">
      <alignment vertical="top"/>
    </xf>
    <xf numFmtId="0" fontId="22" fillId="2" borderId="4" xfId="0" applyNumberFormat="1" applyFont="1" applyFill="1" applyBorder="1" applyAlignment="1">
      <alignment vertical="top"/>
    </xf>
    <xf numFmtId="169" fontId="10" fillId="2" borderId="1" xfId="4" applyNumberFormat="1" applyFont="1" applyFill="1" applyBorder="1" applyAlignment="1">
      <alignment horizontal="center" vertical="center" wrapText="1"/>
    </xf>
    <xf numFmtId="169" fontId="22" fillId="2" borderId="1" xfId="4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168" fontId="22" fillId="2" borderId="3" xfId="4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/>
    <xf numFmtId="0" fontId="36" fillId="2" borderId="13" xfId="0" applyFont="1" applyFill="1" applyBorder="1" applyAlignment="1">
      <alignment horizontal="center"/>
    </xf>
    <xf numFmtId="0" fontId="36" fillId="2" borderId="13" xfId="0" applyFont="1" applyFill="1" applyBorder="1"/>
    <xf numFmtId="0" fontId="3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168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168" fontId="37" fillId="2" borderId="1" xfId="12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6" fontId="37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left" vertical="center" wrapText="1"/>
    </xf>
    <xf numFmtId="169" fontId="37" fillId="2" borderId="1" xfId="12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top" wrapText="1"/>
    </xf>
    <xf numFmtId="2" fontId="37" fillId="2" borderId="1" xfId="12" applyNumberFormat="1" applyFont="1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 wrapText="1"/>
    </xf>
    <xf numFmtId="174" fontId="37" fillId="2" borderId="1" xfId="12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166" fontId="37" fillId="2" borderId="1" xfId="4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left" vertical="center" wrapText="1"/>
    </xf>
    <xf numFmtId="0" fontId="37" fillId="2" borderId="17" xfId="0" applyFont="1" applyFill="1" applyBorder="1" applyAlignment="1">
      <alignment horizontal="left" vertical="center" wrapText="1"/>
    </xf>
    <xf numFmtId="0" fontId="37" fillId="2" borderId="1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top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top" wrapText="1"/>
    </xf>
    <xf numFmtId="0" fontId="37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top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39" fillId="2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14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171" fontId="22" fillId="2" borderId="5" xfId="4" applyNumberFormat="1" applyFont="1" applyFill="1" applyBorder="1" applyAlignment="1" applyProtection="1">
      <alignment horizontal="center" vertical="center" wrapText="1"/>
    </xf>
    <xf numFmtId="168" fontId="10" fillId="2" borderId="2" xfId="4" applyNumberFormat="1" applyFont="1" applyFill="1" applyBorder="1" applyAlignment="1">
      <alignment horizontal="center" vertical="center" wrapText="1"/>
    </xf>
    <xf numFmtId="168" fontId="2" fillId="0" borderId="4" xfId="4" applyNumberFormat="1" applyFont="1" applyFill="1" applyBorder="1" applyAlignment="1">
      <alignment horizontal="center" vertical="center" wrapText="1"/>
    </xf>
    <xf numFmtId="166" fontId="22" fillId="2" borderId="4" xfId="4" applyNumberFormat="1" applyFont="1" applyFill="1" applyBorder="1" applyAlignment="1">
      <alignment horizontal="center" vertical="center" wrapText="1"/>
    </xf>
    <xf numFmtId="168" fontId="22" fillId="2" borderId="4" xfId="4" applyNumberFormat="1" applyFont="1" applyFill="1" applyBorder="1" applyAlignment="1">
      <alignment horizontal="center" vertical="center" wrapText="1"/>
    </xf>
    <xf numFmtId="168" fontId="29" fillId="2" borderId="1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 wrapText="1"/>
    </xf>
    <xf numFmtId="0" fontId="22" fillId="2" borderId="9" xfId="0" applyNumberFormat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2" fillId="2" borderId="1" xfId="0" applyNumberFormat="1" applyFont="1" applyFill="1" applyBorder="1" applyAlignment="1">
      <alignment horizontal="left" vertical="top" wrapText="1"/>
    </xf>
    <xf numFmtId="168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vertical="top" wrapText="1"/>
    </xf>
    <xf numFmtId="172" fontId="17" fillId="3" borderId="1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2" fillId="2" borderId="1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6" fontId="2" fillId="4" borderId="1" xfId="4" applyNumberFormat="1" applyFont="1" applyFill="1" applyBorder="1" applyAlignment="1" applyProtection="1">
      <alignment horizontal="right" vertical="center"/>
      <protection hidden="1"/>
    </xf>
    <xf numFmtId="166" fontId="2" fillId="4" borderId="1" xfId="4" applyNumberFormat="1" applyFont="1" applyFill="1" applyBorder="1"/>
    <xf numFmtId="168" fontId="2" fillId="4" borderId="1" xfId="4" applyNumberFormat="1" applyFont="1" applyFill="1" applyBorder="1" applyAlignment="1" applyProtection="1">
      <alignment horizontal="right" vertical="center"/>
      <protection hidden="1"/>
    </xf>
    <xf numFmtId="168" fontId="2" fillId="2" borderId="1" xfId="4" applyNumberFormat="1" applyFont="1" applyFill="1" applyBorder="1"/>
    <xf numFmtId="168" fontId="42" fillId="2" borderId="1" xfId="0" applyNumberFormat="1" applyFont="1" applyFill="1" applyBorder="1" applyAlignment="1">
      <alignment horizontal="center" vertical="center" wrapText="1"/>
    </xf>
    <xf numFmtId="168" fontId="43" fillId="2" borderId="0" xfId="0" applyNumberFormat="1" applyFont="1" applyFill="1" applyAlignment="1">
      <alignment vertical="center" wrapText="1"/>
    </xf>
    <xf numFmtId="0" fontId="43" fillId="2" borderId="0" xfId="0" applyNumberFormat="1" applyFont="1" applyFill="1" applyAlignment="1">
      <alignment vertical="center" wrapText="1"/>
    </xf>
    <xf numFmtId="4" fontId="43" fillId="2" borderId="0" xfId="0" applyNumberFormat="1" applyFont="1" applyFill="1" applyAlignment="1">
      <alignment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168" fontId="9" fillId="0" borderId="4" xfId="4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2" fillId="2" borderId="1" xfId="1" applyNumberFormat="1" applyFont="1" applyFill="1" applyBorder="1" applyAlignment="1" applyProtection="1">
      <alignment horizontal="left" vertical="top"/>
      <protection hidden="1"/>
    </xf>
    <xf numFmtId="0" fontId="2" fillId="2" borderId="1" xfId="0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top" wrapText="1"/>
    </xf>
    <xf numFmtId="167" fontId="43" fillId="2" borderId="0" xfId="0" applyNumberFormat="1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vertical="center" wrapText="1"/>
    </xf>
    <xf numFmtId="0" fontId="7" fillId="2" borderId="19" xfId="0" applyNumberFormat="1" applyFont="1" applyFill="1" applyBorder="1" applyAlignment="1">
      <alignment vertical="center" wrapText="1"/>
    </xf>
    <xf numFmtId="173" fontId="2" fillId="2" borderId="1" xfId="0" applyNumberFormat="1" applyFont="1" applyFill="1" applyBorder="1" applyAlignment="1">
      <alignment horizontal="center" vertical="center" wrapText="1"/>
    </xf>
    <xf numFmtId="16" fontId="37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177" fontId="10" fillId="2" borderId="1" xfId="4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8" fillId="2" borderId="1" xfId="0" applyNumberFormat="1" applyFont="1" applyFill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178" fontId="22" fillId="2" borderId="1" xfId="4" applyNumberFormat="1" applyFont="1" applyFill="1" applyBorder="1" applyAlignment="1">
      <alignment horizontal="center" vertical="center" wrapText="1"/>
    </xf>
    <xf numFmtId="178" fontId="10" fillId="2" borderId="1" xfId="4" applyNumberFormat="1" applyFont="1" applyFill="1" applyBorder="1" applyAlignment="1">
      <alignment horizontal="center" vertical="center" wrapText="1"/>
    </xf>
    <xf numFmtId="178" fontId="22" fillId="2" borderId="2" xfId="4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166" fontId="10" fillId="2" borderId="2" xfId="4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166" fontId="9" fillId="0" borderId="1" xfId="4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168" fontId="45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left" vertical="top" wrapText="1"/>
    </xf>
    <xf numFmtId="0" fontId="17" fillId="0" borderId="12" xfId="0" applyNumberFormat="1" applyFont="1" applyFill="1" applyBorder="1" applyAlignment="1">
      <alignment vertical="top" wrapText="1"/>
    </xf>
    <xf numFmtId="0" fontId="17" fillId="0" borderId="13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/>
    </xf>
    <xf numFmtId="0" fontId="31" fillId="0" borderId="0" xfId="0" applyNumberFormat="1" applyFont="1" applyFill="1" applyBorder="1" applyAlignment="1">
      <alignment vertical="top"/>
    </xf>
    <xf numFmtId="0" fontId="7" fillId="2" borderId="0" xfId="0" applyNumberFormat="1" applyFont="1" applyFill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166" fontId="22" fillId="3" borderId="1" xfId="4" applyNumberFormat="1" applyFont="1" applyFill="1" applyBorder="1" applyAlignment="1">
      <alignment horizontal="center" vertical="center" wrapText="1"/>
    </xf>
    <xf numFmtId="168" fontId="22" fillId="3" borderId="1" xfId="4" applyNumberFormat="1" applyFont="1" applyFill="1" applyBorder="1" applyAlignment="1">
      <alignment horizontal="center" vertical="center" wrapText="1"/>
    </xf>
    <xf numFmtId="171" fontId="17" fillId="3" borderId="1" xfId="0" applyNumberFormat="1" applyFont="1" applyFill="1" applyBorder="1" applyAlignment="1">
      <alignment horizontal="center" vertical="center" wrapText="1"/>
    </xf>
    <xf numFmtId="169" fontId="17" fillId="3" borderId="1" xfId="0" applyNumberFormat="1" applyFont="1" applyFill="1" applyBorder="1" applyAlignment="1">
      <alignment horizontal="center" vertical="center" wrapText="1"/>
    </xf>
    <xf numFmtId="168" fontId="19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7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19" fillId="2" borderId="1" xfId="4" applyNumberFormat="1" applyFont="1" applyFill="1" applyBorder="1" applyAlignment="1">
      <alignment horizontal="center" vertical="center" wrapText="1"/>
    </xf>
    <xf numFmtId="168" fontId="17" fillId="2" borderId="0" xfId="0" applyNumberFormat="1" applyFont="1" applyFill="1" applyAlignment="1">
      <alignment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22" fillId="2" borderId="1" xfId="0" applyNumberFormat="1" applyFont="1" applyFill="1" applyBorder="1" applyAlignment="1">
      <alignment vertical="top" wrapText="1"/>
    </xf>
    <xf numFmtId="0" fontId="22" fillId="2" borderId="3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46" fillId="2" borderId="0" xfId="0" applyFont="1" applyFill="1"/>
    <xf numFmtId="0" fontId="22" fillId="3" borderId="1" xfId="0" applyNumberFormat="1" applyFont="1" applyFill="1" applyBorder="1" applyAlignment="1">
      <alignment horizontal="center" vertical="center" wrapText="1"/>
    </xf>
    <xf numFmtId="168" fontId="10" fillId="3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49" fillId="2" borderId="1" xfId="0" applyNumberFormat="1" applyFont="1" applyFill="1" applyBorder="1" applyAlignment="1">
      <alignment horizontal="center" vertical="center" wrapText="1"/>
    </xf>
    <xf numFmtId="0" fontId="47" fillId="2" borderId="1" xfId="0" applyNumberFormat="1" applyFont="1" applyFill="1" applyBorder="1" applyAlignment="1">
      <alignment horizontal="center" vertical="center" wrapText="1"/>
    </xf>
    <xf numFmtId="166" fontId="9" fillId="2" borderId="4" xfId="4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8" fontId="2" fillId="3" borderId="1" xfId="4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wrapText="1"/>
    </xf>
    <xf numFmtId="173" fontId="36" fillId="2" borderId="1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6" fillId="2" borderId="8" xfId="0" applyFont="1" applyFill="1" applyBorder="1" applyAlignment="1">
      <alignment horizontal="left" vertical="center" wrapText="1"/>
    </xf>
    <xf numFmtId="0" fontId="36" fillId="2" borderId="10" xfId="0" applyFont="1" applyFill="1" applyBorder="1" applyAlignment="1">
      <alignment horizontal="left" vertical="center" wrapText="1"/>
    </xf>
    <xf numFmtId="0" fontId="36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wrapText="1"/>
    </xf>
    <xf numFmtId="0" fontId="36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top" wrapText="1"/>
    </xf>
    <xf numFmtId="0" fontId="9" fillId="2" borderId="3" xfId="0" applyNumberFormat="1" applyFont="1" applyFill="1" applyBorder="1" applyAlignment="1">
      <alignment horizontal="left" vertical="top" wrapText="1"/>
    </xf>
    <xf numFmtId="0" fontId="9" fillId="0" borderId="2" xfId="0" applyNumberFormat="1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9" fillId="0" borderId="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top" wrapText="1"/>
    </xf>
    <xf numFmtId="0" fontId="10" fillId="2" borderId="3" xfId="0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 applyProtection="1">
      <alignment horizontal="left" vertical="top" wrapText="1"/>
      <protection hidden="1"/>
    </xf>
    <xf numFmtId="0" fontId="2" fillId="2" borderId="3" xfId="1" applyNumberFormat="1" applyFont="1" applyFill="1" applyBorder="1" applyAlignment="1" applyProtection="1">
      <alignment horizontal="left" vertical="top" wrapText="1"/>
      <protection hidden="1"/>
    </xf>
    <xf numFmtId="0" fontId="2" fillId="2" borderId="4" xfId="1" applyNumberFormat="1" applyFont="1" applyFill="1" applyBorder="1" applyAlignment="1" applyProtection="1">
      <alignment horizontal="left" vertical="top" wrapText="1"/>
      <protection hidden="1"/>
    </xf>
    <xf numFmtId="0" fontId="9" fillId="2" borderId="2" xfId="1" applyNumberFormat="1" applyFont="1" applyFill="1" applyBorder="1" applyAlignment="1" applyProtection="1">
      <alignment horizontal="left" vertical="top" wrapText="1"/>
      <protection hidden="1"/>
    </xf>
    <xf numFmtId="0" fontId="9" fillId="2" borderId="3" xfId="1" applyNumberFormat="1" applyFont="1" applyFill="1" applyBorder="1" applyAlignment="1" applyProtection="1">
      <alignment horizontal="left" vertical="top" wrapText="1"/>
      <protection hidden="1"/>
    </xf>
    <xf numFmtId="0" fontId="9" fillId="2" borderId="4" xfId="1" applyNumberFormat="1" applyFont="1" applyFill="1" applyBorder="1" applyAlignment="1" applyProtection="1">
      <alignment horizontal="left" vertical="top" wrapText="1"/>
      <protection hidden="1"/>
    </xf>
    <xf numFmtId="0" fontId="9" fillId="2" borderId="4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Alignment="1">
      <alignment horizontal="center" vertical="center" wrapText="1"/>
    </xf>
    <xf numFmtId="0" fontId="14" fillId="2" borderId="0" xfId="0" applyNumberFormat="1" applyFont="1" applyFill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 applyProtection="1">
      <alignment horizontal="left" vertical="top" wrapText="1"/>
      <protection hidden="1"/>
    </xf>
    <xf numFmtId="0" fontId="2" fillId="2" borderId="1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left" vertical="top" wrapText="1"/>
    </xf>
    <xf numFmtId="0" fontId="12" fillId="2" borderId="2" xfId="0" applyNumberFormat="1" applyFont="1" applyFill="1" applyBorder="1" applyAlignment="1">
      <alignment horizontal="left" vertical="top" wrapText="1"/>
    </xf>
    <xf numFmtId="0" fontId="12" fillId="2" borderId="3" xfId="0" applyNumberFormat="1" applyFont="1" applyFill="1" applyBorder="1" applyAlignment="1">
      <alignment horizontal="left" vertical="top" wrapText="1"/>
    </xf>
    <xf numFmtId="0" fontId="12" fillId="2" borderId="4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Alignment="1">
      <alignment horizontal="left" vertical="top" wrapText="1"/>
    </xf>
    <xf numFmtId="0" fontId="22" fillId="2" borderId="2" xfId="0" applyNumberFormat="1" applyFont="1" applyFill="1" applyBorder="1" applyAlignment="1">
      <alignment horizontal="left" vertical="top" wrapText="1"/>
    </xf>
    <xf numFmtId="0" fontId="22" fillId="2" borderId="4" xfId="0" applyNumberFormat="1" applyFont="1" applyFill="1" applyBorder="1" applyAlignment="1">
      <alignment horizontal="left" vertical="top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left" vertical="top" wrapText="1"/>
    </xf>
    <xf numFmtId="0" fontId="22" fillId="2" borderId="1" xfId="0" applyNumberFormat="1" applyFont="1" applyFill="1" applyBorder="1" applyAlignment="1">
      <alignment horizontal="left" vertical="top" wrapText="1"/>
    </xf>
    <xf numFmtId="0" fontId="22" fillId="3" borderId="2" xfId="0" applyNumberFormat="1" applyFont="1" applyFill="1" applyBorder="1" applyAlignment="1">
      <alignment horizontal="left" vertical="top" wrapText="1"/>
    </xf>
    <xf numFmtId="0" fontId="22" fillId="3" borderId="3" xfId="0" applyNumberFormat="1" applyFont="1" applyFill="1" applyBorder="1" applyAlignment="1">
      <alignment horizontal="left" vertical="top" wrapText="1"/>
    </xf>
    <xf numFmtId="0" fontId="22" fillId="3" borderId="4" xfId="0" applyNumberFormat="1" applyFont="1" applyFill="1" applyBorder="1" applyAlignment="1">
      <alignment horizontal="left" vertical="top" wrapText="1"/>
    </xf>
    <xf numFmtId="0" fontId="22" fillId="3" borderId="1" xfId="0" applyNumberFormat="1" applyFont="1" applyFill="1" applyBorder="1" applyAlignment="1">
      <alignment horizontal="center" vertical="center" wrapText="1"/>
    </xf>
    <xf numFmtId="0" fontId="34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 applyProtection="1">
      <alignment horizontal="left" vertical="top" wrapText="1"/>
    </xf>
    <xf numFmtId="0" fontId="34" fillId="2" borderId="2" xfId="0" applyFont="1" applyFill="1" applyBorder="1" applyAlignment="1" applyProtection="1">
      <alignment vertical="top" wrapText="1"/>
    </xf>
    <xf numFmtId="0" fontId="34" fillId="2" borderId="4" xfId="0" applyFont="1" applyFill="1" applyBorder="1" applyAlignment="1" applyProtection="1">
      <alignment vertical="top" wrapText="1"/>
    </xf>
    <xf numFmtId="0" fontId="35" fillId="2" borderId="1" xfId="0" applyNumberFormat="1" applyFont="1" applyFill="1" applyBorder="1" applyAlignment="1">
      <alignment horizontal="left" vertical="top" wrapText="1"/>
    </xf>
    <xf numFmtId="0" fontId="34" fillId="2" borderId="2" xfId="0" applyFont="1" applyFill="1" applyBorder="1" applyAlignment="1" applyProtection="1">
      <alignment horizontal="left" vertical="top" wrapText="1"/>
    </xf>
    <xf numFmtId="0" fontId="34" fillId="2" borderId="3" xfId="0" applyFont="1" applyFill="1" applyBorder="1" applyAlignment="1" applyProtection="1">
      <alignment horizontal="left" vertical="top" wrapText="1"/>
    </xf>
    <xf numFmtId="0" fontId="34" fillId="2" borderId="4" xfId="0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vertical="top" wrapText="1"/>
    </xf>
    <xf numFmtId="0" fontId="10" fillId="2" borderId="3" xfId="0" applyNumberFormat="1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left" vertical="top" wrapText="1"/>
    </xf>
    <xf numFmtId="0" fontId="27" fillId="2" borderId="1" xfId="0" applyFont="1" applyFill="1" applyBorder="1" applyAlignment="1" applyProtection="1">
      <alignment horizontal="left" vertical="top" wrapText="1"/>
    </xf>
    <xf numFmtId="0" fontId="22" fillId="2" borderId="2" xfId="0" applyNumberFormat="1" applyFont="1" applyFill="1" applyBorder="1" applyAlignment="1">
      <alignment horizontal="left" vertical="center" wrapText="1"/>
    </xf>
    <xf numFmtId="0" fontId="22" fillId="2" borderId="4" xfId="0" applyNumberFormat="1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vertical="top" wrapText="1"/>
    </xf>
    <xf numFmtId="0" fontId="22" fillId="3" borderId="1" xfId="0" applyNumberFormat="1" applyFont="1" applyFill="1" applyBorder="1" applyAlignment="1">
      <alignment horizontal="left" vertical="top" wrapText="1"/>
    </xf>
    <xf numFmtId="0" fontId="22" fillId="2" borderId="2" xfId="0" applyNumberFormat="1" applyFont="1" applyFill="1" applyBorder="1" applyAlignment="1">
      <alignment horizontal="left" vertical="top"/>
    </xf>
    <xf numFmtId="0" fontId="22" fillId="2" borderId="4" xfId="0" applyNumberFormat="1" applyFont="1" applyFill="1" applyBorder="1" applyAlignment="1">
      <alignment horizontal="left" vertical="top"/>
    </xf>
    <xf numFmtId="0" fontId="22" fillId="2" borderId="1" xfId="0" applyNumberFormat="1" applyFont="1" applyFill="1" applyBorder="1" applyAlignment="1">
      <alignment horizontal="left" vertical="top"/>
    </xf>
    <xf numFmtId="0" fontId="10" fillId="2" borderId="1" xfId="0" applyNumberFormat="1" applyFont="1" applyFill="1" applyBorder="1" applyAlignment="1">
      <alignment vertical="top"/>
    </xf>
    <xf numFmtId="0" fontId="10" fillId="2" borderId="1" xfId="0" applyNumberFormat="1" applyFont="1" applyFill="1" applyBorder="1" applyAlignment="1">
      <alignment horizontal="left" vertical="top"/>
    </xf>
    <xf numFmtId="0" fontId="27" fillId="2" borderId="1" xfId="0" applyNumberFormat="1" applyFont="1" applyFill="1" applyBorder="1" applyAlignment="1">
      <alignment horizontal="left" vertical="top" wrapText="1"/>
    </xf>
    <xf numFmtId="0" fontId="22" fillId="2" borderId="1" xfId="0" applyNumberFormat="1" applyFont="1" applyFill="1" applyBorder="1" applyAlignment="1">
      <alignment horizontal="center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top" wrapText="1"/>
    </xf>
    <xf numFmtId="0" fontId="22" fillId="2" borderId="3" xfId="0" applyNumberFormat="1" applyFont="1" applyFill="1" applyBorder="1" applyAlignment="1">
      <alignment horizontal="center" vertical="top" wrapText="1"/>
    </xf>
    <xf numFmtId="0" fontId="22" fillId="2" borderId="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2" fillId="2" borderId="1" xfId="0" applyFont="1" applyFill="1" applyBorder="1" applyAlignment="1" applyProtection="1">
      <alignment horizontal="left" vertical="top" wrapText="1"/>
    </xf>
    <xf numFmtId="0" fontId="22" fillId="2" borderId="1" xfId="0" applyNumberFormat="1" applyFont="1" applyFill="1" applyBorder="1" applyAlignment="1" applyProtection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8" fillId="2" borderId="2" xfId="0" applyNumberFormat="1" applyFont="1" applyFill="1" applyBorder="1" applyAlignment="1">
      <alignment horizontal="left" vertical="top" wrapText="1"/>
    </xf>
    <xf numFmtId="0" fontId="28" fillId="2" borderId="3" xfId="0" applyNumberFormat="1" applyFont="1" applyFill="1" applyBorder="1" applyAlignment="1">
      <alignment horizontal="left" vertical="top" wrapText="1"/>
    </xf>
    <xf numFmtId="0" fontId="28" fillId="2" borderId="4" xfId="0" applyNumberFormat="1" applyFont="1" applyFill="1" applyBorder="1" applyAlignment="1">
      <alignment horizontal="left" vertical="top" wrapText="1"/>
    </xf>
    <xf numFmtId="0" fontId="26" fillId="2" borderId="1" xfId="0" applyNumberFormat="1" applyFont="1" applyFill="1" applyBorder="1" applyAlignment="1" applyProtection="1">
      <alignment horizontal="left" vertical="top" wrapText="1"/>
    </xf>
    <xf numFmtId="0" fontId="27" fillId="2" borderId="2" xfId="0" applyNumberFormat="1" applyFont="1" applyFill="1" applyBorder="1" applyAlignment="1" applyProtection="1">
      <alignment vertical="top" wrapText="1"/>
    </xf>
    <xf numFmtId="0" fontId="27" fillId="2" borderId="3" xfId="0" applyNumberFormat="1" applyFont="1" applyFill="1" applyBorder="1" applyAlignment="1" applyProtection="1">
      <alignment vertical="top" wrapText="1"/>
    </xf>
    <xf numFmtId="0" fontId="27" fillId="2" borderId="4" xfId="0" applyNumberFormat="1" applyFont="1" applyFill="1" applyBorder="1" applyAlignment="1" applyProtection="1">
      <alignment vertical="top" wrapText="1"/>
    </xf>
    <xf numFmtId="0" fontId="17" fillId="0" borderId="0" xfId="0" applyNumberFormat="1" applyFont="1" applyFill="1" applyBorder="1" applyAlignment="1">
      <alignment horizontal="center" vertical="top" wrapText="1"/>
    </xf>
    <xf numFmtId="0" fontId="17" fillId="0" borderId="0" xfId="0" applyNumberFormat="1" applyFont="1" applyFill="1" applyAlignment="1">
      <alignment horizontal="center" vertical="top" wrapText="1"/>
    </xf>
    <xf numFmtId="0" fontId="22" fillId="2" borderId="1" xfId="3" applyNumberFormat="1" applyFont="1" applyFill="1" applyBorder="1" applyAlignment="1">
      <alignment horizontal="left" vertical="top" wrapText="1"/>
    </xf>
    <xf numFmtId="0" fontId="22" fillId="2" borderId="12" xfId="0" applyNumberFormat="1" applyFont="1" applyFill="1" applyBorder="1" applyAlignment="1">
      <alignment horizontal="center" vertical="center" wrapText="1"/>
    </xf>
    <xf numFmtId="0" fontId="22" fillId="2" borderId="13" xfId="0" applyNumberFormat="1" applyFont="1" applyFill="1" applyBorder="1" applyAlignment="1">
      <alignment horizontal="center" vertical="center" wrapText="1"/>
    </xf>
    <xf numFmtId="0" fontId="22" fillId="2" borderId="14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Alignment="1">
      <alignment horizontal="center" vertical="top" wrapText="1"/>
    </xf>
    <xf numFmtId="0" fontId="28" fillId="2" borderId="4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left" vertical="top" wrapText="1"/>
    </xf>
    <xf numFmtId="0" fontId="26" fillId="2" borderId="2" xfId="0" applyFont="1" applyFill="1" applyBorder="1" applyAlignment="1" applyProtection="1">
      <alignment vertical="center" wrapText="1"/>
    </xf>
    <xf numFmtId="0" fontId="26" fillId="2" borderId="3" xfId="0" applyFont="1" applyFill="1" applyBorder="1" applyAlignment="1" applyProtection="1">
      <alignment vertical="center" wrapText="1"/>
    </xf>
    <xf numFmtId="0" fontId="26" fillId="2" borderId="4" xfId="0" applyFont="1" applyFill="1" applyBorder="1" applyAlignment="1" applyProtection="1">
      <alignment vertical="center" wrapText="1"/>
    </xf>
    <xf numFmtId="0" fontId="28" fillId="2" borderId="1" xfId="0" applyNumberFormat="1" applyFont="1" applyFill="1" applyBorder="1" applyAlignment="1">
      <alignment horizontal="left" vertical="top" wrapText="1"/>
    </xf>
    <xf numFmtId="0" fontId="41" fillId="2" borderId="2" xfId="0" applyFont="1" applyFill="1" applyBorder="1" applyAlignment="1">
      <alignment horizontal="left" vertical="top" wrapText="1"/>
    </xf>
    <xf numFmtId="0" fontId="41" fillId="2" borderId="3" xfId="0" applyFont="1" applyFill="1" applyBorder="1" applyAlignment="1">
      <alignment horizontal="left" vertical="top" wrapText="1"/>
    </xf>
    <xf numFmtId="0" fontId="41" fillId="2" borderId="4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left" vertical="top" wrapText="1"/>
    </xf>
    <xf numFmtId="0" fontId="28" fillId="2" borderId="3" xfId="0" applyFont="1" applyFill="1" applyBorder="1" applyAlignment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</xf>
    <xf numFmtId="0" fontId="27" fillId="2" borderId="1" xfId="0" applyNumberFormat="1" applyFont="1" applyFill="1" applyBorder="1" applyAlignment="1" applyProtection="1">
      <alignment horizontal="left" vertical="top" wrapText="1"/>
    </xf>
    <xf numFmtId="0" fontId="33" fillId="2" borderId="2" xfId="0" applyNumberFormat="1" applyFont="1" applyFill="1" applyBorder="1" applyAlignment="1" applyProtection="1">
      <alignment horizontal="left" vertical="top" wrapText="1"/>
    </xf>
    <xf numFmtId="0" fontId="33" fillId="2" borderId="3" xfId="0" applyNumberFormat="1" applyFont="1" applyFill="1" applyBorder="1" applyAlignment="1" applyProtection="1">
      <alignment horizontal="left" vertical="top" wrapText="1"/>
    </xf>
    <xf numFmtId="0" fontId="33" fillId="2" borderId="4" xfId="0" applyNumberFormat="1" applyFont="1" applyFill="1" applyBorder="1" applyAlignment="1" applyProtection="1">
      <alignment horizontal="left" vertical="top" wrapText="1"/>
    </xf>
    <xf numFmtId="0" fontId="7" fillId="2" borderId="0" xfId="0" applyNumberFormat="1" applyFont="1" applyFill="1" applyAlignment="1">
      <alignment horizontal="center" vertical="top" wrapText="1"/>
    </xf>
  </cellXfs>
  <cellStyles count="21">
    <cellStyle name="Денежный" xfId="6" builtinId="4"/>
    <cellStyle name="Денежный 2" xfId="11"/>
    <cellStyle name="Обычный" xfId="0" builtinId="0"/>
    <cellStyle name="Обычный 2" xfId="1"/>
    <cellStyle name="Обычный 2 2" xfId="14"/>
    <cellStyle name="Обычный 2_Приложение 16 изменения на 2012 год по Камню на Оби" xfId="15"/>
    <cellStyle name="Обычный 3" xfId="2"/>
    <cellStyle name="Обычный 4" xfId="8"/>
    <cellStyle name="Обычный 5" xfId="7"/>
    <cellStyle name="Обычный 6" xfId="13"/>
    <cellStyle name="Обычный_План ПИР-2009 ( тех.отд.) с ДЕНЬГАМИ (для Громенко)" xfId="3"/>
    <cellStyle name="Процентный" xfId="12" builtinId="5"/>
    <cellStyle name="Процентный 2" xfId="9"/>
    <cellStyle name="Процентный 2 2" xfId="17"/>
    <cellStyle name="Процентный 3" xfId="16"/>
    <cellStyle name="Стиль 1" xfId="18"/>
    <cellStyle name="Финансовый" xfId="4" builtinId="3"/>
    <cellStyle name="Финансовый 2" xfId="5"/>
    <cellStyle name="Финансовый 2 2" xfId="20"/>
    <cellStyle name="Финансовый 3" xfId="10"/>
    <cellStyle name="Финансовый 4" xfId="19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294216</xdr:colOff>
      <xdr:row>246</xdr:row>
      <xdr:rowOff>114300</xdr:rowOff>
    </xdr:from>
    <xdr:ext cx="261995" cy="2166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586383" y="64958383"/>
              <a:ext cx="261995" cy="2166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100" i="1">
                            <a:latin typeface="Cambria Math" panose="02040503050406030204" pitchFamily="18" charset="0"/>
                          </a:rPr>
                        </m:ctrlPr>
                      </m:sSupPr>
                      <m:e/>
                      <m:sup/>
                    </m:s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586383" y="64958383"/>
              <a:ext cx="261995" cy="2166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</a:rPr>
                <a:t>〖^〗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lIns="0" tIns="0" rIns="0" bIns="0" rtlCol="0" anchor="t">
        <a:spAutoFit/>
      </a:bodyPr>
      <a:lstStyle>
        <a:defPPr>
          <a:defRPr sz="11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view="pageBreakPreview" zoomScale="80" zoomScaleNormal="70" zoomScaleSheetLayoutView="80" workbookViewId="0">
      <selection activeCell="E17" sqref="E17:Q49"/>
    </sheetView>
  </sheetViews>
  <sheetFormatPr defaultColWidth="8.85546875" defaultRowHeight="15.75"/>
  <cols>
    <col min="1" max="1" width="3.7109375" style="198" customWidth="1"/>
    <col min="2" max="2" width="24.7109375" style="198" customWidth="1"/>
    <col min="3" max="3" width="23.7109375" style="198" customWidth="1"/>
    <col min="4" max="4" width="9.5703125" style="198" customWidth="1"/>
    <col min="5" max="5" width="9.7109375" style="198" customWidth="1"/>
    <col min="6" max="6" width="13.5703125" style="198" hidden="1" customWidth="1"/>
    <col min="7" max="7" width="8.7109375" style="198" hidden="1" customWidth="1"/>
    <col min="8" max="8" width="7.28515625" style="198" hidden="1" customWidth="1"/>
    <col min="9" max="9" width="7.85546875" style="198" hidden="1" customWidth="1"/>
    <col min="10" max="10" width="12.42578125" style="198" hidden="1" customWidth="1"/>
    <col min="11" max="11" width="10" style="198" customWidth="1"/>
    <col min="12" max="15" width="13" style="198" customWidth="1"/>
    <col min="16" max="16" width="9.7109375" style="198" customWidth="1"/>
    <col min="17" max="17" width="9.5703125" style="198" customWidth="1"/>
    <col min="18" max="18" width="28.5703125" style="198" customWidth="1"/>
    <col min="19" max="16384" width="8.85546875" style="198"/>
  </cols>
  <sheetData>
    <row r="1" spans="2:19" ht="31.9" customHeight="1">
      <c r="K1" s="389" t="s">
        <v>545</v>
      </c>
      <c r="L1" s="389"/>
      <c r="M1" s="389"/>
      <c r="N1" s="389"/>
      <c r="O1" s="389"/>
      <c r="P1" s="389"/>
      <c r="Q1" s="389"/>
      <c r="R1" s="389"/>
      <c r="S1" s="235"/>
    </row>
    <row r="2" spans="2:19">
      <c r="S2" s="235"/>
    </row>
    <row r="3" spans="2:19">
      <c r="S3" s="235"/>
    </row>
    <row r="4" spans="2:19" ht="14.45" customHeight="1"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</row>
    <row r="5" spans="2:19" ht="45.6" customHeight="1">
      <c r="B5" s="390" t="s">
        <v>653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</row>
    <row r="6" spans="2:19" ht="14.45" customHeight="1">
      <c r="K6" s="391" t="s">
        <v>455</v>
      </c>
      <c r="L6" s="391"/>
      <c r="M6" s="391"/>
      <c r="N6" s="391"/>
      <c r="O6" s="391"/>
      <c r="P6" s="391"/>
      <c r="Q6" s="391"/>
      <c r="R6" s="391"/>
    </row>
    <row r="7" spans="2:19" ht="14.45" customHeight="1">
      <c r="B7" s="388" t="s">
        <v>454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</row>
    <row r="8" spans="2:19" ht="14.45" customHeight="1">
      <c r="B8" s="388" t="s">
        <v>453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</row>
    <row r="9" spans="2:19" ht="14.45" customHeight="1">
      <c r="B9" s="388" t="s">
        <v>504</v>
      </c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</row>
    <row r="11" spans="2:19" ht="35.450000000000003" customHeight="1">
      <c r="B11" s="380" t="s">
        <v>452</v>
      </c>
      <c r="C11" s="380" t="s">
        <v>451</v>
      </c>
      <c r="D11" s="380" t="s">
        <v>450</v>
      </c>
      <c r="E11" s="380" t="s">
        <v>449</v>
      </c>
      <c r="F11" s="379" t="s">
        <v>148</v>
      </c>
      <c r="G11" s="379" t="s">
        <v>149</v>
      </c>
      <c r="H11" s="379"/>
      <c r="I11" s="379"/>
      <c r="J11" s="379"/>
      <c r="K11" s="379" t="s">
        <v>273</v>
      </c>
      <c r="L11" s="379" t="s">
        <v>497</v>
      </c>
      <c r="M11" s="379"/>
      <c r="N11" s="379"/>
      <c r="O11" s="379"/>
      <c r="P11" s="379" t="s">
        <v>346</v>
      </c>
      <c r="Q11" s="379" t="s">
        <v>498</v>
      </c>
      <c r="R11" s="380" t="s">
        <v>448</v>
      </c>
    </row>
    <row r="12" spans="2:19" ht="14.45" customHeight="1">
      <c r="B12" s="380"/>
      <c r="C12" s="380"/>
      <c r="D12" s="380"/>
      <c r="E12" s="380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80"/>
    </row>
    <row r="13" spans="2:19" ht="51.75" customHeight="1">
      <c r="B13" s="380"/>
      <c r="C13" s="380"/>
      <c r="D13" s="380"/>
      <c r="E13" s="380"/>
      <c r="F13" s="379"/>
      <c r="G13" s="197" t="s">
        <v>150</v>
      </c>
      <c r="H13" s="197" t="s">
        <v>151</v>
      </c>
      <c r="I13" s="197" t="s">
        <v>152</v>
      </c>
      <c r="J13" s="197" t="s">
        <v>153</v>
      </c>
      <c r="K13" s="379"/>
      <c r="L13" s="197" t="s">
        <v>150</v>
      </c>
      <c r="M13" s="197" t="s">
        <v>151</v>
      </c>
      <c r="N13" s="197" t="s">
        <v>152</v>
      </c>
      <c r="O13" s="197" t="s">
        <v>153</v>
      </c>
      <c r="P13" s="379"/>
      <c r="Q13" s="379"/>
      <c r="R13" s="380"/>
    </row>
    <row r="14" spans="2:19">
      <c r="B14" s="210">
        <v>1</v>
      </c>
      <c r="C14" s="210">
        <v>2</v>
      </c>
      <c r="D14" s="210">
        <v>3</v>
      </c>
      <c r="E14" s="210">
        <v>4</v>
      </c>
      <c r="F14" s="197">
        <v>5</v>
      </c>
      <c r="G14" s="197">
        <v>6</v>
      </c>
      <c r="H14" s="197">
        <v>7</v>
      </c>
      <c r="I14" s="197">
        <v>8</v>
      </c>
      <c r="J14" s="197">
        <v>9</v>
      </c>
      <c r="K14" s="197">
        <v>5</v>
      </c>
      <c r="L14" s="197">
        <v>6</v>
      </c>
      <c r="M14" s="197">
        <v>7</v>
      </c>
      <c r="N14" s="197">
        <v>8</v>
      </c>
      <c r="O14" s="197">
        <v>9</v>
      </c>
      <c r="P14" s="197">
        <v>10</v>
      </c>
      <c r="Q14" s="197">
        <v>11</v>
      </c>
      <c r="R14" s="210">
        <v>12</v>
      </c>
    </row>
    <row r="15" spans="2:19" ht="31.15" customHeight="1">
      <c r="B15" s="381" t="s">
        <v>517</v>
      </c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</row>
    <row r="16" spans="2:19" ht="47.45" customHeight="1">
      <c r="B16" s="381" t="s">
        <v>435</v>
      </c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</row>
    <row r="17" spans="2:26" ht="98.45" customHeight="1">
      <c r="B17" s="382" t="s">
        <v>447</v>
      </c>
      <c r="C17" s="229" t="s">
        <v>446</v>
      </c>
      <c r="D17" s="210" t="s">
        <v>438</v>
      </c>
      <c r="E17" s="296">
        <v>0.05</v>
      </c>
      <c r="F17" s="223">
        <v>80.569999999999993</v>
      </c>
      <c r="G17" s="223"/>
      <c r="H17" s="223"/>
      <c r="I17" s="223"/>
      <c r="J17" s="234">
        <v>80.569999999999993</v>
      </c>
      <c r="K17" s="233">
        <v>81.28151040568379</v>
      </c>
      <c r="L17" s="214" t="s">
        <v>327</v>
      </c>
      <c r="M17" s="214" t="s">
        <v>327</v>
      </c>
      <c r="N17" s="214" t="s">
        <v>327</v>
      </c>
      <c r="O17" s="214" t="s">
        <v>327</v>
      </c>
      <c r="P17" s="214">
        <v>81.416593568612072</v>
      </c>
      <c r="Q17" s="214">
        <v>81.58623288949876</v>
      </c>
      <c r="R17" s="206" t="s">
        <v>436</v>
      </c>
    </row>
    <row r="18" spans="2:26" ht="99" customHeight="1">
      <c r="B18" s="383"/>
      <c r="C18" s="229" t="s">
        <v>445</v>
      </c>
      <c r="D18" s="210" t="s">
        <v>444</v>
      </c>
      <c r="E18" s="296">
        <v>0.05</v>
      </c>
      <c r="F18" s="223">
        <v>57.88</v>
      </c>
      <c r="G18" s="223"/>
      <c r="H18" s="223"/>
      <c r="I18" s="223"/>
      <c r="J18" s="234">
        <v>57.88</v>
      </c>
      <c r="K18" s="233">
        <v>58.077951739618406</v>
      </c>
      <c r="L18" s="214" t="s">
        <v>327</v>
      </c>
      <c r="M18" s="214" t="s">
        <v>327</v>
      </c>
      <c r="N18" s="214" t="s">
        <v>327</v>
      </c>
      <c r="O18" s="214" t="s">
        <v>327</v>
      </c>
      <c r="P18" s="214">
        <v>58.174472502805841</v>
      </c>
      <c r="Q18" s="214">
        <v>58.295684624017966</v>
      </c>
      <c r="R18" s="206" t="s">
        <v>436</v>
      </c>
    </row>
    <row r="19" spans="2:26" ht="127.5" customHeight="1">
      <c r="B19" s="232"/>
      <c r="C19" s="231" t="s">
        <v>443</v>
      </c>
      <c r="D19" s="210" t="s">
        <v>437</v>
      </c>
      <c r="E19" s="296">
        <v>0.01</v>
      </c>
      <c r="F19" s="211">
        <v>12801.5</v>
      </c>
      <c r="G19" s="223"/>
      <c r="H19" s="223"/>
      <c r="I19" s="223"/>
      <c r="J19" s="222">
        <v>12801.5</v>
      </c>
      <c r="K19" s="218">
        <v>12732.897000000001</v>
      </c>
      <c r="L19" s="214" t="s">
        <v>327</v>
      </c>
      <c r="M19" s="214" t="s">
        <v>327</v>
      </c>
      <c r="N19" s="214" t="s">
        <v>327</v>
      </c>
      <c r="O19" s="214" t="s">
        <v>327</v>
      </c>
      <c r="P19" s="218">
        <v>12732.897000000001</v>
      </c>
      <c r="Q19" s="218">
        <v>12732.9</v>
      </c>
      <c r="R19" s="206" t="s">
        <v>436</v>
      </c>
    </row>
    <row r="20" spans="2:26" ht="148.15" customHeight="1">
      <c r="B20" s="230"/>
      <c r="C20" s="229" t="s">
        <v>442</v>
      </c>
      <c r="D20" s="210" t="s">
        <v>437</v>
      </c>
      <c r="E20" s="296">
        <v>0.06</v>
      </c>
      <c r="F20" s="211">
        <v>38.299999999999997</v>
      </c>
      <c r="G20" s="223"/>
      <c r="H20" s="223"/>
      <c r="I20" s="223"/>
      <c r="J20" s="209">
        <v>38.299999999999997</v>
      </c>
      <c r="K20" s="218">
        <v>18.100000000000001</v>
      </c>
      <c r="L20" s="214" t="s">
        <v>327</v>
      </c>
      <c r="M20" s="214" t="s">
        <v>327</v>
      </c>
      <c r="N20" s="214" t="s">
        <v>327</v>
      </c>
      <c r="O20" s="214" t="s">
        <v>327</v>
      </c>
      <c r="P20" s="218">
        <v>23.7</v>
      </c>
      <c r="Q20" s="218">
        <v>21.6</v>
      </c>
      <c r="R20" s="206" t="s">
        <v>436</v>
      </c>
    </row>
    <row r="21" spans="2:26" ht="136.5" customHeight="1">
      <c r="B21" s="230"/>
      <c r="C21" s="300" t="s">
        <v>626</v>
      </c>
      <c r="D21" s="355" t="s">
        <v>518</v>
      </c>
      <c r="E21" s="355" t="s">
        <v>327</v>
      </c>
      <c r="F21" s="211"/>
      <c r="G21" s="223"/>
      <c r="H21" s="223"/>
      <c r="I21" s="223"/>
      <c r="J21" s="209"/>
      <c r="K21" s="218" t="s">
        <v>327</v>
      </c>
      <c r="L21" s="214"/>
      <c r="M21" s="214"/>
      <c r="N21" s="214"/>
      <c r="O21" s="214"/>
      <c r="P21" s="218">
        <v>2</v>
      </c>
      <c r="Q21" s="218">
        <v>1</v>
      </c>
      <c r="R21" s="206" t="s">
        <v>610</v>
      </c>
    </row>
    <row r="22" spans="2:26" ht="129.6" customHeight="1">
      <c r="B22" s="227"/>
      <c r="C22" s="229" t="s">
        <v>622</v>
      </c>
      <c r="D22" s="210" t="s">
        <v>437</v>
      </c>
      <c r="E22" s="296">
        <v>0</v>
      </c>
      <c r="F22" s="211">
        <v>15.6</v>
      </c>
      <c r="G22" s="223"/>
      <c r="H22" s="223"/>
      <c r="I22" s="223"/>
      <c r="J22" s="209">
        <v>15.6</v>
      </c>
      <c r="K22" s="218">
        <v>0</v>
      </c>
      <c r="L22" s="214" t="s">
        <v>327</v>
      </c>
      <c r="M22" s="214" t="s">
        <v>327</v>
      </c>
      <c r="N22" s="214" t="s">
        <v>327</v>
      </c>
      <c r="O22" s="214" t="s">
        <v>327</v>
      </c>
      <c r="P22" s="218">
        <v>0</v>
      </c>
      <c r="Q22" s="218">
        <v>0</v>
      </c>
      <c r="R22" s="206" t="s">
        <v>436</v>
      </c>
    </row>
    <row r="23" spans="2:26" ht="225.75" customHeight="1">
      <c r="B23" s="227"/>
      <c r="C23" s="229" t="s">
        <v>623</v>
      </c>
      <c r="D23" s="210" t="s">
        <v>437</v>
      </c>
      <c r="E23" s="296">
        <v>0.05</v>
      </c>
      <c r="F23" s="211">
        <v>10.9</v>
      </c>
      <c r="G23" s="223"/>
      <c r="H23" s="223"/>
      <c r="I23" s="223"/>
      <c r="J23" s="209">
        <v>10.9</v>
      </c>
      <c r="K23" s="218">
        <v>17.43</v>
      </c>
      <c r="L23" s="214" t="s">
        <v>327</v>
      </c>
      <c r="M23" s="214" t="s">
        <v>327</v>
      </c>
      <c r="N23" s="214" t="s">
        <v>327</v>
      </c>
      <c r="O23" s="214" t="s">
        <v>327</v>
      </c>
      <c r="P23" s="218">
        <v>17.2</v>
      </c>
      <c r="Q23" s="218">
        <v>21.6</v>
      </c>
      <c r="R23" s="206" t="s">
        <v>436</v>
      </c>
    </row>
    <row r="24" spans="2:26" ht="242.25" customHeight="1">
      <c r="B24" s="227"/>
      <c r="C24" s="228" t="s">
        <v>624</v>
      </c>
      <c r="D24" s="290" t="s">
        <v>437</v>
      </c>
      <c r="E24" s="296">
        <v>0.05</v>
      </c>
      <c r="F24" s="211"/>
      <c r="G24" s="223"/>
      <c r="H24" s="223"/>
      <c r="I24" s="223"/>
      <c r="J24" s="209"/>
      <c r="K24" s="299">
        <v>9.5939999999999994</v>
      </c>
      <c r="L24" s="299"/>
      <c r="M24" s="299"/>
      <c r="N24" s="299"/>
      <c r="O24" s="299"/>
      <c r="P24" s="299">
        <v>13.1</v>
      </c>
      <c r="Q24" s="299">
        <v>12.5</v>
      </c>
      <c r="R24" s="206" t="s">
        <v>436</v>
      </c>
    </row>
    <row r="25" spans="2:26" ht="229.5" customHeight="1">
      <c r="B25" s="354"/>
      <c r="C25" s="354" t="s">
        <v>647</v>
      </c>
      <c r="D25" s="353" t="s">
        <v>438</v>
      </c>
      <c r="E25" s="353">
        <v>0.02</v>
      </c>
      <c r="F25" s="211"/>
      <c r="G25" s="223"/>
      <c r="H25" s="223"/>
      <c r="I25" s="223"/>
      <c r="J25" s="209"/>
      <c r="K25" s="214">
        <v>1</v>
      </c>
      <c r="L25" s="214"/>
      <c r="M25" s="214" t="s">
        <v>327</v>
      </c>
      <c r="N25" s="214"/>
      <c r="O25" s="214" t="s">
        <v>327</v>
      </c>
      <c r="P25" s="218">
        <v>9</v>
      </c>
      <c r="Q25" s="218">
        <v>29</v>
      </c>
      <c r="R25" s="206" t="s">
        <v>610</v>
      </c>
    </row>
    <row r="26" spans="2:26" ht="319.5" customHeight="1">
      <c r="B26" s="227"/>
      <c r="C26" s="354" t="s">
        <v>646</v>
      </c>
      <c r="D26" s="364" t="s">
        <v>438</v>
      </c>
      <c r="E26" s="363">
        <v>0.02</v>
      </c>
      <c r="F26" s="211"/>
      <c r="G26" s="223"/>
      <c r="H26" s="223"/>
      <c r="I26" s="223"/>
      <c r="J26" s="209"/>
      <c r="K26" s="214">
        <v>48.31</v>
      </c>
      <c r="L26" s="214"/>
      <c r="M26" s="214"/>
      <c r="N26" s="214"/>
      <c r="O26" s="214"/>
      <c r="P26" s="214">
        <v>39.729999999999997</v>
      </c>
      <c r="Q26" s="214">
        <v>66.86</v>
      </c>
      <c r="R26" s="206" t="s">
        <v>610</v>
      </c>
    </row>
    <row r="27" spans="2:26" ht="136.5" customHeight="1">
      <c r="B27" s="230"/>
      <c r="C27" s="300" t="s">
        <v>645</v>
      </c>
      <c r="D27" s="364" t="s">
        <v>518</v>
      </c>
      <c r="E27" s="364">
        <v>0.01</v>
      </c>
      <c r="F27" s="211"/>
      <c r="G27" s="223"/>
      <c r="H27" s="223"/>
      <c r="I27" s="223"/>
      <c r="J27" s="209"/>
      <c r="K27" s="218">
        <v>31</v>
      </c>
      <c r="L27" s="214"/>
      <c r="M27" s="214"/>
      <c r="N27" s="214"/>
      <c r="O27" s="214"/>
      <c r="P27" s="218">
        <v>133</v>
      </c>
      <c r="Q27" s="218">
        <v>0</v>
      </c>
      <c r="R27" s="206" t="s">
        <v>436</v>
      </c>
    </row>
    <row r="28" spans="2:26" ht="135.6" customHeight="1">
      <c r="B28" s="227"/>
      <c r="C28" s="226" t="s">
        <v>625</v>
      </c>
      <c r="D28" s="369" t="s">
        <v>437</v>
      </c>
      <c r="E28" s="218" t="s">
        <v>327</v>
      </c>
      <c r="F28" s="211"/>
      <c r="G28" s="223"/>
      <c r="H28" s="223"/>
      <c r="I28" s="223"/>
      <c r="J28" s="209"/>
      <c r="K28" s="218" t="s">
        <v>327</v>
      </c>
      <c r="L28" s="214" t="s">
        <v>327</v>
      </c>
      <c r="M28" s="214" t="s">
        <v>327</v>
      </c>
      <c r="N28" s="214" t="s">
        <v>327</v>
      </c>
      <c r="O28" s="214" t="s">
        <v>327</v>
      </c>
      <c r="P28" s="218" t="s">
        <v>327</v>
      </c>
      <c r="Q28" s="218" t="s">
        <v>327</v>
      </c>
      <c r="R28" s="206" t="s">
        <v>652</v>
      </c>
    </row>
    <row r="29" spans="2:26" ht="232.5" customHeight="1">
      <c r="B29" s="227"/>
      <c r="C29" s="226" t="s">
        <v>628</v>
      </c>
      <c r="D29" s="210" t="s">
        <v>438</v>
      </c>
      <c r="E29" s="296">
        <v>0.04</v>
      </c>
      <c r="F29" s="211"/>
      <c r="G29" s="223"/>
      <c r="H29" s="223"/>
      <c r="I29" s="223"/>
      <c r="J29" s="209"/>
      <c r="K29" s="218">
        <v>63.2</v>
      </c>
      <c r="L29" s="214"/>
      <c r="M29" s="214"/>
      <c r="N29" s="214"/>
      <c r="O29" s="214"/>
      <c r="P29" s="218">
        <v>63.2</v>
      </c>
      <c r="Q29" s="218">
        <v>63.1</v>
      </c>
      <c r="R29" s="206" t="s">
        <v>436</v>
      </c>
    </row>
    <row r="30" spans="2:26" ht="135.6" customHeight="1">
      <c r="B30" s="206"/>
      <c r="C30" s="225" t="s">
        <v>629</v>
      </c>
      <c r="D30" s="210" t="s">
        <v>437</v>
      </c>
      <c r="E30" s="296">
        <v>0.02</v>
      </c>
      <c r="F30" s="211"/>
      <c r="G30" s="223"/>
      <c r="H30" s="223"/>
      <c r="I30" s="223"/>
      <c r="J30" s="209"/>
      <c r="K30" s="218">
        <v>6775.6850000000004</v>
      </c>
      <c r="L30" s="214"/>
      <c r="M30" s="214"/>
      <c r="N30" s="214"/>
      <c r="O30" s="214"/>
      <c r="P30" s="218">
        <v>6777.6850000000004</v>
      </c>
      <c r="Q30" s="218">
        <v>6779.6850000000004</v>
      </c>
      <c r="R30" s="206" t="s">
        <v>436</v>
      </c>
    </row>
    <row r="31" spans="2:26" ht="121.5" customHeight="1">
      <c r="B31" s="206"/>
      <c r="C31" s="224" t="s">
        <v>630</v>
      </c>
      <c r="D31" s="210" t="s">
        <v>437</v>
      </c>
      <c r="E31" s="296">
        <v>0.03</v>
      </c>
      <c r="F31" s="211"/>
      <c r="G31" s="223"/>
      <c r="H31" s="223"/>
      <c r="I31" s="223"/>
      <c r="J31" s="209"/>
      <c r="K31" s="218">
        <v>2390.8359999999998</v>
      </c>
      <c r="L31" s="218"/>
      <c r="M31" s="218"/>
      <c r="N31" s="218"/>
      <c r="O31" s="218"/>
      <c r="P31" s="218">
        <v>2377.8359999999998</v>
      </c>
      <c r="Q31" s="218">
        <v>2364.8359999999998</v>
      </c>
      <c r="R31" s="206" t="s">
        <v>436</v>
      </c>
    </row>
    <row r="32" spans="2:26" ht="193.5" customHeight="1">
      <c r="B32" s="384" t="s">
        <v>487</v>
      </c>
      <c r="C32" s="212" t="s">
        <v>631</v>
      </c>
      <c r="D32" s="210" t="s">
        <v>437</v>
      </c>
      <c r="E32" s="296">
        <v>0.05</v>
      </c>
      <c r="F32" s="211">
        <v>9325.9000000000015</v>
      </c>
      <c r="G32" s="210"/>
      <c r="H32" s="210"/>
      <c r="I32" s="210"/>
      <c r="J32" s="209">
        <v>9325.9000000000015</v>
      </c>
      <c r="K32" s="218">
        <v>17301.8</v>
      </c>
      <c r="L32" s="214" t="s">
        <v>327</v>
      </c>
      <c r="M32" s="214" t="s">
        <v>327</v>
      </c>
      <c r="N32" s="214" t="s">
        <v>327</v>
      </c>
      <c r="O32" s="214" t="s">
        <v>327</v>
      </c>
      <c r="P32" s="218">
        <v>17324.4476</v>
      </c>
      <c r="Q32" s="218">
        <v>17348.711599999999</v>
      </c>
      <c r="R32" s="206" t="s">
        <v>436</v>
      </c>
      <c r="S32" s="219"/>
      <c r="T32" s="219"/>
      <c r="U32" s="219"/>
      <c r="V32" s="219"/>
      <c r="W32" s="219"/>
      <c r="X32" s="219"/>
      <c r="Y32" s="219"/>
      <c r="Z32" s="219"/>
    </row>
    <row r="33" spans="2:26" ht="95.25" customHeight="1">
      <c r="B33" s="384"/>
      <c r="C33" s="215" t="s">
        <v>440</v>
      </c>
      <c r="D33" s="210" t="s">
        <v>437</v>
      </c>
      <c r="E33" s="296"/>
      <c r="F33" s="211">
        <v>4635.6000000000004</v>
      </c>
      <c r="G33" s="210"/>
      <c r="H33" s="210"/>
      <c r="I33" s="210"/>
      <c r="J33" s="222">
        <v>4635.6000000000004</v>
      </c>
      <c r="K33" s="218">
        <v>4683.8275999999996</v>
      </c>
      <c r="L33" s="214" t="s">
        <v>327</v>
      </c>
      <c r="M33" s="214" t="s">
        <v>327</v>
      </c>
      <c r="N33" s="214" t="s">
        <v>327</v>
      </c>
      <c r="O33" s="214" t="s">
        <v>327</v>
      </c>
      <c r="P33" s="218">
        <v>4689.7316000000001</v>
      </c>
      <c r="Q33" s="218">
        <v>4695.1315999999997</v>
      </c>
      <c r="R33" s="206"/>
      <c r="S33" s="219"/>
      <c r="T33" s="219"/>
      <c r="U33" s="219"/>
      <c r="V33" s="219"/>
      <c r="W33" s="219"/>
      <c r="X33" s="219"/>
      <c r="Y33" s="219"/>
      <c r="Z33" s="219"/>
    </row>
    <row r="34" spans="2:26" ht="52.9" customHeight="1">
      <c r="B34" s="384"/>
      <c r="C34" s="212" t="s">
        <v>439</v>
      </c>
      <c r="D34" s="210" t="s">
        <v>437</v>
      </c>
      <c r="E34" s="296"/>
      <c r="F34" s="211">
        <v>4690.3</v>
      </c>
      <c r="G34" s="210"/>
      <c r="H34" s="210"/>
      <c r="I34" s="210"/>
      <c r="J34" s="209">
        <v>4690.3</v>
      </c>
      <c r="K34" s="218">
        <v>12618</v>
      </c>
      <c r="L34" s="214" t="s">
        <v>327</v>
      </c>
      <c r="M34" s="214" t="s">
        <v>327</v>
      </c>
      <c r="N34" s="214" t="s">
        <v>327</v>
      </c>
      <c r="O34" s="214" t="s">
        <v>327</v>
      </c>
      <c r="P34" s="218">
        <v>12634.716</v>
      </c>
      <c r="Q34" s="218">
        <v>12653.58</v>
      </c>
      <c r="R34" s="206"/>
      <c r="S34" s="219"/>
      <c r="T34" s="219"/>
      <c r="U34" s="219"/>
      <c r="V34" s="219"/>
      <c r="W34" s="219"/>
      <c r="X34" s="219"/>
      <c r="Y34" s="219"/>
      <c r="Z34" s="219"/>
    </row>
    <row r="35" spans="2:26" ht="201.75" customHeight="1">
      <c r="B35" s="384"/>
      <c r="C35" s="212" t="s">
        <v>632</v>
      </c>
      <c r="D35" s="221" t="s">
        <v>437</v>
      </c>
      <c r="E35" s="296">
        <v>7.0000000000000007E-2</v>
      </c>
      <c r="F35" s="211"/>
      <c r="G35" s="210"/>
      <c r="H35" s="210"/>
      <c r="I35" s="210"/>
      <c r="J35" s="209">
        <v>202.7</v>
      </c>
      <c r="K35" s="218">
        <v>269.3</v>
      </c>
      <c r="L35" s="214" t="s">
        <v>327</v>
      </c>
      <c r="M35" s="214" t="s">
        <v>327</v>
      </c>
      <c r="N35" s="214" t="s">
        <v>327</v>
      </c>
      <c r="O35" s="214" t="s">
        <v>327</v>
      </c>
      <c r="P35" s="218">
        <v>164.5</v>
      </c>
      <c r="Q35" s="218">
        <v>173.4</v>
      </c>
      <c r="R35" s="206" t="s">
        <v>441</v>
      </c>
      <c r="S35" s="219"/>
      <c r="T35" s="219"/>
      <c r="U35" s="219"/>
      <c r="V35" s="219"/>
      <c r="W35" s="219"/>
      <c r="X35" s="219"/>
      <c r="Y35" s="219"/>
      <c r="Z35" s="219"/>
    </row>
    <row r="36" spans="2:26" ht="68.25" customHeight="1">
      <c r="B36" s="384"/>
      <c r="C36" s="215" t="s">
        <v>440</v>
      </c>
      <c r="D36" s="221" t="s">
        <v>437</v>
      </c>
      <c r="E36" s="296"/>
      <c r="F36" s="211"/>
      <c r="G36" s="210"/>
      <c r="H36" s="210"/>
      <c r="I36" s="210"/>
      <c r="J36" s="209">
        <v>32.700000000000003</v>
      </c>
      <c r="K36" s="218">
        <v>65.3</v>
      </c>
      <c r="L36" s="214" t="s">
        <v>327</v>
      </c>
      <c r="M36" s="214" t="s">
        <v>327</v>
      </c>
      <c r="N36" s="214" t="s">
        <v>327</v>
      </c>
      <c r="O36" s="214" t="s">
        <v>327</v>
      </c>
      <c r="P36" s="218">
        <v>32</v>
      </c>
      <c r="Q36" s="218">
        <v>23.4</v>
      </c>
      <c r="R36" s="206"/>
      <c r="S36" s="219"/>
      <c r="T36" s="219"/>
      <c r="U36" s="219"/>
      <c r="V36" s="219"/>
      <c r="W36" s="219"/>
      <c r="X36" s="219"/>
      <c r="Y36" s="219"/>
      <c r="Z36" s="219"/>
    </row>
    <row r="37" spans="2:26" ht="68.25" customHeight="1">
      <c r="B37" s="384"/>
      <c r="C37" s="212" t="s">
        <v>439</v>
      </c>
      <c r="D37" s="221" t="s">
        <v>437</v>
      </c>
      <c r="E37" s="296"/>
      <c r="F37" s="211"/>
      <c r="G37" s="210"/>
      <c r="H37" s="210"/>
      <c r="I37" s="210"/>
      <c r="J37" s="209">
        <v>170</v>
      </c>
      <c r="K37" s="218">
        <v>204</v>
      </c>
      <c r="L37" s="214" t="s">
        <v>327</v>
      </c>
      <c r="M37" s="214" t="s">
        <v>327</v>
      </c>
      <c r="N37" s="214" t="s">
        <v>327</v>
      </c>
      <c r="O37" s="214" t="s">
        <v>327</v>
      </c>
      <c r="P37" s="218">
        <v>132.5</v>
      </c>
      <c r="Q37" s="218">
        <v>150</v>
      </c>
      <c r="R37" s="206"/>
      <c r="S37" s="219"/>
      <c r="T37" s="219"/>
      <c r="U37" s="219"/>
      <c r="V37" s="219"/>
      <c r="W37" s="219"/>
      <c r="X37" s="219"/>
      <c r="Y37" s="219"/>
      <c r="Z37" s="219"/>
    </row>
    <row r="38" spans="2:26" ht="156.75" customHeight="1">
      <c r="B38" s="384"/>
      <c r="C38" s="212" t="s">
        <v>633</v>
      </c>
      <c r="D38" s="221" t="s">
        <v>437</v>
      </c>
      <c r="E38" s="296">
        <v>7.0000000000000007E-2</v>
      </c>
      <c r="F38" s="211"/>
      <c r="G38" s="210"/>
      <c r="H38" s="210"/>
      <c r="I38" s="210"/>
      <c r="J38" s="209"/>
      <c r="K38" s="218">
        <v>169.2</v>
      </c>
      <c r="L38" s="214"/>
      <c r="M38" s="214"/>
      <c r="N38" s="214"/>
      <c r="O38" s="214"/>
      <c r="P38" s="218">
        <v>86.7</v>
      </c>
      <c r="Q38" s="218">
        <v>55.7</v>
      </c>
      <c r="R38" s="206" t="s">
        <v>436</v>
      </c>
      <c r="S38" s="219"/>
      <c r="T38" s="219"/>
      <c r="U38" s="219"/>
      <c r="V38" s="219"/>
      <c r="W38" s="219"/>
      <c r="X38" s="219"/>
      <c r="Y38" s="219"/>
      <c r="Z38" s="219"/>
    </row>
    <row r="39" spans="2:26" ht="170.45" customHeight="1">
      <c r="B39" s="384"/>
      <c r="C39" s="212" t="s">
        <v>634</v>
      </c>
      <c r="D39" s="221" t="s">
        <v>438</v>
      </c>
      <c r="E39" s="296">
        <v>0.05</v>
      </c>
      <c r="F39" s="211"/>
      <c r="G39" s="210"/>
      <c r="H39" s="210"/>
      <c r="I39" s="210"/>
      <c r="J39" s="220">
        <v>0.36759123857423842</v>
      </c>
      <c r="K39" s="218">
        <v>63.2</v>
      </c>
      <c r="L39" s="214" t="s">
        <v>327</v>
      </c>
      <c r="M39" s="214" t="s">
        <v>327</v>
      </c>
      <c r="N39" s="214" t="s">
        <v>327</v>
      </c>
      <c r="O39" s="214" t="s">
        <v>327</v>
      </c>
      <c r="P39" s="218">
        <v>63.3</v>
      </c>
      <c r="Q39" s="218">
        <v>63.4</v>
      </c>
      <c r="R39" s="206" t="s">
        <v>436</v>
      </c>
      <c r="S39" s="219"/>
      <c r="T39" s="219"/>
      <c r="U39" s="219"/>
      <c r="V39" s="219"/>
      <c r="W39" s="219"/>
      <c r="X39" s="219"/>
      <c r="Y39" s="219"/>
      <c r="Z39" s="219"/>
    </row>
    <row r="40" spans="2:26" ht="80.25" customHeight="1">
      <c r="B40" s="384"/>
      <c r="C40" s="215" t="s">
        <v>440</v>
      </c>
      <c r="D40" s="221" t="s">
        <v>438</v>
      </c>
      <c r="E40" s="296"/>
      <c r="F40" s="211"/>
      <c r="G40" s="210"/>
      <c r="H40" s="210"/>
      <c r="I40" s="210"/>
      <c r="J40" s="220">
        <v>0.36211381478732962</v>
      </c>
      <c r="K40" s="218">
        <v>36.799999999999997</v>
      </c>
      <c r="L40" s="214" t="s">
        <v>327</v>
      </c>
      <c r="M40" s="214" t="s">
        <v>327</v>
      </c>
      <c r="N40" s="214" t="s">
        <v>327</v>
      </c>
      <c r="O40" s="214" t="s">
        <v>327</v>
      </c>
      <c r="P40" s="218">
        <v>36.799999999999997</v>
      </c>
      <c r="Q40" s="218">
        <v>36.9</v>
      </c>
      <c r="R40" s="206"/>
      <c r="S40" s="219"/>
      <c r="T40" s="219"/>
      <c r="U40" s="219"/>
      <c r="V40" s="219"/>
      <c r="W40" s="219"/>
      <c r="X40" s="219"/>
      <c r="Y40" s="219"/>
      <c r="Z40" s="219"/>
    </row>
    <row r="41" spans="2:26" ht="57" customHeight="1">
      <c r="B41" s="384"/>
      <c r="C41" s="212" t="s">
        <v>439</v>
      </c>
      <c r="D41" s="221" t="s">
        <v>438</v>
      </c>
      <c r="E41" s="296"/>
      <c r="F41" s="211"/>
      <c r="G41" s="210"/>
      <c r="H41" s="210"/>
      <c r="I41" s="210"/>
      <c r="J41" s="220">
        <v>0.37317007192412965</v>
      </c>
      <c r="K41" s="213">
        <v>86.3</v>
      </c>
      <c r="L41" s="214" t="s">
        <v>327</v>
      </c>
      <c r="M41" s="214" t="s">
        <v>327</v>
      </c>
      <c r="N41" s="214" t="s">
        <v>327</v>
      </c>
      <c r="O41" s="214" t="s">
        <v>327</v>
      </c>
      <c r="P41" s="213">
        <v>86.4</v>
      </c>
      <c r="Q41" s="213">
        <v>86.5</v>
      </c>
      <c r="R41" s="206"/>
      <c r="S41" s="219"/>
      <c r="T41" s="219"/>
      <c r="U41" s="219"/>
      <c r="V41" s="219"/>
      <c r="W41" s="219"/>
      <c r="X41" s="219"/>
      <c r="Y41" s="219"/>
      <c r="Z41" s="219"/>
    </row>
    <row r="42" spans="2:26" ht="111" customHeight="1">
      <c r="B42" s="384"/>
      <c r="C42" s="216" t="s">
        <v>635</v>
      </c>
      <c r="D42" s="210" t="s">
        <v>438</v>
      </c>
      <c r="E42" s="296">
        <v>0.04</v>
      </c>
      <c r="F42" s="211">
        <v>54</v>
      </c>
      <c r="G42" s="210"/>
      <c r="H42" s="210"/>
      <c r="I42" s="210"/>
      <c r="J42" s="218">
        <v>54</v>
      </c>
      <c r="K42" s="214">
        <v>48.94</v>
      </c>
      <c r="L42" s="214" t="s">
        <v>327</v>
      </c>
      <c r="M42" s="214" t="s">
        <v>327</v>
      </c>
      <c r="N42" s="214" t="s">
        <v>327</v>
      </c>
      <c r="O42" s="214" t="s">
        <v>327</v>
      </c>
      <c r="P42" s="217">
        <v>48.934713813936241</v>
      </c>
      <c r="Q42" s="217">
        <v>48.914713813936238</v>
      </c>
      <c r="R42" s="206" t="s">
        <v>436</v>
      </c>
    </row>
    <row r="43" spans="2:26" ht="153.75" customHeight="1">
      <c r="B43" s="384"/>
      <c r="C43" s="216" t="s">
        <v>636</v>
      </c>
      <c r="D43" s="210" t="s">
        <v>438</v>
      </c>
      <c r="E43" s="296">
        <v>0.04</v>
      </c>
      <c r="F43" s="211">
        <v>18.5</v>
      </c>
      <c r="G43" s="210"/>
      <c r="H43" s="210"/>
      <c r="I43" s="210"/>
      <c r="J43" s="210">
        <v>18.5</v>
      </c>
      <c r="K43" s="210">
        <v>19.600000000000001</v>
      </c>
      <c r="L43" s="214" t="s">
        <v>327</v>
      </c>
      <c r="M43" s="214" t="s">
        <v>327</v>
      </c>
      <c r="N43" s="214" t="s">
        <v>327</v>
      </c>
      <c r="O43" s="214" t="s">
        <v>327</v>
      </c>
      <c r="P43" s="213">
        <v>19.475655430711612</v>
      </c>
      <c r="Q43" s="213">
        <v>19.475655430711612</v>
      </c>
      <c r="R43" s="206" t="s">
        <v>436</v>
      </c>
    </row>
    <row r="44" spans="2:26" ht="104.25" customHeight="1">
      <c r="B44" s="384"/>
      <c r="C44" s="215" t="s">
        <v>637</v>
      </c>
      <c r="D44" s="210" t="s">
        <v>437</v>
      </c>
      <c r="E44" s="296">
        <v>0.05</v>
      </c>
      <c r="F44" s="211">
        <v>12568.8</v>
      </c>
      <c r="G44" s="210"/>
      <c r="H44" s="210"/>
      <c r="I44" s="210"/>
      <c r="J44" s="209">
        <v>12568.8</v>
      </c>
      <c r="K44" s="218">
        <v>14627</v>
      </c>
      <c r="L44" s="214" t="s">
        <v>327</v>
      </c>
      <c r="M44" s="214" t="s">
        <v>327</v>
      </c>
      <c r="N44" s="214" t="s">
        <v>327</v>
      </c>
      <c r="O44" s="214" t="s">
        <v>327</v>
      </c>
      <c r="P44" s="213">
        <v>14630.2</v>
      </c>
      <c r="Q44" s="213">
        <v>14634</v>
      </c>
      <c r="R44" s="206" t="s">
        <v>436</v>
      </c>
    </row>
    <row r="45" spans="2:26" ht="123" customHeight="1">
      <c r="B45" s="384"/>
      <c r="C45" s="212" t="s">
        <v>638</v>
      </c>
      <c r="D45" s="210" t="s">
        <v>437</v>
      </c>
      <c r="E45" s="296">
        <v>0.05</v>
      </c>
      <c r="F45" s="211">
        <v>10.5</v>
      </c>
      <c r="G45" s="210"/>
      <c r="H45" s="210"/>
      <c r="I45" s="210"/>
      <c r="J45" s="209">
        <v>10.5</v>
      </c>
      <c r="K45" s="292">
        <v>5.9</v>
      </c>
      <c r="L45" s="214" t="s">
        <v>327</v>
      </c>
      <c r="M45" s="214" t="s">
        <v>327</v>
      </c>
      <c r="N45" s="214" t="s">
        <v>327</v>
      </c>
      <c r="O45" s="214" t="s">
        <v>327</v>
      </c>
      <c r="P45" s="213">
        <v>10</v>
      </c>
      <c r="Q45" s="213">
        <v>11</v>
      </c>
      <c r="R45" s="206" t="s">
        <v>436</v>
      </c>
    </row>
    <row r="46" spans="2:26" ht="129" customHeight="1">
      <c r="B46" s="384"/>
      <c r="C46" s="212" t="s">
        <v>639</v>
      </c>
      <c r="D46" s="210" t="s">
        <v>437</v>
      </c>
      <c r="E46" s="296">
        <v>0.05</v>
      </c>
      <c r="F46" s="211">
        <v>3</v>
      </c>
      <c r="G46" s="210"/>
      <c r="H46" s="210"/>
      <c r="I46" s="210"/>
      <c r="J46" s="209">
        <v>3</v>
      </c>
      <c r="K46" s="292">
        <v>2.4</v>
      </c>
      <c r="L46" s="214" t="s">
        <v>327</v>
      </c>
      <c r="M46" s="214" t="s">
        <v>327</v>
      </c>
      <c r="N46" s="214" t="s">
        <v>327</v>
      </c>
      <c r="O46" s="214" t="s">
        <v>327</v>
      </c>
      <c r="P46" s="213">
        <v>3.2</v>
      </c>
      <c r="Q46" s="213">
        <v>3.8</v>
      </c>
      <c r="R46" s="206" t="s">
        <v>436</v>
      </c>
    </row>
    <row r="47" spans="2:26" ht="210.75" customHeight="1">
      <c r="B47" s="384"/>
      <c r="C47" s="212" t="s">
        <v>640</v>
      </c>
      <c r="D47" s="210" t="s">
        <v>437</v>
      </c>
      <c r="E47" s="296">
        <v>0.04</v>
      </c>
      <c r="F47" s="211">
        <v>7.5</v>
      </c>
      <c r="G47" s="210"/>
      <c r="H47" s="210"/>
      <c r="I47" s="210"/>
      <c r="J47" s="209">
        <v>7.5</v>
      </c>
      <c r="K47" s="292">
        <v>3.5</v>
      </c>
      <c r="L47" s="214" t="s">
        <v>327</v>
      </c>
      <c r="M47" s="214" t="s">
        <v>327</v>
      </c>
      <c r="N47" s="214" t="s">
        <v>327</v>
      </c>
      <c r="O47" s="214" t="s">
        <v>327</v>
      </c>
      <c r="P47" s="213">
        <v>6.8</v>
      </c>
      <c r="Q47" s="213">
        <v>7.2</v>
      </c>
      <c r="R47" s="206" t="s">
        <v>436</v>
      </c>
    </row>
    <row r="48" spans="2:26" ht="145.5" customHeight="1">
      <c r="B48" s="384"/>
      <c r="C48" s="212" t="s">
        <v>641</v>
      </c>
      <c r="D48" s="210" t="s">
        <v>437</v>
      </c>
      <c r="E48" s="296">
        <v>0.04</v>
      </c>
      <c r="F48" s="211"/>
      <c r="G48" s="210"/>
      <c r="H48" s="210"/>
      <c r="I48" s="210"/>
      <c r="J48" s="209"/>
      <c r="K48" s="208">
        <v>4038.7</v>
      </c>
      <c r="L48" s="208"/>
      <c r="M48" s="208"/>
      <c r="N48" s="208"/>
      <c r="O48" s="208"/>
      <c r="P48" s="207">
        <v>4048.7</v>
      </c>
      <c r="Q48" s="207">
        <v>4058.7</v>
      </c>
      <c r="R48" s="206" t="s">
        <v>436</v>
      </c>
    </row>
    <row r="49" spans="1:18" ht="113.45" customHeight="1">
      <c r="B49" s="385"/>
      <c r="C49" s="205" t="s">
        <v>642</v>
      </c>
      <c r="D49" s="204" t="s">
        <v>437</v>
      </c>
      <c r="E49" s="204">
        <v>0.04</v>
      </c>
      <c r="F49" s="204">
        <v>7.5</v>
      </c>
      <c r="G49" s="204"/>
      <c r="H49" s="204"/>
      <c r="I49" s="204"/>
      <c r="J49" s="204">
        <v>7.5</v>
      </c>
      <c r="K49" s="203">
        <v>6046.3</v>
      </c>
      <c r="L49" s="203" t="s">
        <v>327</v>
      </c>
      <c r="M49" s="203" t="s">
        <v>327</v>
      </c>
      <c r="N49" s="203" t="s">
        <v>327</v>
      </c>
      <c r="O49" s="203" t="s">
        <v>327</v>
      </c>
      <c r="P49" s="203">
        <v>6031.3</v>
      </c>
      <c r="Q49" s="203">
        <v>6016.3</v>
      </c>
      <c r="R49" s="202" t="s">
        <v>436</v>
      </c>
    </row>
    <row r="50" spans="1:18" ht="0.6" customHeight="1">
      <c r="A50" s="200"/>
      <c r="B50" s="201"/>
      <c r="C50" s="200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</row>
    <row r="51" spans="1:18" ht="34.5" customHeight="1">
      <c r="A51" s="386" t="s">
        <v>643</v>
      </c>
      <c r="B51" s="386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</row>
    <row r="52" spans="1:18" ht="39" customHeight="1">
      <c r="A52" s="387"/>
      <c r="B52" s="387"/>
      <c r="C52" s="387"/>
      <c r="D52" s="387"/>
      <c r="E52" s="387"/>
      <c r="F52" s="387"/>
      <c r="G52" s="387"/>
      <c r="H52" s="387"/>
      <c r="I52" s="387"/>
      <c r="J52" s="387"/>
      <c r="K52" s="387"/>
      <c r="L52" s="387"/>
      <c r="M52" s="387"/>
      <c r="N52" s="387"/>
      <c r="O52" s="387"/>
      <c r="P52" s="387"/>
      <c r="Q52" s="387"/>
      <c r="R52" s="387"/>
    </row>
    <row r="53" spans="1:18" ht="27" customHeight="1">
      <c r="A53" s="378" t="s">
        <v>582</v>
      </c>
      <c r="B53" s="378"/>
      <c r="C53" s="378"/>
      <c r="D53" s="378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</row>
    <row r="54" spans="1:18" ht="16.5" customHeight="1">
      <c r="A54" s="378"/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</row>
    <row r="56" spans="1:18" hidden="1">
      <c r="A56" s="366" t="s">
        <v>516</v>
      </c>
      <c r="B56" s="366" t="s">
        <v>525</v>
      </c>
      <c r="C56" s="366"/>
      <c r="D56" s="366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</row>
  </sheetData>
  <mergeCells count="24">
    <mergeCell ref="K1:R1"/>
    <mergeCell ref="B4:R4"/>
    <mergeCell ref="B5:R5"/>
    <mergeCell ref="K6:R6"/>
    <mergeCell ref="B7:R7"/>
    <mergeCell ref="B8:R8"/>
    <mergeCell ref="B9:R9"/>
    <mergeCell ref="B11:B13"/>
    <mergeCell ref="C11:C13"/>
    <mergeCell ref="D11:D13"/>
    <mergeCell ref="E11:E13"/>
    <mergeCell ref="F11:F13"/>
    <mergeCell ref="G11:J12"/>
    <mergeCell ref="K11:K13"/>
    <mergeCell ref="L11:O12"/>
    <mergeCell ref="P11:P13"/>
    <mergeCell ref="A53:R54"/>
    <mergeCell ref="Q11:Q13"/>
    <mergeCell ref="R11:R13"/>
    <mergeCell ref="B15:R15"/>
    <mergeCell ref="B16:R16"/>
    <mergeCell ref="B17:B18"/>
    <mergeCell ref="B32:B49"/>
    <mergeCell ref="A51:R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23"/>
  <sheetViews>
    <sheetView view="pageBreakPreview" topLeftCell="A478" zoomScale="90" zoomScaleNormal="90" zoomScaleSheetLayoutView="90" workbookViewId="0">
      <selection activeCell="AL478" sqref="AL1:AO1048576"/>
    </sheetView>
  </sheetViews>
  <sheetFormatPr defaultColWidth="8.85546875" defaultRowHeight="15"/>
  <cols>
    <col min="1" max="1" width="39.42578125" style="11" customWidth="1"/>
    <col min="2" max="2" width="22.140625" style="37" customWidth="1"/>
    <col min="3" max="3" width="6.5703125" style="11" customWidth="1"/>
    <col min="4" max="5" width="6.7109375" style="11" customWidth="1"/>
    <col min="6" max="6" width="12.28515625" style="11" customWidth="1"/>
    <col min="7" max="7" width="7.5703125" style="11" customWidth="1"/>
    <col min="8" max="8" width="14.42578125" style="11" hidden="1" customWidth="1"/>
    <col min="9" max="12" width="13.5703125" style="11" hidden="1" customWidth="1"/>
    <col min="13" max="13" width="0.140625" style="11" hidden="1" customWidth="1"/>
    <col min="14" max="14" width="13.7109375" style="11" hidden="1" customWidth="1"/>
    <col min="15" max="15" width="11.42578125" style="11" hidden="1" customWidth="1"/>
    <col min="16" max="16" width="14.7109375" style="11" hidden="1" customWidth="1"/>
    <col min="17" max="17" width="12.140625" style="11" hidden="1" customWidth="1"/>
    <col min="18" max="18" width="13.28515625" style="108" customWidth="1"/>
    <col min="19" max="19" width="12.5703125" style="108" customWidth="1"/>
    <col min="20" max="20" width="12.28515625" style="108" customWidth="1"/>
    <col min="21" max="21" width="13.5703125" style="108" customWidth="1"/>
    <col min="22" max="22" width="12" style="108" customWidth="1"/>
    <col min="23" max="23" width="13.85546875" style="11" customWidth="1"/>
    <col min="24" max="24" width="13.5703125" style="11" customWidth="1"/>
    <col min="25" max="25" width="12.5703125" style="11" customWidth="1"/>
    <col min="26" max="26" width="25.7109375" style="11" customWidth="1"/>
    <col min="27" max="27" width="17.42578125" style="11" hidden="1" customWidth="1"/>
    <col min="28" max="28" width="12.85546875" style="11" hidden="1" customWidth="1"/>
    <col min="29" max="29" width="11.5703125" style="11" hidden="1" customWidth="1"/>
    <col min="30" max="30" width="10.7109375" style="11" hidden="1" customWidth="1"/>
    <col min="31" max="31" width="9.140625" style="11" hidden="1" customWidth="1"/>
    <col min="32" max="36" width="0" style="11" hidden="1" customWidth="1"/>
    <col min="37" max="37" width="8.85546875" style="11"/>
    <col min="38" max="38" width="15.140625" style="11" hidden="1" customWidth="1"/>
    <col min="39" max="41" width="0" style="11" hidden="1" customWidth="1"/>
    <col min="42" max="16384" width="8.85546875" style="11"/>
  </cols>
  <sheetData>
    <row r="1" spans="1:26" ht="37.15" customHeight="1">
      <c r="W1" s="424" t="s">
        <v>546</v>
      </c>
      <c r="X1" s="424"/>
      <c r="Y1" s="424"/>
      <c r="Z1" s="424"/>
    </row>
    <row r="2" spans="1:26" ht="22.9" customHeight="1">
      <c r="Z2" s="27" t="s">
        <v>215</v>
      </c>
    </row>
    <row r="3" spans="1:26" ht="20.45" customHeight="1">
      <c r="A3" s="425" t="s">
        <v>209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</row>
    <row r="4" spans="1:26" ht="26.45" customHeight="1">
      <c r="A4" s="425" t="s">
        <v>210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</row>
    <row r="5" spans="1:26" ht="45" customHeight="1">
      <c r="A5" s="425" t="s">
        <v>654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</row>
    <row r="6" spans="1:26" ht="26.45" customHeight="1">
      <c r="A6" s="425" t="s">
        <v>504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</row>
    <row r="7" spans="1:26">
      <c r="A7" s="28"/>
    </row>
    <row r="8" spans="1:26" ht="21" customHeight="1">
      <c r="A8" s="379" t="s">
        <v>0</v>
      </c>
      <c r="B8" s="395" t="s">
        <v>1</v>
      </c>
      <c r="C8" s="426" t="s">
        <v>147</v>
      </c>
      <c r="D8" s="427"/>
      <c r="E8" s="427"/>
      <c r="F8" s="427"/>
      <c r="G8" s="428"/>
      <c r="H8" s="426" t="s">
        <v>148</v>
      </c>
      <c r="I8" s="379" t="s">
        <v>149</v>
      </c>
      <c r="J8" s="379"/>
      <c r="K8" s="379"/>
      <c r="L8" s="379"/>
      <c r="M8" s="379" t="s">
        <v>8</v>
      </c>
      <c r="N8" s="379" t="s">
        <v>315</v>
      </c>
      <c r="O8" s="379"/>
      <c r="P8" s="379"/>
      <c r="Q8" s="379"/>
      <c r="R8" s="432" t="s">
        <v>565</v>
      </c>
      <c r="S8" s="440" t="s">
        <v>497</v>
      </c>
      <c r="T8" s="441"/>
      <c r="U8" s="441"/>
      <c r="V8" s="442"/>
      <c r="W8" s="379" t="s">
        <v>346</v>
      </c>
      <c r="X8" s="395" t="s">
        <v>498</v>
      </c>
      <c r="Y8" s="379" t="s">
        <v>2</v>
      </c>
      <c r="Z8" s="379" t="s">
        <v>3</v>
      </c>
    </row>
    <row r="9" spans="1:26">
      <c r="A9" s="379"/>
      <c r="B9" s="396"/>
      <c r="C9" s="429"/>
      <c r="D9" s="430"/>
      <c r="E9" s="430"/>
      <c r="F9" s="430"/>
      <c r="G9" s="431"/>
      <c r="H9" s="439"/>
      <c r="I9" s="379"/>
      <c r="J9" s="379"/>
      <c r="K9" s="379"/>
      <c r="L9" s="379"/>
      <c r="M9" s="379"/>
      <c r="N9" s="379"/>
      <c r="O9" s="379"/>
      <c r="P9" s="379"/>
      <c r="Q9" s="379"/>
      <c r="R9" s="432"/>
      <c r="S9" s="443"/>
      <c r="T9" s="444"/>
      <c r="U9" s="444"/>
      <c r="V9" s="445"/>
      <c r="W9" s="379"/>
      <c r="X9" s="396"/>
      <c r="Y9" s="379"/>
      <c r="Z9" s="379"/>
    </row>
    <row r="10" spans="1:26" ht="45" customHeight="1">
      <c r="A10" s="379"/>
      <c r="B10" s="404"/>
      <c r="C10" s="62" t="s">
        <v>4</v>
      </c>
      <c r="D10" s="316" t="s">
        <v>552</v>
      </c>
      <c r="E10" s="62" t="s">
        <v>553</v>
      </c>
      <c r="F10" s="62" t="s">
        <v>6</v>
      </c>
      <c r="G10" s="62" t="s">
        <v>7</v>
      </c>
      <c r="H10" s="429"/>
      <c r="I10" s="62" t="s">
        <v>150</v>
      </c>
      <c r="J10" s="62" t="s">
        <v>151</v>
      </c>
      <c r="K10" s="62" t="s">
        <v>152</v>
      </c>
      <c r="L10" s="62" t="s">
        <v>153</v>
      </c>
      <c r="M10" s="379"/>
      <c r="N10" s="62" t="s">
        <v>150</v>
      </c>
      <c r="O10" s="62" t="s">
        <v>151</v>
      </c>
      <c r="P10" s="62" t="s">
        <v>152</v>
      </c>
      <c r="Q10" s="62" t="s">
        <v>153</v>
      </c>
      <c r="R10" s="432"/>
      <c r="S10" s="236" t="s">
        <v>150</v>
      </c>
      <c r="T10" s="236" t="s">
        <v>151</v>
      </c>
      <c r="U10" s="236" t="s">
        <v>152</v>
      </c>
      <c r="V10" s="236" t="s">
        <v>153</v>
      </c>
      <c r="W10" s="379"/>
      <c r="X10" s="404"/>
      <c r="Y10" s="379"/>
      <c r="Z10" s="379"/>
    </row>
    <row r="11" spans="1:26" ht="14.45" customHeight="1">
      <c r="A11" s="62">
        <v>1</v>
      </c>
      <c r="B11" s="62">
        <v>2</v>
      </c>
      <c r="C11" s="62">
        <v>3</v>
      </c>
      <c r="D11" s="316">
        <v>4</v>
      </c>
      <c r="E11" s="62">
        <v>5</v>
      </c>
      <c r="F11" s="62">
        <v>6</v>
      </c>
      <c r="G11" s="62">
        <v>7</v>
      </c>
      <c r="H11" s="62">
        <v>7</v>
      </c>
      <c r="I11" s="62">
        <v>8</v>
      </c>
      <c r="J11" s="62">
        <v>9</v>
      </c>
      <c r="K11" s="62">
        <v>10</v>
      </c>
      <c r="L11" s="62">
        <v>11</v>
      </c>
      <c r="M11" s="62">
        <v>7</v>
      </c>
      <c r="N11" s="62">
        <v>8</v>
      </c>
      <c r="O11" s="62">
        <v>9</v>
      </c>
      <c r="P11" s="62">
        <v>10</v>
      </c>
      <c r="Q11" s="62">
        <v>11</v>
      </c>
      <c r="R11" s="109">
        <v>8</v>
      </c>
      <c r="S11" s="236">
        <v>9</v>
      </c>
      <c r="T11" s="236">
        <v>10</v>
      </c>
      <c r="U11" s="236">
        <v>11</v>
      </c>
      <c r="V11" s="236">
        <v>12</v>
      </c>
      <c r="W11" s="62">
        <v>13</v>
      </c>
      <c r="X11" s="153">
        <v>14</v>
      </c>
      <c r="Y11" s="62">
        <v>15</v>
      </c>
      <c r="Z11" s="62">
        <v>16</v>
      </c>
    </row>
    <row r="12" spans="1:26" ht="28.15" customHeight="1">
      <c r="A12" s="409" t="s">
        <v>328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</row>
    <row r="13" spans="1:26" ht="24.6" customHeight="1">
      <c r="A13" s="409" t="s">
        <v>223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</row>
    <row r="14" spans="1:26" ht="0.6" hidden="1" customHeight="1">
      <c r="A14" s="422"/>
      <c r="B14" s="422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</row>
    <row r="15" spans="1:26" ht="136.15" hidden="1" customHeight="1">
      <c r="A15" s="51" t="s">
        <v>12</v>
      </c>
      <c r="B15" s="62"/>
      <c r="C15" s="62">
        <v>176</v>
      </c>
      <c r="D15" s="316" t="s">
        <v>15</v>
      </c>
      <c r="E15" s="62" t="s">
        <v>15</v>
      </c>
      <c r="F15" s="62" t="s">
        <v>16</v>
      </c>
      <c r="G15" s="62" t="s">
        <v>28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109"/>
      <c r="S15" s="236"/>
      <c r="T15" s="236"/>
      <c r="U15" s="236"/>
      <c r="V15" s="236"/>
      <c r="W15" s="62"/>
      <c r="X15" s="153"/>
      <c r="Y15" s="62"/>
      <c r="Z15" s="61"/>
    </row>
    <row r="16" spans="1:26" ht="26.45" customHeight="1">
      <c r="A16" s="423" t="s">
        <v>658</v>
      </c>
      <c r="B16" s="12" t="s">
        <v>190</v>
      </c>
      <c r="C16" s="12"/>
      <c r="D16" s="12"/>
      <c r="E16" s="12"/>
      <c r="F16" s="12"/>
      <c r="G16" s="12"/>
      <c r="H16" s="34" t="e">
        <f>L16</f>
        <v>#REF!</v>
      </c>
      <c r="I16" s="12"/>
      <c r="J16" s="12"/>
      <c r="K16" s="12"/>
      <c r="L16" s="34" t="e">
        <f>#REF!</f>
        <v>#REF!</v>
      </c>
      <c r="M16" s="84">
        <f>'Подробный перечень'!L11</f>
        <v>44.215000000000011</v>
      </c>
      <c r="N16" s="84"/>
      <c r="O16" s="84"/>
      <c r="P16" s="84"/>
      <c r="Q16" s="84"/>
      <c r="R16" s="110">
        <f>'Подробный перечень'!$Q$11</f>
        <v>18.134</v>
      </c>
      <c r="S16" s="110"/>
      <c r="T16" s="110"/>
      <c r="U16" s="110"/>
      <c r="V16" s="110"/>
      <c r="W16" s="84">
        <f>'Подробный перечень'!$V$11</f>
        <v>23.67</v>
      </c>
      <c r="X16" s="84">
        <f>'Подробный перечень'!W11</f>
        <v>21.6</v>
      </c>
      <c r="Y16" s="401" t="s">
        <v>26</v>
      </c>
      <c r="Z16" s="401" t="s">
        <v>657</v>
      </c>
    </row>
    <row r="17" spans="1:27" ht="44.25" customHeight="1">
      <c r="A17" s="423"/>
      <c r="B17" s="12" t="s">
        <v>660</v>
      </c>
      <c r="C17" s="12"/>
      <c r="D17" s="12"/>
      <c r="E17" s="12"/>
      <c r="F17" s="12"/>
      <c r="G17" s="12"/>
      <c r="H17" s="13" t="e">
        <f>H18/H16</f>
        <v>#REF!</v>
      </c>
      <c r="I17" s="13"/>
      <c r="J17" s="13"/>
      <c r="K17" s="13"/>
      <c r="L17" s="13" t="e">
        <f>H17</f>
        <v>#REF!</v>
      </c>
      <c r="M17" s="59">
        <f>M18/M16</f>
        <v>29893.618002940173</v>
      </c>
      <c r="N17" s="59"/>
      <c r="O17" s="59"/>
      <c r="P17" s="59"/>
      <c r="Q17" s="59"/>
      <c r="R17" s="111">
        <f>R18/R16</f>
        <v>101574.62777103782</v>
      </c>
      <c r="S17" s="111" t="s">
        <v>556</v>
      </c>
      <c r="T17" s="111" t="s">
        <v>556</v>
      </c>
      <c r="U17" s="111" t="s">
        <v>556</v>
      </c>
      <c r="V17" s="111" t="s">
        <v>556</v>
      </c>
      <c r="W17" s="111">
        <f>W18/W16</f>
        <v>85344.289395859741</v>
      </c>
      <c r="X17" s="111">
        <f>X18/X16</f>
        <v>63620.906018518515</v>
      </c>
      <c r="Y17" s="402"/>
      <c r="Z17" s="402"/>
    </row>
    <row r="18" spans="1:27" ht="30.75" customHeight="1">
      <c r="A18" s="423"/>
      <c r="B18" s="12" t="s">
        <v>25</v>
      </c>
      <c r="C18" s="12">
        <v>176</v>
      </c>
      <c r="D18" s="178" t="s">
        <v>554</v>
      </c>
      <c r="E18" s="178" t="s">
        <v>555</v>
      </c>
      <c r="F18" s="12" t="s">
        <v>312</v>
      </c>
      <c r="G18" s="12">
        <v>414</v>
      </c>
      <c r="H18" s="13" t="e">
        <f>H21+H22+H25+H26</f>
        <v>#REF!</v>
      </c>
      <c r="I18" s="13" t="e">
        <f t="shared" ref="I18:L18" si="0">I21+I22+I25+I26</f>
        <v>#REF!</v>
      </c>
      <c r="J18" s="13" t="e">
        <f>J21+J22+J25+J26</f>
        <v>#REF!</v>
      </c>
      <c r="K18" s="13" t="e">
        <f t="shared" si="0"/>
        <v>#REF!</v>
      </c>
      <c r="L18" s="13" t="e">
        <f t="shared" si="0"/>
        <v>#REF!</v>
      </c>
      <c r="M18" s="59">
        <f>M21+M22+M25+M26</f>
        <v>1321746.32</v>
      </c>
      <c r="N18" s="59"/>
      <c r="O18" s="59"/>
      <c r="P18" s="59"/>
      <c r="Q18" s="59"/>
      <c r="R18" s="111">
        <f>SUM(R20:R24)</f>
        <v>1841954.2999999998</v>
      </c>
      <c r="S18" s="111">
        <f t="shared" ref="S18:V18" si="1">SUM(S20:S24)</f>
        <v>5955.2</v>
      </c>
      <c r="T18" s="111">
        <f t="shared" si="1"/>
        <v>126602.1</v>
      </c>
      <c r="U18" s="111">
        <f t="shared" si="1"/>
        <v>673205.8</v>
      </c>
      <c r="V18" s="111">
        <f t="shared" si="1"/>
        <v>1036191.2000000001</v>
      </c>
      <c r="W18" s="111">
        <f>SUM(W20:W24)</f>
        <v>2020099.33</v>
      </c>
      <c r="X18" s="111">
        <f>SUM(X20:X24)</f>
        <v>1374211.57</v>
      </c>
      <c r="Y18" s="402"/>
      <c r="Z18" s="402"/>
    </row>
    <row r="19" spans="1:27">
      <c r="A19" s="423"/>
      <c r="B19" s="12" t="s">
        <v>9</v>
      </c>
      <c r="C19" s="12"/>
      <c r="D19" s="12"/>
      <c r="E19" s="178"/>
      <c r="F19" s="12"/>
      <c r="G19" s="12"/>
      <c r="H19" s="13"/>
      <c r="I19" s="13"/>
      <c r="J19" s="13"/>
      <c r="K19" s="13"/>
      <c r="L19" s="13"/>
      <c r="M19" s="59"/>
      <c r="N19" s="59"/>
      <c r="O19" s="59"/>
      <c r="P19" s="59"/>
      <c r="Q19" s="59"/>
      <c r="R19" s="111"/>
      <c r="S19" s="111"/>
      <c r="T19" s="111"/>
      <c r="U19" s="111"/>
      <c r="V19" s="111"/>
      <c r="W19" s="59"/>
      <c r="X19" s="59"/>
      <c r="Y19" s="402"/>
      <c r="Z19" s="402"/>
    </row>
    <row r="20" spans="1:27" ht="32.450000000000003" customHeight="1">
      <c r="A20" s="423"/>
      <c r="B20" s="12" t="s">
        <v>10</v>
      </c>
      <c r="C20" s="12">
        <v>176</v>
      </c>
      <c r="D20" s="178" t="s">
        <v>554</v>
      </c>
      <c r="E20" s="178" t="s">
        <v>555</v>
      </c>
      <c r="F20" s="12">
        <v>6100004040</v>
      </c>
      <c r="G20" s="12">
        <v>414</v>
      </c>
      <c r="H20" s="13"/>
      <c r="I20" s="13"/>
      <c r="J20" s="13"/>
      <c r="K20" s="13"/>
      <c r="L20" s="13"/>
      <c r="M20" s="59"/>
      <c r="N20" s="59"/>
      <c r="O20" s="59"/>
      <c r="P20" s="59"/>
      <c r="Q20" s="59"/>
      <c r="R20" s="111">
        <f>R31+R41+R45+R54+R59+R60+R70+R34</f>
        <v>1400389</v>
      </c>
      <c r="S20" s="111">
        <f>S31+S41+S45+S54+S59+S60+S70</f>
        <v>5955.2</v>
      </c>
      <c r="T20" s="111">
        <f>T41+T54+T70</f>
        <v>96602.1</v>
      </c>
      <c r="U20" s="111">
        <f>U31+U41+U45+U54+U59+U70</f>
        <v>518966.7</v>
      </c>
      <c r="V20" s="111">
        <f>V31+V34+V54+V59+V60+V70</f>
        <v>778865</v>
      </c>
      <c r="W20" s="111">
        <f>W31+W41+W44+W54+W70+W45</f>
        <v>1368359.3</v>
      </c>
      <c r="X20" s="111">
        <f>X43+X52+X54+X70</f>
        <v>998670.5</v>
      </c>
      <c r="Y20" s="402"/>
      <c r="Z20" s="402"/>
    </row>
    <row r="21" spans="1:27" ht="25.5" customHeight="1">
      <c r="A21" s="423"/>
      <c r="B21" s="12" t="s">
        <v>10</v>
      </c>
      <c r="C21" s="12">
        <v>176</v>
      </c>
      <c r="D21" s="178" t="s">
        <v>554</v>
      </c>
      <c r="E21" s="178" t="s">
        <v>555</v>
      </c>
      <c r="F21" s="12" t="s">
        <v>598</v>
      </c>
      <c r="G21" s="12">
        <v>414</v>
      </c>
      <c r="H21" s="13" t="e">
        <f>SUM(I21:L21)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59">
        <f>'Подробный перечень'!L15</f>
        <v>696311.52</v>
      </c>
      <c r="N21" s="59">
        <f>'Подробный перечень'!M15</f>
        <v>87614.3</v>
      </c>
      <c r="O21" s="59">
        <f>'Подробный перечень'!N15</f>
        <v>125592.71999999999</v>
      </c>
      <c r="P21" s="59">
        <f>'Подробный перечень'!O15</f>
        <v>111995</v>
      </c>
      <c r="Q21" s="59">
        <f>'Подробный перечень'!P15</f>
        <v>371109.5</v>
      </c>
      <c r="R21" s="111">
        <f>'Подробный перечень'!Q77+'Подробный перечень'!Q81</f>
        <v>107469.5</v>
      </c>
      <c r="S21" s="111">
        <f t="shared" ref="S21:T21" si="2">S38+S64</f>
        <v>0</v>
      </c>
      <c r="T21" s="111">
        <f t="shared" si="2"/>
        <v>0</v>
      </c>
      <c r="U21" s="111">
        <f>U35</f>
        <v>22433.199999999997</v>
      </c>
      <c r="V21" s="111">
        <f>V35</f>
        <v>85036.299999999988</v>
      </c>
      <c r="W21" s="111">
        <f>W29</f>
        <v>200000</v>
      </c>
      <c r="X21" s="111">
        <f>X35</f>
        <v>258000</v>
      </c>
      <c r="Y21" s="402"/>
      <c r="Z21" s="402"/>
    </row>
    <row r="22" spans="1:27" ht="30" customHeight="1">
      <c r="A22" s="423"/>
      <c r="B22" s="12" t="s">
        <v>661</v>
      </c>
      <c r="C22" s="12">
        <v>176</v>
      </c>
      <c r="D22" s="178" t="s">
        <v>554</v>
      </c>
      <c r="E22" s="178" t="s">
        <v>555</v>
      </c>
      <c r="F22" s="12" t="s">
        <v>598</v>
      </c>
      <c r="G22" s="12">
        <v>414</v>
      </c>
      <c r="H22" s="13" t="e">
        <f>SUM(I22:L22)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59">
        <f>'Подробный перечень'!L17</f>
        <v>625434.80000000005</v>
      </c>
      <c r="N22" s="59"/>
      <c r="O22" s="59"/>
      <c r="P22" s="59">
        <f>'Подробный перечень'!O17</f>
        <v>129348.5</v>
      </c>
      <c r="Q22" s="59">
        <f>'Подробный перечень'!P17</f>
        <v>496086.29999999993</v>
      </c>
      <c r="R22" s="111">
        <f>'Подробный перечень'!$Q$17</f>
        <v>128269.9</v>
      </c>
      <c r="S22" s="111">
        <v>0</v>
      </c>
      <c r="T22" s="111">
        <v>0</v>
      </c>
      <c r="U22" s="111">
        <f>'Подробный перечень'!$T$17</f>
        <v>21805.9</v>
      </c>
      <c r="V22" s="111">
        <f>'Подробный перечень'!$U$17</f>
        <v>106464</v>
      </c>
      <c r="W22" s="59">
        <f>W30</f>
        <v>112790.03</v>
      </c>
      <c r="X22" s="59">
        <f>'Подробный перечень'!W17</f>
        <v>117541.07</v>
      </c>
      <c r="Y22" s="402"/>
      <c r="Z22" s="402"/>
    </row>
    <row r="23" spans="1:27" ht="30" hidden="1" customHeight="1">
      <c r="A23" s="423"/>
      <c r="B23" s="12" t="s">
        <v>494</v>
      </c>
      <c r="C23" s="12">
        <v>176</v>
      </c>
      <c r="D23" s="178" t="s">
        <v>15</v>
      </c>
      <c r="E23" s="178" t="s">
        <v>15</v>
      </c>
      <c r="F23" s="12">
        <v>6100053904</v>
      </c>
      <c r="G23" s="12">
        <v>414</v>
      </c>
      <c r="H23" s="13"/>
      <c r="I23" s="13"/>
      <c r="J23" s="13"/>
      <c r="K23" s="13"/>
      <c r="L23" s="13"/>
      <c r="M23" s="59"/>
      <c r="N23" s="59"/>
      <c r="O23" s="59"/>
      <c r="P23" s="59"/>
      <c r="Q23" s="59"/>
      <c r="R23" s="111">
        <f>'Подробный перечень'!Q18</f>
        <v>0</v>
      </c>
      <c r="S23" s="111"/>
      <c r="T23" s="111"/>
      <c r="U23" s="111">
        <f>'Подробный перечень'!$T$18</f>
        <v>0</v>
      </c>
      <c r="V23" s="111"/>
      <c r="W23" s="59"/>
      <c r="X23" s="59"/>
      <c r="Y23" s="402"/>
      <c r="Z23" s="402"/>
    </row>
    <row r="24" spans="1:27" ht="30" customHeight="1">
      <c r="A24" s="423"/>
      <c r="B24" s="373" t="s">
        <v>662</v>
      </c>
      <c r="C24" s="12">
        <v>176</v>
      </c>
      <c r="D24" s="178" t="s">
        <v>554</v>
      </c>
      <c r="E24" s="178" t="s">
        <v>555</v>
      </c>
      <c r="F24" s="12">
        <v>6100053902</v>
      </c>
      <c r="G24" s="12">
        <v>414</v>
      </c>
      <c r="H24" s="13"/>
      <c r="I24" s="13"/>
      <c r="J24" s="13"/>
      <c r="K24" s="13"/>
      <c r="L24" s="13"/>
      <c r="M24" s="59"/>
      <c r="N24" s="59"/>
      <c r="O24" s="59"/>
      <c r="P24" s="59"/>
      <c r="Q24" s="59"/>
      <c r="R24" s="111">
        <f>'Подробный перечень'!$Q$16</f>
        <v>205825.90000000002</v>
      </c>
      <c r="S24" s="111">
        <v>0</v>
      </c>
      <c r="T24" s="111">
        <f>T56</f>
        <v>30000</v>
      </c>
      <c r="U24" s="111">
        <f>'Подробный перечень'!$T$16</f>
        <v>110000</v>
      </c>
      <c r="V24" s="111">
        <f>'Подробный перечень'!$U$16</f>
        <v>65825.900000000009</v>
      </c>
      <c r="W24" s="59">
        <f>'Подробный перечень'!$V$16</f>
        <v>338950</v>
      </c>
      <c r="X24" s="59">
        <f>X56</f>
        <v>0</v>
      </c>
      <c r="Y24" s="402"/>
      <c r="Z24" s="402"/>
    </row>
    <row r="25" spans="1:27" ht="27.75" customHeight="1">
      <c r="A25" s="423"/>
      <c r="B25" s="12" t="s">
        <v>462</v>
      </c>
      <c r="C25" s="12"/>
      <c r="D25" s="178"/>
      <c r="E25" s="178"/>
      <c r="F25" s="12"/>
      <c r="G25" s="12"/>
      <c r="H25" s="13"/>
      <c r="I25" s="13">
        <v>0</v>
      </c>
      <c r="J25" s="13">
        <v>0</v>
      </c>
      <c r="K25" s="13">
        <v>0</v>
      </c>
      <c r="L25" s="13">
        <v>0</v>
      </c>
      <c r="M25" s="59"/>
      <c r="N25" s="59"/>
      <c r="O25" s="59"/>
      <c r="P25" s="59"/>
      <c r="Q25" s="59"/>
      <c r="R25" s="111"/>
      <c r="S25" s="111"/>
      <c r="T25" s="111"/>
      <c r="U25" s="111"/>
      <c r="V25" s="111"/>
      <c r="W25" s="59"/>
      <c r="X25" s="59"/>
      <c r="Y25" s="402"/>
      <c r="Z25" s="402"/>
    </row>
    <row r="26" spans="1:27" ht="27.6" customHeight="1">
      <c r="A26" s="423"/>
      <c r="B26" s="12" t="s">
        <v>484</v>
      </c>
      <c r="C26" s="12"/>
      <c r="D26" s="178"/>
      <c r="E26" s="178"/>
      <c r="F26" s="12"/>
      <c r="G26" s="12"/>
      <c r="H26" s="13"/>
      <c r="I26" s="13">
        <v>0</v>
      </c>
      <c r="J26" s="13">
        <v>0</v>
      </c>
      <c r="K26" s="13">
        <v>0</v>
      </c>
      <c r="L26" s="13">
        <v>0</v>
      </c>
      <c r="M26" s="59"/>
      <c r="N26" s="59"/>
      <c r="O26" s="59"/>
      <c r="P26" s="59"/>
      <c r="Q26" s="59"/>
      <c r="R26" s="111"/>
      <c r="S26" s="111"/>
      <c r="T26" s="111"/>
      <c r="U26" s="111"/>
      <c r="V26" s="111"/>
      <c r="W26" s="59"/>
      <c r="X26" s="59"/>
      <c r="Y26" s="405"/>
      <c r="Z26" s="402"/>
    </row>
    <row r="27" spans="1:27" ht="15" customHeight="1">
      <c r="A27" s="30" t="s">
        <v>41</v>
      </c>
      <c r="B27" s="12"/>
      <c r="C27" s="12"/>
      <c r="D27" s="178"/>
      <c r="E27" s="178"/>
      <c r="F27" s="12"/>
      <c r="G27" s="12"/>
      <c r="H27" s="13"/>
      <c r="I27" s="13"/>
      <c r="J27" s="13"/>
      <c r="K27" s="13"/>
      <c r="L27" s="13"/>
      <c r="M27" s="59"/>
      <c r="N27" s="59"/>
      <c r="O27" s="59"/>
      <c r="P27" s="59"/>
      <c r="Q27" s="59"/>
      <c r="R27" s="111"/>
      <c r="S27" s="119"/>
      <c r="T27" s="119"/>
      <c r="U27" s="119"/>
      <c r="V27" s="119"/>
      <c r="W27" s="85"/>
      <c r="X27" s="85"/>
      <c r="Y27" s="63"/>
      <c r="Z27" s="402"/>
    </row>
    <row r="28" spans="1:27" ht="17.45" customHeight="1">
      <c r="A28" s="14" t="s">
        <v>42</v>
      </c>
      <c r="B28" s="62" t="s">
        <v>415</v>
      </c>
      <c r="C28" s="62">
        <v>176</v>
      </c>
      <c r="D28" s="317" t="s">
        <v>554</v>
      </c>
      <c r="E28" s="317" t="s">
        <v>555</v>
      </c>
      <c r="F28" s="62" t="s">
        <v>312</v>
      </c>
      <c r="G28" s="62">
        <v>414</v>
      </c>
      <c r="H28" s="29" t="e">
        <f>SUM(I28:L28)</f>
        <v>#REF!</v>
      </c>
      <c r="I28" s="29" t="e">
        <f>#REF!</f>
        <v>#REF!</v>
      </c>
      <c r="J28" s="29" t="e">
        <f>#REF!</f>
        <v>#REF!</v>
      </c>
      <c r="K28" s="29" t="e">
        <f>#REF!</f>
        <v>#REF!</v>
      </c>
      <c r="L28" s="29" t="e">
        <f>#REF!</f>
        <v>#REF!</v>
      </c>
      <c r="M28" s="86"/>
      <c r="N28" s="86"/>
      <c r="O28" s="86"/>
      <c r="P28" s="86"/>
      <c r="Q28" s="86"/>
      <c r="R28" s="112">
        <f>'Подробный перечень'!$Q$23</f>
        <v>0</v>
      </c>
      <c r="S28" s="112"/>
      <c r="T28" s="112"/>
      <c r="U28" s="112"/>
      <c r="V28" s="112"/>
      <c r="W28" s="86">
        <f>W29+W30</f>
        <v>312790.03000000003</v>
      </c>
      <c r="X28" s="86">
        <f>'Подробный перечень'!$W$23</f>
        <v>0</v>
      </c>
      <c r="Y28" s="63"/>
      <c r="Z28" s="402"/>
      <c r="AA28" s="99"/>
    </row>
    <row r="29" spans="1:27" ht="17.45" customHeight="1">
      <c r="A29" s="14"/>
      <c r="B29" s="282" t="s">
        <v>414</v>
      </c>
      <c r="C29" s="282">
        <v>176</v>
      </c>
      <c r="D29" s="317" t="s">
        <v>554</v>
      </c>
      <c r="E29" s="317" t="s">
        <v>555</v>
      </c>
      <c r="F29" s="282" t="s">
        <v>598</v>
      </c>
      <c r="G29" s="282">
        <v>414</v>
      </c>
      <c r="H29" s="29"/>
      <c r="I29" s="29"/>
      <c r="J29" s="29"/>
      <c r="K29" s="29"/>
      <c r="L29" s="29"/>
      <c r="M29" s="86"/>
      <c r="N29" s="86"/>
      <c r="O29" s="86"/>
      <c r="P29" s="86"/>
      <c r="Q29" s="86"/>
      <c r="R29" s="112"/>
      <c r="S29" s="112"/>
      <c r="T29" s="112"/>
      <c r="U29" s="112"/>
      <c r="V29" s="112"/>
      <c r="W29" s="86">
        <f>'Подробный перечень'!$V$24</f>
        <v>200000</v>
      </c>
      <c r="X29" s="86"/>
      <c r="Y29" s="284"/>
      <c r="Z29" s="402"/>
      <c r="AA29" s="99"/>
    </row>
    <row r="30" spans="1:27">
      <c r="A30" s="14"/>
      <c r="B30" s="282" t="s">
        <v>663</v>
      </c>
      <c r="C30" s="282">
        <v>176</v>
      </c>
      <c r="D30" s="317" t="s">
        <v>554</v>
      </c>
      <c r="E30" s="317" t="s">
        <v>555</v>
      </c>
      <c r="F30" s="282" t="s">
        <v>598</v>
      </c>
      <c r="G30" s="282">
        <v>414</v>
      </c>
      <c r="H30" s="29"/>
      <c r="I30" s="29"/>
      <c r="J30" s="29"/>
      <c r="K30" s="29"/>
      <c r="L30" s="29"/>
      <c r="M30" s="86"/>
      <c r="N30" s="86"/>
      <c r="O30" s="86"/>
      <c r="P30" s="86"/>
      <c r="Q30" s="86"/>
      <c r="R30" s="112"/>
      <c r="S30" s="112"/>
      <c r="T30" s="112"/>
      <c r="U30" s="112"/>
      <c r="V30" s="112"/>
      <c r="W30" s="86">
        <f>'Подробный перечень'!$V$25</f>
        <v>112790.03</v>
      </c>
      <c r="X30" s="86"/>
      <c r="Y30" s="284"/>
      <c r="Z30" s="402"/>
      <c r="AA30" s="99"/>
    </row>
    <row r="31" spans="1:27" ht="17.45" customHeight="1">
      <c r="A31" s="14" t="s">
        <v>43</v>
      </c>
      <c r="B31" s="62" t="s">
        <v>414</v>
      </c>
      <c r="C31" s="62">
        <v>176</v>
      </c>
      <c r="D31" s="317" t="s">
        <v>554</v>
      </c>
      <c r="E31" s="317" t="s">
        <v>555</v>
      </c>
      <c r="F31" s="62">
        <v>6100004040</v>
      </c>
      <c r="G31" s="62">
        <v>414</v>
      </c>
      <c r="H31" s="29" t="e">
        <f>SUM(I31:L31)</f>
        <v>#REF!</v>
      </c>
      <c r="I31" s="29" t="e">
        <f>#REF!</f>
        <v>#REF!</v>
      </c>
      <c r="J31" s="29" t="e">
        <f>#REF!</f>
        <v>#REF!</v>
      </c>
      <c r="K31" s="29" t="e">
        <f>#REF!</f>
        <v>#REF!</v>
      </c>
      <c r="L31" s="29" t="e">
        <f>#REF!</f>
        <v>#REF!</v>
      </c>
      <c r="M31" s="86"/>
      <c r="N31" s="86"/>
      <c r="O31" s="86"/>
      <c r="P31" s="86"/>
      <c r="Q31" s="86"/>
      <c r="R31" s="112">
        <f>'Подробный перечень'!$Q$40</f>
        <v>146350.70000000001</v>
      </c>
      <c r="S31" s="112">
        <f>'Подробный перечень'!$R$40</f>
        <v>5955.2</v>
      </c>
      <c r="T31" s="112"/>
      <c r="U31" s="112">
        <f>'Подробный перечень'!$T$39</f>
        <v>129044.8</v>
      </c>
      <c r="V31" s="112">
        <f>'Подробный перечень'!$U$39</f>
        <v>11350.7</v>
      </c>
      <c r="W31" s="86">
        <f>'Подробный перечень'!$V$39</f>
        <v>180000</v>
      </c>
      <c r="X31" s="86">
        <f>'Подробный перечень'!$W$39</f>
        <v>0</v>
      </c>
      <c r="Y31" s="63"/>
      <c r="Z31" s="402"/>
    </row>
    <row r="32" spans="1:27" ht="17.45" customHeight="1">
      <c r="A32" s="14" t="s">
        <v>44</v>
      </c>
      <c r="B32" s="62" t="s">
        <v>414</v>
      </c>
      <c r="C32" s="62">
        <v>176</v>
      </c>
      <c r="D32" s="317" t="s">
        <v>554</v>
      </c>
      <c r="E32" s="317" t="s">
        <v>555</v>
      </c>
      <c r="F32" s="62">
        <v>6100004040</v>
      </c>
      <c r="G32" s="62">
        <v>414</v>
      </c>
      <c r="H32" s="29" t="e">
        <f t="shared" ref="H32:H70" si="3">SUM(I32:L32)</f>
        <v>#REF!</v>
      </c>
      <c r="I32" s="29" t="e">
        <f>#REF!</f>
        <v>#REF!</v>
      </c>
      <c r="J32" s="29" t="e">
        <f>#REF!</f>
        <v>#REF!</v>
      </c>
      <c r="K32" s="29" t="e">
        <f>#REF!</f>
        <v>#REF!</v>
      </c>
      <c r="L32" s="29" t="e">
        <f>#REF!</f>
        <v>#REF!</v>
      </c>
      <c r="M32" s="86"/>
      <c r="N32" s="86"/>
      <c r="O32" s="86"/>
      <c r="P32" s="86"/>
      <c r="Q32" s="86"/>
      <c r="R32" s="112"/>
      <c r="S32" s="112"/>
      <c r="T32" s="112"/>
      <c r="U32" s="112"/>
      <c r="V32" s="112"/>
      <c r="W32" s="86"/>
      <c r="X32" s="86"/>
      <c r="Y32" s="63"/>
      <c r="Z32" s="402"/>
    </row>
    <row r="33" spans="1:26" ht="17.45" customHeight="1">
      <c r="A33" s="412" t="s">
        <v>45</v>
      </c>
      <c r="B33" s="62" t="s">
        <v>415</v>
      </c>
      <c r="C33" s="62">
        <v>176</v>
      </c>
      <c r="D33" s="317" t="s">
        <v>554</v>
      </c>
      <c r="E33" s="317" t="s">
        <v>555</v>
      </c>
      <c r="F33" s="62" t="s">
        <v>312</v>
      </c>
      <c r="G33" s="62">
        <v>414</v>
      </c>
      <c r="H33" s="29" t="e">
        <f t="shared" si="3"/>
        <v>#REF!</v>
      </c>
      <c r="I33" s="29" t="e">
        <f>#REF!</f>
        <v>#REF!</v>
      </c>
      <c r="J33" s="29" t="e">
        <f>#REF!</f>
        <v>#REF!</v>
      </c>
      <c r="K33" s="29" t="e">
        <f>#REF!</f>
        <v>#REF!</v>
      </c>
      <c r="L33" s="29" t="e">
        <f>#REF!</f>
        <v>#REF!</v>
      </c>
      <c r="M33" s="86">
        <f>'Подробный перечень'!L53</f>
        <v>46500</v>
      </c>
      <c r="N33" s="86"/>
      <c r="O33" s="86"/>
      <c r="P33" s="86"/>
      <c r="Q33" s="86">
        <f>'Подробный перечень'!P53</f>
        <v>46500</v>
      </c>
      <c r="R33" s="112">
        <f>R34+R35+R36</f>
        <v>285739.40000000002</v>
      </c>
      <c r="S33" s="112"/>
      <c r="T33" s="112"/>
      <c r="U33" s="112">
        <f>U35+U36</f>
        <v>44239.1</v>
      </c>
      <c r="V33" s="112">
        <f>SUM(V34:V36)</f>
        <v>241500.3</v>
      </c>
      <c r="W33" s="86">
        <f>'Подробный перечень'!$V$53</f>
        <v>0</v>
      </c>
      <c r="X33" s="86">
        <f>X35+X36</f>
        <v>375541.07</v>
      </c>
      <c r="Y33" s="63"/>
      <c r="Z33" s="402"/>
    </row>
    <row r="34" spans="1:26" ht="17.45" customHeight="1">
      <c r="A34" s="413"/>
      <c r="B34" s="313" t="s">
        <v>414</v>
      </c>
      <c r="C34" s="313">
        <v>176</v>
      </c>
      <c r="D34" s="317" t="s">
        <v>554</v>
      </c>
      <c r="E34" s="317" t="s">
        <v>555</v>
      </c>
      <c r="F34" s="313">
        <v>6100004040</v>
      </c>
      <c r="G34" s="313">
        <v>414</v>
      </c>
      <c r="H34" s="29"/>
      <c r="I34" s="29"/>
      <c r="J34" s="29"/>
      <c r="K34" s="29"/>
      <c r="L34" s="29"/>
      <c r="M34" s="86"/>
      <c r="N34" s="86"/>
      <c r="O34" s="86"/>
      <c r="P34" s="86"/>
      <c r="Q34" s="86"/>
      <c r="R34" s="112">
        <f>'Подробный перечень'!$Q$62</f>
        <v>50000</v>
      </c>
      <c r="S34" s="112"/>
      <c r="T34" s="112"/>
      <c r="U34" s="112"/>
      <c r="V34" s="112">
        <f>'Подробный перечень'!$U$62</f>
        <v>50000</v>
      </c>
      <c r="W34" s="86"/>
      <c r="X34" s="86"/>
      <c r="Y34" s="314"/>
      <c r="Z34" s="402"/>
    </row>
    <row r="35" spans="1:26" ht="17.45" customHeight="1">
      <c r="A35" s="413"/>
      <c r="B35" s="282" t="s">
        <v>414</v>
      </c>
      <c r="C35" s="282">
        <v>176</v>
      </c>
      <c r="D35" s="317" t="s">
        <v>554</v>
      </c>
      <c r="E35" s="317" t="s">
        <v>555</v>
      </c>
      <c r="F35" s="282" t="s">
        <v>598</v>
      </c>
      <c r="G35" s="282">
        <v>414</v>
      </c>
      <c r="H35" s="29"/>
      <c r="I35" s="29"/>
      <c r="J35" s="29"/>
      <c r="K35" s="29"/>
      <c r="L35" s="29"/>
      <c r="M35" s="86"/>
      <c r="N35" s="86"/>
      <c r="O35" s="86"/>
      <c r="P35" s="86"/>
      <c r="Q35" s="86"/>
      <c r="R35" s="112">
        <f>'Подробный перечень'!$Q$77+'Подробный перечень'!$Q$81</f>
        <v>107469.5</v>
      </c>
      <c r="S35" s="112"/>
      <c r="T35" s="112"/>
      <c r="U35" s="112">
        <f>'Подробный перечень'!$T$54</f>
        <v>22433.199999999997</v>
      </c>
      <c r="V35" s="112">
        <f>'Подробный перечень'!$U$77+'Подробный перечень'!$U$81</f>
        <v>85036.299999999988</v>
      </c>
      <c r="W35" s="86"/>
      <c r="X35" s="86">
        <f>'Подробный перечень'!$W$54</f>
        <v>258000</v>
      </c>
      <c r="Y35" s="284"/>
      <c r="Z35" s="402"/>
    </row>
    <row r="36" spans="1:26">
      <c r="A36" s="414"/>
      <c r="B36" s="282" t="s">
        <v>483</v>
      </c>
      <c r="C36" s="282">
        <v>176</v>
      </c>
      <c r="D36" s="317" t="s">
        <v>554</v>
      </c>
      <c r="E36" s="317" t="s">
        <v>555</v>
      </c>
      <c r="F36" s="282" t="s">
        <v>598</v>
      </c>
      <c r="G36" s="282">
        <v>414</v>
      </c>
      <c r="H36" s="29"/>
      <c r="I36" s="29"/>
      <c r="J36" s="29"/>
      <c r="K36" s="29"/>
      <c r="L36" s="29"/>
      <c r="M36" s="86"/>
      <c r="N36" s="86"/>
      <c r="O36" s="86"/>
      <c r="P36" s="86"/>
      <c r="Q36" s="86"/>
      <c r="R36" s="112">
        <f>'Подробный перечень'!$Q$55</f>
        <v>128269.9</v>
      </c>
      <c r="S36" s="112"/>
      <c r="T36" s="112"/>
      <c r="U36" s="112">
        <f>'Подробный перечень'!$T$55</f>
        <v>21805.9</v>
      </c>
      <c r="V36" s="112">
        <f>'Подробный перечень'!$U$55</f>
        <v>106464</v>
      </c>
      <c r="W36" s="86"/>
      <c r="X36" s="86">
        <f>'Подробный перечень'!$W$55</f>
        <v>117541.07</v>
      </c>
      <c r="Y36" s="284"/>
      <c r="Z36" s="402"/>
    </row>
    <row r="37" spans="1:26" ht="17.45" hidden="1" customHeight="1">
      <c r="A37" s="412" t="s">
        <v>46</v>
      </c>
      <c r="B37" s="62" t="s">
        <v>415</v>
      </c>
      <c r="C37" s="62">
        <v>176</v>
      </c>
      <c r="D37" s="317" t="s">
        <v>554</v>
      </c>
      <c r="E37" s="317" t="s">
        <v>15</v>
      </c>
      <c r="F37" s="62" t="s">
        <v>312</v>
      </c>
      <c r="G37" s="62">
        <v>414</v>
      </c>
      <c r="H37" s="29" t="e">
        <f t="shared" si="3"/>
        <v>#REF!</v>
      </c>
      <c r="I37" s="29" t="e">
        <f>#REF!</f>
        <v>#REF!</v>
      </c>
      <c r="J37" s="29" t="e">
        <f>#REF!</f>
        <v>#REF!</v>
      </c>
      <c r="K37" s="29" t="e">
        <f>#REF!</f>
        <v>#REF!</v>
      </c>
      <c r="L37" s="29" t="e">
        <f>#REF!</f>
        <v>#REF!</v>
      </c>
      <c r="M37" s="86"/>
      <c r="N37" s="86"/>
      <c r="O37" s="86"/>
      <c r="P37" s="86"/>
      <c r="Q37" s="86"/>
      <c r="R37" s="112"/>
      <c r="S37" s="112"/>
      <c r="T37" s="112"/>
      <c r="U37" s="112">
        <f>'Подробный перечень'!$T$88</f>
        <v>0</v>
      </c>
      <c r="V37" s="112"/>
      <c r="W37" s="86"/>
      <c r="X37" s="86"/>
      <c r="Y37" s="63"/>
      <c r="Z37" s="402"/>
    </row>
    <row r="38" spans="1:26" ht="17.45" hidden="1" customHeight="1">
      <c r="A38" s="413"/>
      <c r="B38" s="261" t="s">
        <v>414</v>
      </c>
      <c r="C38" s="261">
        <v>176</v>
      </c>
      <c r="D38" s="317" t="s">
        <v>554</v>
      </c>
      <c r="E38" s="317" t="s">
        <v>15</v>
      </c>
      <c r="F38" s="261" t="s">
        <v>489</v>
      </c>
      <c r="G38" s="261">
        <v>414</v>
      </c>
      <c r="H38" s="29"/>
      <c r="I38" s="29"/>
      <c r="J38" s="29"/>
      <c r="K38" s="29"/>
      <c r="L38" s="29"/>
      <c r="M38" s="86"/>
      <c r="N38" s="86"/>
      <c r="O38" s="86"/>
      <c r="P38" s="86"/>
      <c r="Q38" s="86"/>
      <c r="R38" s="112">
        <f>'Подробный перечень'!Q97</f>
        <v>0</v>
      </c>
      <c r="S38" s="244"/>
      <c r="T38" s="244"/>
      <c r="U38" s="244">
        <f>R38</f>
        <v>0</v>
      </c>
      <c r="V38" s="244"/>
      <c r="W38" s="87"/>
      <c r="X38" s="86"/>
      <c r="Y38" s="262"/>
      <c r="Z38" s="402"/>
    </row>
    <row r="39" spans="1:26" ht="16.899999999999999" hidden="1" customHeight="1">
      <c r="A39" s="414"/>
      <c r="B39" s="261" t="s">
        <v>483</v>
      </c>
      <c r="C39" s="261">
        <v>176</v>
      </c>
      <c r="D39" s="317" t="s">
        <v>554</v>
      </c>
      <c r="E39" s="317" t="s">
        <v>15</v>
      </c>
      <c r="F39" s="261" t="s">
        <v>489</v>
      </c>
      <c r="G39" s="261">
        <v>414</v>
      </c>
      <c r="H39" s="29"/>
      <c r="I39" s="29"/>
      <c r="J39" s="29"/>
      <c r="K39" s="29"/>
      <c r="L39" s="29"/>
      <c r="M39" s="86"/>
      <c r="N39" s="86"/>
      <c r="O39" s="86"/>
      <c r="P39" s="86"/>
      <c r="Q39" s="86"/>
      <c r="R39" s="112">
        <f>'Подробный перечень'!Q98</f>
        <v>0</v>
      </c>
      <c r="S39" s="244"/>
      <c r="T39" s="244"/>
      <c r="U39" s="244">
        <f>R39</f>
        <v>0</v>
      </c>
      <c r="V39" s="244"/>
      <c r="W39" s="87"/>
      <c r="X39" s="86"/>
      <c r="Y39" s="262"/>
      <c r="Z39" s="402"/>
    </row>
    <row r="40" spans="1:26" ht="17.45" hidden="1" customHeight="1">
      <c r="A40" s="14" t="s">
        <v>47</v>
      </c>
      <c r="B40" s="62" t="s">
        <v>414</v>
      </c>
      <c r="C40" s="62">
        <v>176</v>
      </c>
      <c r="D40" s="317" t="s">
        <v>554</v>
      </c>
      <c r="E40" s="317" t="s">
        <v>15</v>
      </c>
      <c r="F40" s="62">
        <v>6100004040</v>
      </c>
      <c r="G40" s="62">
        <v>414</v>
      </c>
      <c r="H40" s="29">
        <f t="shared" si="3"/>
        <v>0</v>
      </c>
      <c r="I40" s="29"/>
      <c r="J40" s="29"/>
      <c r="K40" s="29"/>
      <c r="L40" s="29"/>
      <c r="M40" s="86"/>
      <c r="N40" s="86"/>
      <c r="O40" s="86"/>
      <c r="P40" s="86"/>
      <c r="Q40" s="86"/>
      <c r="R40" s="112"/>
      <c r="S40" s="244"/>
      <c r="T40" s="244"/>
      <c r="U40" s="244"/>
      <c r="V40" s="244"/>
      <c r="W40" s="87"/>
      <c r="X40" s="86"/>
      <c r="Y40" s="63"/>
      <c r="Z40" s="402"/>
    </row>
    <row r="41" spans="1:26" ht="17.45" customHeight="1">
      <c r="A41" s="14" t="s">
        <v>48</v>
      </c>
      <c r="B41" s="62" t="s">
        <v>414</v>
      </c>
      <c r="C41" s="62">
        <v>176</v>
      </c>
      <c r="D41" s="317" t="s">
        <v>554</v>
      </c>
      <c r="E41" s="317" t="s">
        <v>555</v>
      </c>
      <c r="F41" s="62">
        <v>6100004040</v>
      </c>
      <c r="G41" s="62">
        <v>414</v>
      </c>
      <c r="H41" s="29" t="e">
        <f t="shared" si="3"/>
        <v>#REF!</v>
      </c>
      <c r="I41" s="29" t="e">
        <f>#REF!</f>
        <v>#REF!</v>
      </c>
      <c r="J41" s="29" t="e">
        <f>#REF!</f>
        <v>#REF!</v>
      </c>
      <c r="K41" s="29" t="e">
        <f>#REF!</f>
        <v>#REF!</v>
      </c>
      <c r="L41" s="29" t="e">
        <f>#REF!</f>
        <v>#REF!</v>
      </c>
      <c r="M41" s="86">
        <f>'Подробный перечень'!L104</f>
        <v>43938.8</v>
      </c>
      <c r="N41" s="86"/>
      <c r="O41" s="86"/>
      <c r="P41" s="86"/>
      <c r="Q41" s="86">
        <f>'Подробный перечень'!P104</f>
        <v>43938.8</v>
      </c>
      <c r="R41" s="112">
        <f>'Подробный перечень'!Q121</f>
        <v>6402.1</v>
      </c>
      <c r="S41" s="112"/>
      <c r="T41" s="112">
        <f>'Подробный перечень'!$S$105</f>
        <v>6402.1</v>
      </c>
      <c r="U41" s="112">
        <f>'Подробный перечень'!$T$104</f>
        <v>0</v>
      </c>
      <c r="V41" s="112">
        <f>'Подробный перечень'!$U$105</f>
        <v>0</v>
      </c>
      <c r="W41" s="86">
        <f>'Подробный перечень'!$V$104</f>
        <v>22375</v>
      </c>
      <c r="X41" s="86"/>
      <c r="Y41" s="63"/>
      <c r="Z41" s="402"/>
    </row>
    <row r="42" spans="1:26" ht="17.45" hidden="1" customHeight="1">
      <c r="A42" s="14" t="s">
        <v>49</v>
      </c>
      <c r="B42" s="62" t="s">
        <v>414</v>
      </c>
      <c r="C42" s="62">
        <v>176</v>
      </c>
      <c r="D42" s="317" t="s">
        <v>554</v>
      </c>
      <c r="E42" s="317" t="s">
        <v>15</v>
      </c>
      <c r="F42" s="62">
        <v>6100004040</v>
      </c>
      <c r="G42" s="62">
        <v>414</v>
      </c>
      <c r="H42" s="29" t="e">
        <f t="shared" si="3"/>
        <v>#REF!</v>
      </c>
      <c r="I42" s="29" t="e">
        <f>#REF!</f>
        <v>#REF!</v>
      </c>
      <c r="J42" s="29" t="e">
        <f>#REF!</f>
        <v>#REF!</v>
      </c>
      <c r="K42" s="29" t="e">
        <f>#REF!</f>
        <v>#REF!</v>
      </c>
      <c r="L42" s="29" t="e">
        <f>#REF!</f>
        <v>#REF!</v>
      </c>
      <c r="M42" s="86">
        <f>'Подробный перечень'!L132</f>
        <v>21615.200000000001</v>
      </c>
      <c r="N42" s="86"/>
      <c r="O42" s="86"/>
      <c r="P42" s="86">
        <f>'Подробный перечень'!O132</f>
        <v>21615.200000000001</v>
      </c>
      <c r="Q42" s="86"/>
      <c r="R42" s="112"/>
      <c r="S42" s="112"/>
      <c r="T42" s="112"/>
      <c r="U42" s="112"/>
      <c r="V42" s="112"/>
      <c r="W42" s="86"/>
      <c r="X42" s="86"/>
      <c r="Y42" s="63"/>
      <c r="Z42" s="402"/>
    </row>
    <row r="43" spans="1:26" ht="17.45" customHeight="1">
      <c r="A43" s="14" t="s">
        <v>50</v>
      </c>
      <c r="B43" s="62" t="s">
        <v>414</v>
      </c>
      <c r="C43" s="62">
        <v>176</v>
      </c>
      <c r="D43" s="317" t="s">
        <v>554</v>
      </c>
      <c r="E43" s="317" t="s">
        <v>555</v>
      </c>
      <c r="F43" s="62">
        <v>6100004040</v>
      </c>
      <c r="G43" s="62">
        <v>414</v>
      </c>
      <c r="H43" s="29">
        <f t="shared" si="3"/>
        <v>0</v>
      </c>
      <c r="I43" s="29"/>
      <c r="J43" s="29"/>
      <c r="K43" s="29"/>
      <c r="L43" s="29"/>
      <c r="M43" s="86"/>
      <c r="N43" s="86"/>
      <c r="O43" s="86"/>
      <c r="P43" s="86"/>
      <c r="Q43" s="86"/>
      <c r="R43" s="112"/>
      <c r="S43" s="244"/>
      <c r="T43" s="244"/>
      <c r="U43" s="244"/>
      <c r="V43" s="244"/>
      <c r="W43" s="87">
        <f>'Подробный перечень'!$V$140</f>
        <v>0</v>
      </c>
      <c r="X43" s="86">
        <f>'Подробный перечень'!$W$141</f>
        <v>125000</v>
      </c>
      <c r="Y43" s="63"/>
      <c r="Z43" s="402"/>
    </row>
    <row r="44" spans="1:26" ht="17.45" customHeight="1">
      <c r="A44" s="14" t="s">
        <v>51</v>
      </c>
      <c r="B44" s="62" t="s">
        <v>414</v>
      </c>
      <c r="C44" s="62">
        <v>176</v>
      </c>
      <c r="D44" s="317" t="s">
        <v>15</v>
      </c>
      <c r="E44" s="317" t="s">
        <v>15</v>
      </c>
      <c r="F44" s="62">
        <v>6100004040</v>
      </c>
      <c r="G44" s="62">
        <v>414</v>
      </c>
      <c r="H44" s="29" t="e">
        <f t="shared" si="3"/>
        <v>#REF!</v>
      </c>
      <c r="I44" s="29" t="e">
        <f>#REF!</f>
        <v>#REF!</v>
      </c>
      <c r="J44" s="29" t="e">
        <f>#REF!</f>
        <v>#REF!</v>
      </c>
      <c r="K44" s="29" t="e">
        <f>#REF!</f>
        <v>#REF!</v>
      </c>
      <c r="L44" s="29" t="e">
        <f>#REF!</f>
        <v>#REF!</v>
      </c>
      <c r="M44" s="86"/>
      <c r="N44" s="86"/>
      <c r="O44" s="86"/>
      <c r="P44" s="86"/>
      <c r="Q44" s="86"/>
      <c r="R44" s="112">
        <f>'Подробный перечень'!$Q$148</f>
        <v>0</v>
      </c>
      <c r="S44" s="112"/>
      <c r="T44" s="112"/>
      <c r="U44" s="112"/>
      <c r="V44" s="112">
        <f>'Подробный перечень'!$U$148</f>
        <v>0</v>
      </c>
      <c r="W44" s="86">
        <f>'Подробный перечень'!$V$149</f>
        <v>10000</v>
      </c>
      <c r="X44" s="86"/>
      <c r="Y44" s="29"/>
      <c r="Z44" s="402"/>
    </row>
    <row r="45" spans="1:26" ht="17.45" customHeight="1">
      <c r="A45" s="14" t="s">
        <v>52</v>
      </c>
      <c r="B45" s="62" t="s">
        <v>414</v>
      </c>
      <c r="C45" s="62">
        <v>176</v>
      </c>
      <c r="D45" s="317" t="s">
        <v>554</v>
      </c>
      <c r="E45" s="317" t="s">
        <v>555</v>
      </c>
      <c r="F45" s="62">
        <v>6100004040</v>
      </c>
      <c r="G45" s="62">
        <v>414</v>
      </c>
      <c r="H45" s="29" t="e">
        <f t="shared" si="3"/>
        <v>#REF!</v>
      </c>
      <c r="I45" s="29" t="e">
        <f>#REF!</f>
        <v>#REF!</v>
      </c>
      <c r="J45" s="29" t="e">
        <f>#REF!</f>
        <v>#REF!</v>
      </c>
      <c r="K45" s="29" t="e">
        <f>#REF!</f>
        <v>#REF!</v>
      </c>
      <c r="L45" s="29" t="e">
        <f>#REF!</f>
        <v>#REF!</v>
      </c>
      <c r="M45" s="86">
        <f>'Подробный перечень'!L159</f>
        <v>199495</v>
      </c>
      <c r="N45" s="86">
        <f>'Подробный перечень'!M159</f>
        <v>50000</v>
      </c>
      <c r="O45" s="86">
        <f>'Подробный перечень'!N159</f>
        <v>10600</v>
      </c>
      <c r="P45" s="86">
        <f>'Подробный перечень'!O159</f>
        <v>12000</v>
      </c>
      <c r="Q45" s="86">
        <f>'Подробный перечень'!P159</f>
        <v>126894.99999999999</v>
      </c>
      <c r="R45" s="112">
        <f>'Подробный перечень'!$Q$159</f>
        <v>18599.999999999985</v>
      </c>
      <c r="S45" s="112"/>
      <c r="T45" s="112">
        <f>'Подробный перечень'!$S$159</f>
        <v>0</v>
      </c>
      <c r="U45" s="112">
        <f>'Подробный перечень'!$T$159</f>
        <v>18599.999999999985</v>
      </c>
      <c r="V45" s="112">
        <f>'Подробный перечень'!$U$159</f>
        <v>0</v>
      </c>
      <c r="W45" s="86">
        <f>'Подробный перечень'!V159</f>
        <v>134439</v>
      </c>
      <c r="X45" s="86"/>
      <c r="Y45" s="63"/>
      <c r="Z45" s="402"/>
    </row>
    <row r="46" spans="1:26" ht="17.45" customHeight="1">
      <c r="A46" s="14" t="s">
        <v>53</v>
      </c>
      <c r="B46" s="62" t="s">
        <v>414</v>
      </c>
      <c r="C46" s="62">
        <v>176</v>
      </c>
      <c r="D46" s="317" t="s">
        <v>15</v>
      </c>
      <c r="E46" s="317" t="s">
        <v>15</v>
      </c>
      <c r="F46" s="62">
        <v>6100004040</v>
      </c>
      <c r="G46" s="62">
        <v>414</v>
      </c>
      <c r="H46" s="29">
        <f t="shared" si="3"/>
        <v>0</v>
      </c>
      <c r="I46" s="29"/>
      <c r="J46" s="29"/>
      <c r="K46" s="29"/>
      <c r="L46" s="29"/>
      <c r="M46" s="86"/>
      <c r="N46" s="86"/>
      <c r="O46" s="86"/>
      <c r="P46" s="86"/>
      <c r="Q46" s="86"/>
      <c r="R46" s="112"/>
      <c r="S46" s="244"/>
      <c r="T46" s="244"/>
      <c r="U46" s="244"/>
      <c r="V46" s="244"/>
      <c r="W46" s="87"/>
      <c r="X46" s="86"/>
      <c r="Y46" s="63"/>
      <c r="Z46" s="402"/>
    </row>
    <row r="47" spans="1:26" ht="17.45" customHeight="1">
      <c r="A47" s="14" t="s">
        <v>54</v>
      </c>
      <c r="B47" s="62" t="s">
        <v>414</v>
      </c>
      <c r="C47" s="62">
        <v>176</v>
      </c>
      <c r="D47" s="317" t="s">
        <v>15</v>
      </c>
      <c r="E47" s="317" t="s">
        <v>15</v>
      </c>
      <c r="F47" s="62">
        <v>6100004040</v>
      </c>
      <c r="G47" s="62">
        <v>414</v>
      </c>
      <c r="H47" s="29" t="e">
        <f t="shared" si="3"/>
        <v>#REF!</v>
      </c>
      <c r="I47" s="29" t="e">
        <f>#REF!</f>
        <v>#REF!</v>
      </c>
      <c r="J47" s="29" t="e">
        <f>#REF!</f>
        <v>#REF!</v>
      </c>
      <c r="K47" s="29" t="e">
        <f>#REF!</f>
        <v>#REF!</v>
      </c>
      <c r="L47" s="29" t="e">
        <f>#REF!</f>
        <v>#REF!</v>
      </c>
      <c r="M47" s="86"/>
      <c r="N47" s="86"/>
      <c r="O47" s="86"/>
      <c r="P47" s="86"/>
      <c r="Q47" s="86"/>
      <c r="R47" s="112">
        <f>'Подробный перечень'!$Q$171</f>
        <v>0</v>
      </c>
      <c r="S47" s="112"/>
      <c r="T47" s="112"/>
      <c r="U47" s="112"/>
      <c r="V47" s="112"/>
      <c r="W47" s="86">
        <f>'Подробный перечень'!$V$171</f>
        <v>0</v>
      </c>
      <c r="X47" s="86">
        <f>'Подробный перечень'!$W$171</f>
        <v>0</v>
      </c>
      <c r="Y47" s="63"/>
      <c r="Z47" s="402"/>
    </row>
    <row r="48" spans="1:26" ht="17.45" customHeight="1">
      <c r="A48" s="14" t="s">
        <v>55</v>
      </c>
      <c r="B48" s="62" t="s">
        <v>414</v>
      </c>
      <c r="C48" s="62">
        <v>176</v>
      </c>
      <c r="D48" s="317" t="s">
        <v>15</v>
      </c>
      <c r="E48" s="317" t="s">
        <v>15</v>
      </c>
      <c r="F48" s="62">
        <v>6100004040</v>
      </c>
      <c r="G48" s="62">
        <v>414</v>
      </c>
      <c r="H48" s="29" t="e">
        <f t="shared" si="3"/>
        <v>#REF!</v>
      </c>
      <c r="I48" s="29" t="e">
        <f>#REF!</f>
        <v>#REF!</v>
      </c>
      <c r="J48" s="29" t="e">
        <f>#REF!</f>
        <v>#REF!</v>
      </c>
      <c r="K48" s="29" t="e">
        <f>#REF!</f>
        <v>#REF!</v>
      </c>
      <c r="L48" s="29" t="e">
        <f>#REF!</f>
        <v>#REF!</v>
      </c>
      <c r="M48" s="86"/>
      <c r="N48" s="86"/>
      <c r="O48" s="86"/>
      <c r="P48" s="86"/>
      <c r="Q48" s="86"/>
      <c r="R48" s="112">
        <f>'Подробный перечень'!$Q$191</f>
        <v>0</v>
      </c>
      <c r="S48" s="112"/>
      <c r="T48" s="112">
        <f>'Подробный перечень'!$S$191</f>
        <v>0</v>
      </c>
      <c r="U48" s="112">
        <f>'Подробный перечень'!$T$191</f>
        <v>0</v>
      </c>
      <c r="V48" s="112">
        <f>'Подробный перечень'!$U$191</f>
        <v>0</v>
      </c>
      <c r="W48" s="86"/>
      <c r="X48" s="86">
        <f>'Подробный перечень'!$W$191</f>
        <v>0</v>
      </c>
      <c r="Y48" s="63"/>
      <c r="Z48" s="402"/>
    </row>
    <row r="49" spans="1:26" ht="17.45" customHeight="1">
      <c r="A49" s="14" t="s">
        <v>56</v>
      </c>
      <c r="B49" s="62" t="s">
        <v>414</v>
      </c>
      <c r="C49" s="62">
        <v>176</v>
      </c>
      <c r="D49" s="317" t="s">
        <v>15</v>
      </c>
      <c r="E49" s="317" t="s">
        <v>15</v>
      </c>
      <c r="F49" s="62">
        <v>6100004040</v>
      </c>
      <c r="G49" s="62">
        <v>414</v>
      </c>
      <c r="H49" s="29" t="e">
        <f t="shared" si="3"/>
        <v>#REF!</v>
      </c>
      <c r="I49" s="29" t="e">
        <f>#REF!</f>
        <v>#REF!</v>
      </c>
      <c r="J49" s="29" t="e">
        <f>#REF!</f>
        <v>#REF!</v>
      </c>
      <c r="K49" s="29" t="e">
        <f>#REF!</f>
        <v>#REF!</v>
      </c>
      <c r="L49" s="29" t="e">
        <f>#REF!</f>
        <v>#REF!</v>
      </c>
      <c r="M49" s="86">
        <f>'Подробный перечень'!L202</f>
        <v>332506.5</v>
      </c>
      <c r="N49" s="86">
        <f>'Подробный перечень'!M202</f>
        <v>25950</v>
      </c>
      <c r="O49" s="86">
        <f>'Подробный перечень'!N202</f>
        <v>49450.1</v>
      </c>
      <c r="P49" s="86">
        <f>'Подробный перечень'!O202</f>
        <v>63774.399999999994</v>
      </c>
      <c r="Q49" s="86">
        <f>'Подробный перечень'!P202</f>
        <v>193332</v>
      </c>
      <c r="R49" s="112">
        <f>'Подробный перечень'!$Q$202</f>
        <v>0</v>
      </c>
      <c r="S49" s="112"/>
      <c r="T49" s="112">
        <f>'Подробный перечень'!$S$202</f>
        <v>0</v>
      </c>
      <c r="U49" s="112"/>
      <c r="V49" s="112"/>
      <c r="W49" s="86">
        <f>'Подробный перечень'!$V$204</f>
        <v>0</v>
      </c>
      <c r="X49" s="86"/>
      <c r="Y49" s="63"/>
      <c r="Z49" s="402"/>
    </row>
    <row r="50" spans="1:26" ht="17.45" customHeight="1">
      <c r="A50" s="14" t="s">
        <v>57</v>
      </c>
      <c r="B50" s="62" t="s">
        <v>414</v>
      </c>
      <c r="C50" s="62">
        <v>176</v>
      </c>
      <c r="D50" s="317" t="s">
        <v>15</v>
      </c>
      <c r="E50" s="317" t="s">
        <v>15</v>
      </c>
      <c r="F50" s="62">
        <v>6100004040</v>
      </c>
      <c r="G50" s="62">
        <v>414</v>
      </c>
      <c r="H50" s="29" t="e">
        <f t="shared" si="3"/>
        <v>#REF!</v>
      </c>
      <c r="I50" s="29" t="e">
        <f>#REF!</f>
        <v>#REF!</v>
      </c>
      <c r="J50" s="29" t="e">
        <f>#REF!</f>
        <v>#REF!</v>
      </c>
      <c r="K50" s="29" t="e">
        <f>#REF!</f>
        <v>#REF!</v>
      </c>
      <c r="L50" s="29" t="e">
        <f>#REF!</f>
        <v>#REF!</v>
      </c>
      <c r="M50" s="86"/>
      <c r="N50" s="86"/>
      <c r="O50" s="86"/>
      <c r="P50" s="86"/>
      <c r="Q50" s="86"/>
      <c r="R50" s="112">
        <f>'Подробный перечень'!Q224</f>
        <v>0</v>
      </c>
      <c r="S50" s="112"/>
      <c r="T50" s="112"/>
      <c r="U50" s="112"/>
      <c r="V50" s="112"/>
      <c r="W50" s="86">
        <f>'Подробный перечень'!V224</f>
        <v>0</v>
      </c>
      <c r="X50" s="86"/>
      <c r="Y50" s="63"/>
      <c r="Z50" s="402"/>
    </row>
    <row r="51" spans="1:26" ht="17.45" customHeight="1">
      <c r="A51" s="14" t="s">
        <v>58</v>
      </c>
      <c r="B51" s="62" t="s">
        <v>414</v>
      </c>
      <c r="C51" s="62">
        <v>176</v>
      </c>
      <c r="D51" s="317" t="s">
        <v>15</v>
      </c>
      <c r="E51" s="317" t="s">
        <v>15</v>
      </c>
      <c r="F51" s="62">
        <v>6100004040</v>
      </c>
      <c r="G51" s="62">
        <v>414</v>
      </c>
      <c r="H51" s="29" t="e">
        <f t="shared" si="3"/>
        <v>#REF!</v>
      </c>
      <c r="I51" s="29" t="e">
        <f>#REF!</f>
        <v>#REF!</v>
      </c>
      <c r="J51" s="29" t="e">
        <f>#REF!</f>
        <v>#REF!</v>
      </c>
      <c r="K51" s="29" t="e">
        <f>#REF!</f>
        <v>#REF!</v>
      </c>
      <c r="L51" s="29" t="e">
        <f>#REF!</f>
        <v>#REF!</v>
      </c>
      <c r="M51" s="86"/>
      <c r="N51" s="86"/>
      <c r="O51" s="86"/>
      <c r="P51" s="86"/>
      <c r="Q51" s="86"/>
      <c r="R51" s="112">
        <f>'Подробный перечень'!$Q$235</f>
        <v>0</v>
      </c>
      <c r="S51" s="112"/>
      <c r="T51" s="112"/>
      <c r="U51" s="112"/>
      <c r="V51" s="112"/>
      <c r="W51" s="86">
        <f>'Подробный перечень'!V235</f>
        <v>0</v>
      </c>
      <c r="X51" s="86"/>
      <c r="Y51" s="63"/>
      <c r="Z51" s="402"/>
    </row>
    <row r="52" spans="1:26" ht="17.45" customHeight="1">
      <c r="A52" s="14" t="s">
        <v>59</v>
      </c>
      <c r="B52" s="62" t="s">
        <v>414</v>
      </c>
      <c r="C52" s="62">
        <v>176</v>
      </c>
      <c r="D52" s="317" t="s">
        <v>554</v>
      </c>
      <c r="E52" s="317" t="s">
        <v>555</v>
      </c>
      <c r="F52" s="62">
        <v>6100004040</v>
      </c>
      <c r="G52" s="62">
        <v>414</v>
      </c>
      <c r="H52" s="29" t="e">
        <f t="shared" si="3"/>
        <v>#REF!</v>
      </c>
      <c r="I52" s="10" t="e">
        <f>#REF!</f>
        <v>#REF!</v>
      </c>
      <c r="J52" s="10" t="e">
        <f>#REF!</f>
        <v>#REF!</v>
      </c>
      <c r="K52" s="10" t="e">
        <f>#REF!</f>
        <v>#REF!</v>
      </c>
      <c r="L52" s="10" t="e">
        <f>#REF!</f>
        <v>#REF!</v>
      </c>
      <c r="M52" s="88"/>
      <c r="N52" s="88"/>
      <c r="O52" s="88"/>
      <c r="P52" s="88"/>
      <c r="Q52" s="88"/>
      <c r="R52" s="107">
        <f>'Подробный перечень'!Q247</f>
        <v>0</v>
      </c>
      <c r="S52" s="107"/>
      <c r="T52" s="107"/>
      <c r="U52" s="107"/>
      <c r="V52" s="107"/>
      <c r="W52" s="88">
        <f>'Подробный перечень'!$V$247</f>
        <v>0</v>
      </c>
      <c r="X52" s="86">
        <f>'Подробный перечень'!$W$248</f>
        <v>100000</v>
      </c>
      <c r="Y52" s="62"/>
      <c r="Z52" s="402"/>
    </row>
    <row r="53" spans="1:26" ht="17.45" customHeight="1">
      <c r="A53" s="412" t="s">
        <v>60</v>
      </c>
      <c r="B53" s="62" t="s">
        <v>415</v>
      </c>
      <c r="C53" s="62">
        <v>176</v>
      </c>
      <c r="D53" s="317" t="s">
        <v>554</v>
      </c>
      <c r="E53" s="317" t="s">
        <v>555</v>
      </c>
      <c r="F53" s="62" t="s">
        <v>312</v>
      </c>
      <c r="G53" s="62">
        <v>414</v>
      </c>
      <c r="H53" s="29" t="e">
        <f t="shared" si="3"/>
        <v>#REF!</v>
      </c>
      <c r="I53" s="10" t="e">
        <f>#REF!</f>
        <v>#REF!</v>
      </c>
      <c r="J53" s="10" t="e">
        <f>#REF!</f>
        <v>#REF!</v>
      </c>
      <c r="K53" s="10" t="e">
        <f>#REF!</f>
        <v>#REF!</v>
      </c>
      <c r="L53" s="10" t="e">
        <f>#REF!</f>
        <v>#REF!</v>
      </c>
      <c r="M53" s="88">
        <f>'Подробный перечень'!L255</f>
        <v>370473.1</v>
      </c>
      <c r="N53" s="88">
        <f>'Подробный перечень'!M255</f>
        <v>11325</v>
      </c>
      <c r="O53" s="88">
        <f>'Подробный перечень'!N255</f>
        <v>60071.199999999997</v>
      </c>
      <c r="P53" s="88">
        <f>'Подробный перечень'!O255</f>
        <v>78817.2</v>
      </c>
      <c r="Q53" s="88">
        <f>'Подробный перечень'!P255</f>
        <v>220259.7</v>
      </c>
      <c r="R53" s="88">
        <f>'Подробный перечень'!$Q$255</f>
        <v>1304798.8999999999</v>
      </c>
      <c r="S53" s="107">
        <f>'Подробный перечень'!$R$255</f>
        <v>0</v>
      </c>
      <c r="T53" s="107">
        <f>'Подробный перечень'!$S$255</f>
        <v>119200</v>
      </c>
      <c r="U53" s="107">
        <f>'Подробный перечень'!$T$255</f>
        <v>466321.9</v>
      </c>
      <c r="V53" s="107">
        <f>'Подробный перечень'!$U$255</f>
        <v>719277</v>
      </c>
      <c r="W53" s="88">
        <f>'Подробный перечень'!$V$255</f>
        <v>1331335.8</v>
      </c>
      <c r="X53" s="86">
        <f>'Подробный перечень'!$W$255</f>
        <v>731050</v>
      </c>
      <c r="Y53" s="62"/>
      <c r="Z53" s="402"/>
    </row>
    <row r="54" spans="1:26" ht="17.45" customHeight="1">
      <c r="A54" s="413"/>
      <c r="B54" s="261" t="s">
        <v>414</v>
      </c>
      <c r="C54" s="261">
        <v>176</v>
      </c>
      <c r="D54" s="317" t="s">
        <v>554</v>
      </c>
      <c r="E54" s="317" t="s">
        <v>555</v>
      </c>
      <c r="F54" s="261">
        <v>6100004040</v>
      </c>
      <c r="G54" s="261">
        <v>414</v>
      </c>
      <c r="H54" s="29"/>
      <c r="I54" s="10"/>
      <c r="J54" s="10"/>
      <c r="K54" s="10"/>
      <c r="L54" s="10"/>
      <c r="M54" s="88"/>
      <c r="N54" s="88"/>
      <c r="O54" s="88"/>
      <c r="P54" s="88"/>
      <c r="Q54" s="88"/>
      <c r="R54" s="107">
        <f>'Подробный перечень'!$Q$256</f>
        <v>1098973</v>
      </c>
      <c r="S54" s="107">
        <f>'Подробный перечень'!$R$256</f>
        <v>0</v>
      </c>
      <c r="T54" s="107">
        <f>'Подробный перечень'!$S$256</f>
        <v>89200</v>
      </c>
      <c r="U54" s="107">
        <f>'Подробный перечень'!$T$256</f>
        <v>356321.9</v>
      </c>
      <c r="V54" s="107">
        <f>'Подробный перечень'!$U$256</f>
        <v>653451.1</v>
      </c>
      <c r="W54" s="88">
        <f>'Подробный перечень'!$V$256</f>
        <v>992385.8</v>
      </c>
      <c r="X54" s="86">
        <f>'Подробный перечень'!$W$256</f>
        <v>731050</v>
      </c>
      <c r="Y54" s="261"/>
      <c r="Z54" s="402"/>
    </row>
    <row r="55" spans="1:26" ht="25.9" hidden="1" customHeight="1">
      <c r="A55" s="413"/>
      <c r="B55" s="269" t="s">
        <v>495</v>
      </c>
      <c r="C55" s="269">
        <v>176</v>
      </c>
      <c r="D55" s="317" t="s">
        <v>15</v>
      </c>
      <c r="E55" s="317" t="s">
        <v>15</v>
      </c>
      <c r="F55" s="269">
        <v>6100053904</v>
      </c>
      <c r="G55" s="269">
        <v>414</v>
      </c>
      <c r="H55" s="29"/>
      <c r="I55" s="10"/>
      <c r="J55" s="10"/>
      <c r="K55" s="10"/>
      <c r="L55" s="10"/>
      <c r="M55" s="88"/>
      <c r="N55" s="88"/>
      <c r="O55" s="88"/>
      <c r="P55" s="88"/>
      <c r="Q55" s="88"/>
      <c r="R55" s="107"/>
      <c r="S55" s="107"/>
      <c r="T55" s="107"/>
      <c r="U55" s="107"/>
      <c r="V55" s="107"/>
      <c r="W55" s="88"/>
      <c r="X55" s="86"/>
      <c r="Y55" s="269"/>
      <c r="Z55" s="402"/>
    </row>
    <row r="56" spans="1:26" ht="22.9" customHeight="1">
      <c r="A56" s="414"/>
      <c r="B56" s="372" t="s">
        <v>34</v>
      </c>
      <c r="C56" s="261">
        <v>176</v>
      </c>
      <c r="D56" s="317" t="s">
        <v>554</v>
      </c>
      <c r="E56" s="317" t="s">
        <v>555</v>
      </c>
      <c r="F56" s="261">
        <v>6100053902</v>
      </c>
      <c r="G56" s="261">
        <v>414</v>
      </c>
      <c r="H56" s="29"/>
      <c r="I56" s="10"/>
      <c r="J56" s="10"/>
      <c r="K56" s="10"/>
      <c r="L56" s="10"/>
      <c r="M56" s="88"/>
      <c r="N56" s="88"/>
      <c r="O56" s="88"/>
      <c r="P56" s="88"/>
      <c r="Q56" s="88"/>
      <c r="R56" s="107">
        <f>'Подробный перечень'!$Q$259</f>
        <v>205825.90000000002</v>
      </c>
      <c r="S56" s="107"/>
      <c r="T56" s="107">
        <f>'Подробный перечень'!$S$268</f>
        <v>30000</v>
      </c>
      <c r="U56" s="107">
        <f>'Подробный перечень'!$T$259</f>
        <v>110000</v>
      </c>
      <c r="V56" s="107">
        <f>'Подробный перечень'!$U$259</f>
        <v>65825.900000000009</v>
      </c>
      <c r="W56" s="88">
        <f>'Подробный перечень'!$V$259</f>
        <v>338950</v>
      </c>
      <c r="X56" s="86">
        <f>'Подробный перечень'!$W$259</f>
        <v>0</v>
      </c>
      <c r="Y56" s="261"/>
      <c r="Z56" s="402"/>
    </row>
    <row r="57" spans="1:26" ht="17.45" hidden="1" customHeight="1">
      <c r="A57" s="14" t="s">
        <v>61</v>
      </c>
      <c r="B57" s="62" t="s">
        <v>414</v>
      </c>
      <c r="C57" s="62">
        <v>176</v>
      </c>
      <c r="D57" s="317" t="s">
        <v>15</v>
      </c>
      <c r="E57" s="317" t="s">
        <v>15</v>
      </c>
      <c r="F57" s="62">
        <v>6100004040</v>
      </c>
      <c r="G57" s="62">
        <v>414</v>
      </c>
      <c r="H57" s="29" t="e">
        <f t="shared" si="3"/>
        <v>#REF!</v>
      </c>
      <c r="I57" s="10" t="e">
        <f>#REF!</f>
        <v>#REF!</v>
      </c>
      <c r="J57" s="10" t="e">
        <f>#REF!</f>
        <v>#REF!</v>
      </c>
      <c r="K57" s="10" t="e">
        <f>#REF!</f>
        <v>#REF!</v>
      </c>
      <c r="L57" s="10" t="e">
        <f>#REF!</f>
        <v>#REF!</v>
      </c>
      <c r="M57" s="88">
        <f>'Подробный перечень'!L316</f>
        <v>34492.699999999997</v>
      </c>
      <c r="N57" s="88"/>
      <c r="O57" s="88"/>
      <c r="P57" s="88"/>
      <c r="Q57" s="88">
        <f>'Подробный перечень'!P316</f>
        <v>34492.699999999997</v>
      </c>
      <c r="R57" s="107"/>
      <c r="S57" s="107"/>
      <c r="T57" s="107"/>
      <c r="U57" s="107"/>
      <c r="V57" s="107"/>
      <c r="W57" s="88">
        <f>'Подробный перечень'!$V$316</f>
        <v>0</v>
      </c>
      <c r="X57" s="86"/>
      <c r="Y57" s="62"/>
      <c r="Z57" s="402"/>
    </row>
    <row r="58" spans="1:26" ht="17.45" hidden="1" customHeight="1">
      <c r="A58" s="14" t="s">
        <v>62</v>
      </c>
      <c r="B58" s="62" t="s">
        <v>414</v>
      </c>
      <c r="C58" s="62">
        <v>176</v>
      </c>
      <c r="D58" s="317" t="s">
        <v>15</v>
      </c>
      <c r="E58" s="317" t="s">
        <v>15</v>
      </c>
      <c r="F58" s="62">
        <v>6100004040</v>
      </c>
      <c r="G58" s="62">
        <v>414</v>
      </c>
      <c r="H58" s="29" t="e">
        <f t="shared" si="3"/>
        <v>#REF!</v>
      </c>
      <c r="I58" s="10" t="e">
        <f>#REF!</f>
        <v>#REF!</v>
      </c>
      <c r="J58" s="10" t="e">
        <f>#REF!</f>
        <v>#REF!</v>
      </c>
      <c r="K58" s="10" t="e">
        <f>#REF!</f>
        <v>#REF!</v>
      </c>
      <c r="L58" s="10" t="e">
        <f>#REF!</f>
        <v>#REF!</v>
      </c>
      <c r="M58" s="88"/>
      <c r="N58" s="88"/>
      <c r="O58" s="88"/>
      <c r="P58" s="88"/>
      <c r="Q58" s="88"/>
      <c r="R58" s="107">
        <f>'Подробный перечень'!$Q$328</f>
        <v>0</v>
      </c>
      <c r="S58" s="107"/>
      <c r="T58" s="107"/>
      <c r="U58" s="107"/>
      <c r="V58" s="107"/>
      <c r="W58" s="88">
        <f>'Подробный перечень'!$V$328</f>
        <v>0</v>
      </c>
      <c r="X58" s="86">
        <f>'Подробный перечень'!$W$328</f>
        <v>0</v>
      </c>
      <c r="Y58" s="62"/>
      <c r="Z58" s="402"/>
    </row>
    <row r="59" spans="1:26" ht="17.45" customHeight="1">
      <c r="A59" s="14" t="s">
        <v>63</v>
      </c>
      <c r="B59" s="62" t="s">
        <v>414</v>
      </c>
      <c r="C59" s="62">
        <v>176</v>
      </c>
      <c r="D59" s="317" t="s">
        <v>554</v>
      </c>
      <c r="E59" s="317" t="s">
        <v>555</v>
      </c>
      <c r="F59" s="62">
        <v>6100004040</v>
      </c>
      <c r="G59" s="62">
        <v>414</v>
      </c>
      <c r="H59" s="29" t="e">
        <f t="shared" si="3"/>
        <v>#REF!</v>
      </c>
      <c r="I59" s="10" t="e">
        <f>#REF!</f>
        <v>#REF!</v>
      </c>
      <c r="J59" s="10" t="e">
        <f>#REF!</f>
        <v>#REF!</v>
      </c>
      <c r="K59" s="10" t="e">
        <f>#REF!</f>
        <v>#REF!</v>
      </c>
      <c r="L59" s="10" t="e">
        <f>#REF!</f>
        <v>#REF!</v>
      </c>
      <c r="M59" s="88">
        <f>'Подробный перечень'!L336</f>
        <v>30009.7</v>
      </c>
      <c r="N59" s="88"/>
      <c r="O59" s="88"/>
      <c r="P59" s="88">
        <f>'Подробный перечень'!O336</f>
        <v>3000</v>
      </c>
      <c r="Q59" s="88">
        <f>'Подробный перечень'!P336</f>
        <v>27009.7</v>
      </c>
      <c r="R59" s="107">
        <f>'Подробный перечень'!$Q$337</f>
        <v>6327.9</v>
      </c>
      <c r="S59" s="107"/>
      <c r="T59" s="107"/>
      <c r="U59" s="107">
        <f>'Подробный перечень'!$T$337</f>
        <v>6000</v>
      </c>
      <c r="V59" s="107">
        <f>'Подробный перечень'!$U$337</f>
        <v>327.90000000000009</v>
      </c>
      <c r="W59" s="88">
        <f>'Подробный перечень'!$V$336</f>
        <v>0</v>
      </c>
      <c r="X59" s="86"/>
      <c r="Y59" s="62"/>
      <c r="Z59" s="402"/>
    </row>
    <row r="60" spans="1:26" ht="17.45" customHeight="1">
      <c r="A60" s="14" t="s">
        <v>64</v>
      </c>
      <c r="B60" s="62" t="s">
        <v>414</v>
      </c>
      <c r="C60" s="62">
        <v>176</v>
      </c>
      <c r="D60" s="317" t="s">
        <v>554</v>
      </c>
      <c r="E60" s="317" t="s">
        <v>555</v>
      </c>
      <c r="F60" s="62">
        <v>6100004040</v>
      </c>
      <c r="G60" s="62">
        <v>414</v>
      </c>
      <c r="H60" s="29" t="e">
        <f t="shared" si="3"/>
        <v>#REF!</v>
      </c>
      <c r="I60" s="10" t="e">
        <f>#REF!</f>
        <v>#REF!</v>
      </c>
      <c r="J60" s="10" t="e">
        <f>#REF!</f>
        <v>#REF!</v>
      </c>
      <c r="K60" s="10" t="e">
        <f>#REF!</f>
        <v>#REF!</v>
      </c>
      <c r="L60" s="10" t="e">
        <f>#REF!</f>
        <v>#REF!</v>
      </c>
      <c r="M60" s="88">
        <f>'Подробный перечень'!L352</f>
        <v>145946.70000000001</v>
      </c>
      <c r="N60" s="88"/>
      <c r="O60" s="88"/>
      <c r="P60" s="88">
        <f>'Подробный перечень'!O352</f>
        <v>48010.9</v>
      </c>
      <c r="Q60" s="88">
        <f>'Подробный перечень'!P352</f>
        <v>97935.8</v>
      </c>
      <c r="R60" s="107">
        <f>'Подробный перечень'!$Q$352</f>
        <v>49990.8</v>
      </c>
      <c r="S60" s="107"/>
      <c r="T60" s="107"/>
      <c r="U60" s="107">
        <f>'Подробный перечень'!$T$352</f>
        <v>0</v>
      </c>
      <c r="V60" s="107">
        <f>'Подробный перечень'!$U$352</f>
        <v>49990.8</v>
      </c>
      <c r="W60" s="88">
        <f>'Подробный перечень'!$V$352</f>
        <v>0</v>
      </c>
      <c r="X60" s="86">
        <f>'Подробный перечень'!$W$352</f>
        <v>0</v>
      </c>
      <c r="Y60" s="62"/>
      <c r="Z60" s="402"/>
    </row>
    <row r="61" spans="1:26" ht="17.45" hidden="1" customHeight="1">
      <c r="A61" s="14" t="s">
        <v>65</v>
      </c>
      <c r="B61" s="62" t="s">
        <v>414</v>
      </c>
      <c r="C61" s="62">
        <v>176</v>
      </c>
      <c r="D61" s="317" t="s">
        <v>15</v>
      </c>
      <c r="E61" s="317" t="s">
        <v>15</v>
      </c>
      <c r="F61" s="62">
        <v>6100004040</v>
      </c>
      <c r="G61" s="62">
        <v>414</v>
      </c>
      <c r="H61" s="29">
        <f t="shared" si="3"/>
        <v>0</v>
      </c>
      <c r="I61" s="10">
        <v>0</v>
      </c>
      <c r="J61" s="10">
        <v>0</v>
      </c>
      <c r="K61" s="10">
        <v>0</v>
      </c>
      <c r="L61" s="10">
        <v>0</v>
      </c>
      <c r="M61" s="88"/>
      <c r="N61" s="88"/>
      <c r="O61" s="88"/>
      <c r="P61" s="88"/>
      <c r="Q61" s="88"/>
      <c r="R61" s="107"/>
      <c r="S61" s="107"/>
      <c r="T61" s="107"/>
      <c r="U61" s="107"/>
      <c r="V61" s="107"/>
      <c r="W61" s="88"/>
      <c r="X61" s="86"/>
      <c r="Y61" s="62"/>
      <c r="Z61" s="402"/>
    </row>
    <row r="62" spans="1:26" ht="17.45" hidden="1" customHeight="1">
      <c r="A62" s="14" t="s">
        <v>66</v>
      </c>
      <c r="B62" s="62" t="s">
        <v>414</v>
      </c>
      <c r="C62" s="62">
        <v>176</v>
      </c>
      <c r="D62" s="317" t="s">
        <v>15</v>
      </c>
      <c r="E62" s="317" t="s">
        <v>15</v>
      </c>
      <c r="F62" s="62">
        <v>6100004040</v>
      </c>
      <c r="G62" s="62">
        <v>414</v>
      </c>
      <c r="H62" s="29" t="e">
        <f t="shared" si="3"/>
        <v>#REF!</v>
      </c>
      <c r="I62" s="10" t="e">
        <f>#REF!</f>
        <v>#REF!</v>
      </c>
      <c r="J62" s="10" t="e">
        <f>#REF!</f>
        <v>#REF!</v>
      </c>
      <c r="K62" s="10" t="e">
        <f>#REF!</f>
        <v>#REF!</v>
      </c>
      <c r="L62" s="10" t="e">
        <f>#REF!</f>
        <v>#REF!</v>
      </c>
      <c r="M62" s="88"/>
      <c r="N62" s="88"/>
      <c r="O62" s="88"/>
      <c r="P62" s="88"/>
      <c r="Q62" s="88"/>
      <c r="R62" s="107"/>
      <c r="S62" s="107"/>
      <c r="T62" s="107"/>
      <c r="U62" s="107"/>
      <c r="V62" s="107"/>
      <c r="W62" s="88"/>
      <c r="X62" s="86"/>
      <c r="Y62" s="62"/>
      <c r="Z62" s="402"/>
    </row>
    <row r="63" spans="1:26" ht="17.45" hidden="1" customHeight="1">
      <c r="A63" s="412" t="s">
        <v>67</v>
      </c>
      <c r="B63" s="62" t="s">
        <v>415</v>
      </c>
      <c r="C63" s="62">
        <v>176</v>
      </c>
      <c r="D63" s="317" t="s">
        <v>15</v>
      </c>
      <c r="E63" s="317" t="s">
        <v>15</v>
      </c>
      <c r="F63" s="62" t="s">
        <v>312</v>
      </c>
      <c r="G63" s="62">
        <v>414</v>
      </c>
      <c r="H63" s="29" t="e">
        <f t="shared" si="3"/>
        <v>#REF!</v>
      </c>
      <c r="I63" s="10" t="e">
        <f>#REF!</f>
        <v>#REF!</v>
      </c>
      <c r="J63" s="10" t="e">
        <f>#REF!</f>
        <v>#REF!</v>
      </c>
      <c r="K63" s="10" t="e">
        <f>#REF!</f>
        <v>#REF!</v>
      </c>
      <c r="L63" s="10" t="e">
        <f>#REF!</f>
        <v>#REF!</v>
      </c>
      <c r="M63" s="88"/>
      <c r="N63" s="88"/>
      <c r="O63" s="88"/>
      <c r="P63" s="88"/>
      <c r="Q63" s="88"/>
      <c r="R63" s="107">
        <f>'Подробный перечень'!$Q$372</f>
        <v>0</v>
      </c>
      <c r="S63" s="107"/>
      <c r="T63" s="107"/>
      <c r="U63" s="107">
        <f>'Подробный перечень'!$T$372</f>
        <v>0</v>
      </c>
      <c r="V63" s="107">
        <f>'Подробный перечень'!$U$372</f>
        <v>0</v>
      </c>
      <c r="W63" s="88"/>
      <c r="X63" s="86"/>
      <c r="Y63" s="62"/>
      <c r="Z63" s="402"/>
    </row>
    <row r="64" spans="1:26" ht="17.45" hidden="1" customHeight="1">
      <c r="A64" s="413"/>
      <c r="B64" s="261" t="s">
        <v>414</v>
      </c>
      <c r="C64" s="261">
        <v>176</v>
      </c>
      <c r="D64" s="317" t="s">
        <v>15</v>
      </c>
      <c r="E64" s="317" t="s">
        <v>15</v>
      </c>
      <c r="F64" s="261" t="s">
        <v>489</v>
      </c>
      <c r="G64" s="261">
        <v>414</v>
      </c>
      <c r="H64" s="29"/>
      <c r="I64" s="10"/>
      <c r="J64" s="10"/>
      <c r="K64" s="10"/>
      <c r="L64" s="10"/>
      <c r="M64" s="88"/>
      <c r="N64" s="88"/>
      <c r="O64" s="88"/>
      <c r="P64" s="88"/>
      <c r="Q64" s="88"/>
      <c r="R64" s="107">
        <f>U64+V64</f>
        <v>0</v>
      </c>
      <c r="S64" s="107"/>
      <c r="T64" s="107"/>
      <c r="U64" s="107">
        <f>'Подробный перечень'!$T$373</f>
        <v>0</v>
      </c>
      <c r="V64" s="107">
        <f>'Подробный перечень'!$U$373</f>
        <v>0</v>
      </c>
      <c r="W64" s="88"/>
      <c r="X64" s="86"/>
      <c r="Y64" s="261"/>
      <c r="Z64" s="402"/>
    </row>
    <row r="65" spans="1:26" ht="17.45" hidden="1" customHeight="1">
      <c r="A65" s="414"/>
      <c r="B65" s="261" t="s">
        <v>483</v>
      </c>
      <c r="C65" s="261">
        <v>176</v>
      </c>
      <c r="D65" s="317" t="s">
        <v>15</v>
      </c>
      <c r="E65" s="317" t="s">
        <v>15</v>
      </c>
      <c r="F65" s="261" t="s">
        <v>489</v>
      </c>
      <c r="G65" s="261">
        <v>414</v>
      </c>
      <c r="H65" s="29"/>
      <c r="I65" s="10"/>
      <c r="J65" s="10"/>
      <c r="K65" s="10"/>
      <c r="L65" s="10"/>
      <c r="M65" s="88"/>
      <c r="N65" s="88"/>
      <c r="O65" s="88"/>
      <c r="P65" s="88"/>
      <c r="Q65" s="88"/>
      <c r="R65" s="107">
        <f>U65+V65</f>
        <v>0</v>
      </c>
      <c r="S65" s="107"/>
      <c r="T65" s="107"/>
      <c r="U65" s="107">
        <f>'Подробный перечень'!$T$374</f>
        <v>0</v>
      </c>
      <c r="V65" s="107">
        <f>'Подробный перечень'!$U$374</f>
        <v>0</v>
      </c>
      <c r="W65" s="88"/>
      <c r="X65" s="86"/>
      <c r="Y65" s="261"/>
      <c r="Z65" s="402"/>
    </row>
    <row r="66" spans="1:26" ht="17.45" hidden="1" customHeight="1">
      <c r="A66" s="14" t="s">
        <v>68</v>
      </c>
      <c r="B66" s="62" t="s">
        <v>414</v>
      </c>
      <c r="C66" s="62">
        <v>176</v>
      </c>
      <c r="D66" s="317" t="s">
        <v>15</v>
      </c>
      <c r="E66" s="317" t="s">
        <v>15</v>
      </c>
      <c r="F66" s="62">
        <v>6100004040</v>
      </c>
      <c r="G66" s="62">
        <v>414</v>
      </c>
      <c r="H66" s="29" t="e">
        <f t="shared" si="3"/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88"/>
      <c r="N66" s="88"/>
      <c r="O66" s="88"/>
      <c r="P66" s="88"/>
      <c r="Q66" s="88"/>
      <c r="R66" s="107">
        <f>'Подробный перечень'!Q380</f>
        <v>0</v>
      </c>
      <c r="S66" s="107"/>
      <c r="T66" s="107"/>
      <c r="U66" s="107"/>
      <c r="V66" s="107"/>
      <c r="W66" s="88">
        <f>'Подробный перечень'!$V$380</f>
        <v>0</v>
      </c>
      <c r="X66" s="86"/>
      <c r="Y66" s="62"/>
      <c r="Z66" s="402"/>
    </row>
    <row r="67" spans="1:26" ht="17.45" hidden="1" customHeight="1">
      <c r="A67" s="14" t="s">
        <v>69</v>
      </c>
      <c r="B67" s="62" t="s">
        <v>414</v>
      </c>
      <c r="C67" s="62">
        <v>176</v>
      </c>
      <c r="D67" s="317" t="s">
        <v>15</v>
      </c>
      <c r="E67" s="317" t="s">
        <v>15</v>
      </c>
      <c r="F67" s="62">
        <v>6100004040</v>
      </c>
      <c r="G67" s="62">
        <v>414</v>
      </c>
      <c r="H67" s="29">
        <f t="shared" si="3"/>
        <v>0</v>
      </c>
      <c r="I67" s="10">
        <v>0</v>
      </c>
      <c r="J67" s="10">
        <v>0</v>
      </c>
      <c r="K67" s="10">
        <v>0</v>
      </c>
      <c r="L67" s="10">
        <v>0</v>
      </c>
      <c r="M67" s="88"/>
      <c r="N67" s="88"/>
      <c r="O67" s="88"/>
      <c r="P67" s="88"/>
      <c r="Q67" s="88"/>
      <c r="R67" s="107"/>
      <c r="S67" s="107"/>
      <c r="T67" s="107"/>
      <c r="U67" s="107"/>
      <c r="V67" s="107"/>
      <c r="W67" s="88"/>
      <c r="X67" s="86"/>
      <c r="Y67" s="62"/>
      <c r="Z67" s="402"/>
    </row>
    <row r="68" spans="1:26" ht="17.45" hidden="1" customHeight="1">
      <c r="A68" s="14" t="s">
        <v>70</v>
      </c>
      <c r="B68" s="62" t="s">
        <v>414</v>
      </c>
      <c r="C68" s="62">
        <v>176</v>
      </c>
      <c r="D68" s="317" t="s">
        <v>15</v>
      </c>
      <c r="E68" s="317" t="s">
        <v>15</v>
      </c>
      <c r="F68" s="62">
        <v>6100004040</v>
      </c>
      <c r="G68" s="62">
        <v>414</v>
      </c>
      <c r="H68" s="29" t="e">
        <f t="shared" si="3"/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88">
        <f>'Подробный перечень'!L392</f>
        <v>70843.399999999994</v>
      </c>
      <c r="N68" s="88"/>
      <c r="O68" s="88"/>
      <c r="P68" s="88">
        <f>'Подробный перечень'!O392</f>
        <v>12043.4</v>
      </c>
      <c r="Q68" s="88">
        <f>'Подробный перечень'!P392</f>
        <v>58800</v>
      </c>
      <c r="R68" s="107">
        <f>'Подробный перечень'!$Q$392</f>
        <v>0</v>
      </c>
      <c r="S68" s="107"/>
      <c r="T68" s="107"/>
      <c r="U68" s="107">
        <f>'Подробный перечень'!$T$392</f>
        <v>0</v>
      </c>
      <c r="V68" s="107">
        <f>'Подробный перечень'!$U$392</f>
        <v>0</v>
      </c>
      <c r="W68" s="88">
        <f>'Подробный перечень'!$V$392</f>
        <v>0</v>
      </c>
      <c r="X68" s="86">
        <f>'Подробный перечень'!$W$392</f>
        <v>0</v>
      </c>
      <c r="Y68" s="62"/>
      <c r="Z68" s="402"/>
    </row>
    <row r="69" spans="1:26" ht="17.45" hidden="1" customHeight="1">
      <c r="A69" s="14" t="s">
        <v>71</v>
      </c>
      <c r="B69" s="62" t="s">
        <v>414</v>
      </c>
      <c r="C69" s="62">
        <v>176</v>
      </c>
      <c r="D69" s="317" t="s">
        <v>15</v>
      </c>
      <c r="E69" s="317" t="s">
        <v>15</v>
      </c>
      <c r="F69" s="62">
        <v>6100004040</v>
      </c>
      <c r="G69" s="62">
        <v>414</v>
      </c>
      <c r="H69" s="29" t="e">
        <f t="shared" si="3"/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88">
        <f>'Подробный перечень'!L408</f>
        <v>336</v>
      </c>
      <c r="N69" s="88"/>
      <c r="O69" s="88"/>
      <c r="P69" s="88"/>
      <c r="Q69" s="88">
        <f>'Подробный перечень'!P408</f>
        <v>336</v>
      </c>
      <c r="R69" s="107">
        <f>'Подробный перечень'!$Q$408</f>
        <v>0</v>
      </c>
      <c r="S69" s="107"/>
      <c r="T69" s="107"/>
      <c r="U69" s="107"/>
      <c r="V69" s="107"/>
      <c r="W69" s="88">
        <f>'Подробный перечень'!V408</f>
        <v>0</v>
      </c>
      <c r="X69" s="86"/>
      <c r="Y69" s="62"/>
      <c r="Z69" s="402"/>
    </row>
    <row r="70" spans="1:26" ht="24.75" customHeight="1">
      <c r="A70" s="68" t="s">
        <v>32</v>
      </c>
      <c r="B70" s="62" t="s">
        <v>414</v>
      </c>
      <c r="C70" s="62">
        <v>176</v>
      </c>
      <c r="D70" s="317" t="s">
        <v>554</v>
      </c>
      <c r="E70" s="317" t="s">
        <v>555</v>
      </c>
      <c r="F70" s="62">
        <v>6100004040</v>
      </c>
      <c r="G70" s="62">
        <v>414</v>
      </c>
      <c r="H70" s="29" t="e">
        <f t="shared" si="3"/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88">
        <f>'Подробный перечень'!L427</f>
        <v>21664.120000000003</v>
      </c>
      <c r="N70" s="88">
        <f>'Подробный перечень'!M427</f>
        <v>339.3</v>
      </c>
      <c r="O70" s="88">
        <f>'Подробный перечень'!N427</f>
        <v>5471.42</v>
      </c>
      <c r="P70" s="88">
        <f>'Подробный перечень'!O427</f>
        <v>328.3</v>
      </c>
      <c r="Q70" s="88">
        <f>'Подробный перечень'!P427</f>
        <v>15525.1</v>
      </c>
      <c r="R70" s="107">
        <f>'Подробный перечень'!$Q$427</f>
        <v>23744.5</v>
      </c>
      <c r="S70" s="107"/>
      <c r="T70" s="107">
        <f>'Подробный перечень'!$S$428</f>
        <v>1000</v>
      </c>
      <c r="U70" s="107">
        <f>'Подробный перечень'!$T$427</f>
        <v>9000</v>
      </c>
      <c r="V70" s="107">
        <f>'Подробный перечень'!$U$428</f>
        <v>13744.5</v>
      </c>
      <c r="W70" s="88">
        <f>'Подробный перечень'!$V$427</f>
        <v>29159.5</v>
      </c>
      <c r="X70" s="86">
        <f>'Подробный перечень'!$W$427</f>
        <v>42620.5</v>
      </c>
      <c r="Y70" s="62"/>
      <c r="Z70" s="405"/>
    </row>
    <row r="71" spans="1:26" ht="30.6" customHeight="1">
      <c r="A71" s="397" t="s">
        <v>648</v>
      </c>
      <c r="B71" s="82" t="s">
        <v>616</v>
      </c>
      <c r="C71" s="356"/>
      <c r="D71" s="317"/>
      <c r="E71" s="317"/>
      <c r="F71" s="356"/>
      <c r="G71" s="356"/>
      <c r="H71" s="29"/>
      <c r="I71" s="10"/>
      <c r="J71" s="10"/>
      <c r="K71" s="10"/>
      <c r="L71" s="10"/>
      <c r="M71" s="352"/>
      <c r="N71" s="352"/>
      <c r="O71" s="352"/>
      <c r="P71" s="352"/>
      <c r="Q71" s="352"/>
      <c r="R71" s="357"/>
      <c r="S71" s="352"/>
      <c r="T71" s="352"/>
      <c r="U71" s="352"/>
      <c r="V71" s="352"/>
      <c r="W71" s="352"/>
      <c r="X71" s="352"/>
      <c r="Y71" s="395" t="s">
        <v>514</v>
      </c>
      <c r="Z71" s="406" t="s">
        <v>526</v>
      </c>
    </row>
    <row r="72" spans="1:26" ht="57" customHeight="1">
      <c r="A72" s="398"/>
      <c r="B72" s="12" t="s">
        <v>24</v>
      </c>
      <c r="C72" s="62"/>
      <c r="D72" s="317"/>
      <c r="E72" s="317"/>
      <c r="F72" s="62"/>
      <c r="G72" s="62"/>
      <c r="H72" s="29"/>
      <c r="I72" s="10"/>
      <c r="J72" s="10"/>
      <c r="K72" s="10"/>
      <c r="L72" s="10"/>
      <c r="M72" s="88"/>
      <c r="N72" s="88"/>
      <c r="O72" s="88"/>
      <c r="P72" s="88"/>
      <c r="Q72" s="88"/>
      <c r="R72" s="131"/>
      <c r="S72" s="111"/>
      <c r="T72" s="111"/>
      <c r="U72" s="111"/>
      <c r="V72" s="111"/>
      <c r="W72" s="131"/>
      <c r="X72" s="88"/>
      <c r="Y72" s="396"/>
      <c r="Z72" s="407"/>
    </row>
    <row r="73" spans="1:26" ht="37.5" customHeight="1">
      <c r="A73" s="398"/>
      <c r="B73" s="12" t="s">
        <v>25</v>
      </c>
      <c r="C73" s="12">
        <v>176</v>
      </c>
      <c r="D73" s="178" t="s">
        <v>554</v>
      </c>
      <c r="E73" s="178" t="s">
        <v>555</v>
      </c>
      <c r="F73" s="12">
        <v>6100004040</v>
      </c>
      <c r="G73" s="12" t="s">
        <v>655</v>
      </c>
      <c r="H73" s="29"/>
      <c r="I73" s="10"/>
      <c r="J73" s="10"/>
      <c r="K73" s="10"/>
      <c r="L73" s="10"/>
      <c r="M73" s="90"/>
      <c r="N73" s="90"/>
      <c r="O73" s="90"/>
      <c r="P73" s="90"/>
      <c r="Q73" s="90"/>
      <c r="R73" s="113">
        <f>R74+R75+R77</f>
        <v>1128700</v>
      </c>
      <c r="S73" s="113">
        <f t="shared" ref="S73:X73" si="4">S74+S75+S77</f>
        <v>0</v>
      </c>
      <c r="T73" s="113">
        <f t="shared" si="4"/>
        <v>224.50121999999999</v>
      </c>
      <c r="U73" s="113">
        <f t="shared" si="4"/>
        <v>1419.88761</v>
      </c>
      <c r="V73" s="113">
        <f t="shared" si="4"/>
        <v>1127055.6111699999</v>
      </c>
      <c r="W73" s="113">
        <f t="shared" si="4"/>
        <v>4502140</v>
      </c>
      <c r="X73" s="113">
        <f t="shared" si="4"/>
        <v>11000670</v>
      </c>
      <c r="Y73" s="396"/>
      <c r="Z73" s="407"/>
    </row>
    <row r="74" spans="1:26" ht="31.5" customHeight="1">
      <c r="A74" s="398"/>
      <c r="B74" s="12" t="s">
        <v>10</v>
      </c>
      <c r="C74" s="12">
        <v>176</v>
      </c>
      <c r="D74" s="178" t="s">
        <v>554</v>
      </c>
      <c r="E74" s="178" t="s">
        <v>555</v>
      </c>
      <c r="F74" s="12">
        <v>6100004040</v>
      </c>
      <c r="G74" s="12">
        <v>414</v>
      </c>
      <c r="H74" s="29"/>
      <c r="I74" s="10"/>
      <c r="J74" s="10"/>
      <c r="K74" s="10"/>
      <c r="L74" s="10"/>
      <c r="M74" s="91"/>
      <c r="N74" s="91"/>
      <c r="O74" s="91"/>
      <c r="P74" s="91"/>
      <c r="Q74" s="91"/>
      <c r="R74" s="89">
        <f>R81</f>
        <v>648700</v>
      </c>
      <c r="S74" s="89">
        <f t="shared" ref="S74:W74" si="5">S81</f>
        <v>0</v>
      </c>
      <c r="T74" s="89">
        <f t="shared" si="5"/>
        <v>224.50121999999999</v>
      </c>
      <c r="U74" s="89">
        <f t="shared" si="5"/>
        <v>1419.88761</v>
      </c>
      <c r="V74" s="89">
        <f t="shared" si="5"/>
        <v>647055.61117000005</v>
      </c>
      <c r="W74" s="89">
        <f t="shared" si="5"/>
        <v>2147280</v>
      </c>
      <c r="X74" s="89">
        <f>'Подробный перечень'!W434</f>
        <v>0</v>
      </c>
      <c r="Y74" s="396"/>
      <c r="Z74" s="407"/>
    </row>
    <row r="75" spans="1:26" ht="30.75" customHeight="1">
      <c r="A75" s="398"/>
      <c r="B75" s="12" t="s">
        <v>494</v>
      </c>
      <c r="C75" s="12">
        <v>176</v>
      </c>
      <c r="D75" s="178" t="s">
        <v>554</v>
      </c>
      <c r="E75" s="178" t="s">
        <v>555</v>
      </c>
      <c r="F75" s="12" t="s">
        <v>312</v>
      </c>
      <c r="G75" s="12">
        <v>415</v>
      </c>
      <c r="H75" s="29"/>
      <c r="I75" s="10"/>
      <c r="J75" s="10"/>
      <c r="K75" s="10"/>
      <c r="L75" s="10"/>
      <c r="M75" s="91"/>
      <c r="N75" s="91"/>
      <c r="O75" s="91"/>
      <c r="P75" s="91"/>
      <c r="Q75" s="91"/>
      <c r="R75" s="89">
        <f>'Подробный перечень'!Q435</f>
        <v>400000</v>
      </c>
      <c r="S75" s="89">
        <f>'Подробный перечень'!R435</f>
        <v>0</v>
      </c>
      <c r="T75" s="89">
        <f>'Подробный перечень'!S435</f>
        <v>0</v>
      </c>
      <c r="U75" s="89">
        <f>'Подробный перечень'!T435</f>
        <v>0</v>
      </c>
      <c r="V75" s="89">
        <f>'Подробный перечень'!U435</f>
        <v>400000</v>
      </c>
      <c r="W75" s="89">
        <f>'Подробный перечень'!V435</f>
        <v>1789200</v>
      </c>
      <c r="X75" s="89">
        <f>'Подробный перечень'!W435</f>
        <v>8358200</v>
      </c>
      <c r="Y75" s="396"/>
      <c r="Z75" s="407"/>
    </row>
    <row r="76" spans="1:26" ht="18.75" customHeight="1">
      <c r="A76" s="398"/>
      <c r="B76" s="12" t="s">
        <v>462</v>
      </c>
      <c r="C76" s="12"/>
      <c r="D76" s="178"/>
      <c r="E76" s="178"/>
      <c r="F76" s="12"/>
      <c r="G76" s="12"/>
      <c r="H76" s="29"/>
      <c r="I76" s="10"/>
      <c r="J76" s="10"/>
      <c r="K76" s="10"/>
      <c r="L76" s="10"/>
      <c r="M76" s="91"/>
      <c r="N76" s="91"/>
      <c r="O76" s="91"/>
      <c r="P76" s="91"/>
      <c r="Q76" s="91"/>
      <c r="R76" s="89"/>
      <c r="S76" s="89"/>
      <c r="T76" s="89"/>
      <c r="U76" s="89"/>
      <c r="V76" s="89"/>
      <c r="W76" s="89"/>
      <c r="X76" s="89"/>
      <c r="Y76" s="396"/>
      <c r="Z76" s="407"/>
    </row>
    <row r="77" spans="1:26" ht="24" customHeight="1">
      <c r="A77" s="398"/>
      <c r="B77" s="12" t="s">
        <v>484</v>
      </c>
      <c r="C77" s="12"/>
      <c r="D77" s="178"/>
      <c r="E77" s="178"/>
      <c r="F77" s="12"/>
      <c r="G77" s="12"/>
      <c r="H77" s="29"/>
      <c r="I77" s="10"/>
      <c r="J77" s="10"/>
      <c r="K77" s="10"/>
      <c r="L77" s="10"/>
      <c r="M77" s="91"/>
      <c r="N77" s="91"/>
      <c r="O77" s="91"/>
      <c r="P77" s="91"/>
      <c r="Q77" s="91"/>
      <c r="R77" s="89">
        <f>R84</f>
        <v>80000</v>
      </c>
      <c r="S77" s="89">
        <f t="shared" ref="S77:X77" si="6">S84</f>
        <v>0</v>
      </c>
      <c r="T77" s="89">
        <f t="shared" si="6"/>
        <v>0</v>
      </c>
      <c r="U77" s="89">
        <f t="shared" si="6"/>
        <v>0</v>
      </c>
      <c r="V77" s="89">
        <f t="shared" si="6"/>
        <v>80000</v>
      </c>
      <c r="W77" s="89">
        <f t="shared" si="6"/>
        <v>565660</v>
      </c>
      <c r="X77" s="89">
        <f t="shared" si="6"/>
        <v>2642470</v>
      </c>
      <c r="Y77" s="396"/>
      <c r="Z77" s="408"/>
    </row>
    <row r="78" spans="1:26" ht="182.25" customHeight="1">
      <c r="A78" s="397" t="s">
        <v>677</v>
      </c>
      <c r="B78" s="370" t="s">
        <v>679</v>
      </c>
      <c r="C78" s="12"/>
      <c r="D78" s="178"/>
      <c r="E78" s="178"/>
      <c r="F78" s="12"/>
      <c r="G78" s="12"/>
      <c r="H78" s="29"/>
      <c r="I78" s="10"/>
      <c r="J78" s="10"/>
      <c r="K78" s="10"/>
      <c r="L78" s="10"/>
      <c r="M78" s="91"/>
      <c r="N78" s="91"/>
      <c r="O78" s="91"/>
      <c r="P78" s="91"/>
      <c r="Q78" s="91"/>
      <c r="R78" s="89">
        <v>1</v>
      </c>
      <c r="S78" s="89">
        <v>0</v>
      </c>
      <c r="T78" s="89">
        <v>0</v>
      </c>
      <c r="U78" s="89">
        <v>0</v>
      </c>
      <c r="V78" s="89">
        <v>1</v>
      </c>
      <c r="W78" s="352">
        <v>9</v>
      </c>
      <c r="X78" s="91">
        <v>29</v>
      </c>
      <c r="Y78" s="396"/>
      <c r="Z78" s="419" t="s">
        <v>680</v>
      </c>
    </row>
    <row r="79" spans="1:26" ht="30" customHeight="1">
      <c r="A79" s="398"/>
      <c r="B79" s="12" t="s">
        <v>24</v>
      </c>
      <c r="C79" s="12"/>
      <c r="D79" s="178"/>
      <c r="E79" s="178"/>
      <c r="F79" s="12"/>
      <c r="G79" s="12"/>
      <c r="H79" s="29"/>
      <c r="I79" s="10"/>
      <c r="J79" s="10"/>
      <c r="K79" s="10"/>
      <c r="L79" s="10"/>
      <c r="M79" s="91"/>
      <c r="N79" s="91"/>
      <c r="O79" s="91"/>
      <c r="P79" s="91"/>
      <c r="Q79" s="91"/>
      <c r="R79" s="131" t="s">
        <v>556</v>
      </c>
      <c r="S79" s="111" t="s">
        <v>556</v>
      </c>
      <c r="T79" s="111" t="s">
        <v>556</v>
      </c>
      <c r="U79" s="111" t="s">
        <v>556</v>
      </c>
      <c r="V79" s="111" t="s">
        <v>556</v>
      </c>
      <c r="W79" s="131" t="s">
        <v>556</v>
      </c>
      <c r="X79" s="91" t="s">
        <v>556</v>
      </c>
      <c r="Y79" s="396"/>
      <c r="Z79" s="420"/>
    </row>
    <row r="80" spans="1:26" ht="30.75" customHeight="1">
      <c r="A80" s="398"/>
      <c r="B80" s="12" t="s">
        <v>25</v>
      </c>
      <c r="C80" s="12">
        <v>176</v>
      </c>
      <c r="D80" s="178" t="s">
        <v>554</v>
      </c>
      <c r="E80" s="178" t="s">
        <v>555</v>
      </c>
      <c r="F80" s="12">
        <v>6100004040</v>
      </c>
      <c r="G80" s="12" t="s">
        <v>655</v>
      </c>
      <c r="H80" s="29"/>
      <c r="I80" s="10"/>
      <c r="J80" s="10"/>
      <c r="K80" s="10"/>
      <c r="L80" s="10"/>
      <c r="M80" s="91"/>
      <c r="N80" s="91"/>
      <c r="O80" s="91"/>
      <c r="P80" s="91"/>
      <c r="Q80" s="91"/>
      <c r="R80" s="131">
        <f>R81+R82+R83+R84</f>
        <v>1128700</v>
      </c>
      <c r="S80" s="131">
        <f t="shared" ref="S80:X80" si="7">S81+S82+S83+S84</f>
        <v>0</v>
      </c>
      <c r="T80" s="131">
        <f t="shared" si="7"/>
        <v>224.50121999999999</v>
      </c>
      <c r="U80" s="131">
        <f t="shared" si="7"/>
        <v>1419.88761</v>
      </c>
      <c r="V80" s="131">
        <f t="shared" si="7"/>
        <v>1127055.6111699999</v>
      </c>
      <c r="W80" s="131">
        <f t="shared" si="7"/>
        <v>4502140</v>
      </c>
      <c r="X80" s="131">
        <f t="shared" si="7"/>
        <v>11000670</v>
      </c>
      <c r="Y80" s="396"/>
      <c r="Z80" s="420"/>
    </row>
    <row r="81" spans="1:61" ht="30.75" customHeight="1">
      <c r="A81" s="398"/>
      <c r="B81" s="12" t="s">
        <v>10</v>
      </c>
      <c r="C81" s="12">
        <v>176</v>
      </c>
      <c r="D81" s="178" t="s">
        <v>554</v>
      </c>
      <c r="E81" s="178" t="s">
        <v>555</v>
      </c>
      <c r="F81" s="12">
        <v>6100004040</v>
      </c>
      <c r="G81" s="12">
        <v>414</v>
      </c>
      <c r="H81" s="29"/>
      <c r="I81" s="10"/>
      <c r="J81" s="10"/>
      <c r="K81" s="10"/>
      <c r="L81" s="10"/>
      <c r="M81" s="91"/>
      <c r="N81" s="91"/>
      <c r="O81" s="91"/>
      <c r="P81" s="91"/>
      <c r="Q81" s="91"/>
      <c r="R81" s="89">
        <v>648700</v>
      </c>
      <c r="S81" s="89">
        <v>0</v>
      </c>
      <c r="T81" s="89">
        <v>224.50121999999999</v>
      </c>
      <c r="U81" s="89">
        <v>1419.88761</v>
      </c>
      <c r="V81" s="89">
        <v>647055.61117000005</v>
      </c>
      <c r="W81" s="89">
        <v>2147280</v>
      </c>
      <c r="X81" s="91">
        <v>0</v>
      </c>
      <c r="Y81" s="396"/>
      <c r="Z81" s="420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8"/>
    </row>
    <row r="82" spans="1:61" ht="26.25" customHeight="1">
      <c r="A82" s="398"/>
      <c r="B82" s="12" t="s">
        <v>463</v>
      </c>
      <c r="C82" s="12">
        <v>176</v>
      </c>
      <c r="D82" s="178" t="s">
        <v>554</v>
      </c>
      <c r="E82" s="178" t="s">
        <v>555</v>
      </c>
      <c r="F82" s="12" t="s">
        <v>312</v>
      </c>
      <c r="G82" s="12">
        <v>415</v>
      </c>
      <c r="H82" s="29"/>
      <c r="I82" s="10"/>
      <c r="J82" s="10"/>
      <c r="K82" s="10"/>
      <c r="L82" s="10"/>
      <c r="M82" s="91"/>
      <c r="N82" s="91"/>
      <c r="O82" s="91"/>
      <c r="P82" s="91"/>
      <c r="Q82" s="91"/>
      <c r="R82" s="89">
        <f>'Подробный перечень'!$Q$435</f>
        <v>400000</v>
      </c>
      <c r="S82" s="89"/>
      <c r="T82" s="89"/>
      <c r="U82" s="89"/>
      <c r="V82" s="89">
        <f>'Подробный перечень'!$U$435</f>
        <v>400000</v>
      </c>
      <c r="W82" s="89">
        <f>'Подробный перечень'!$V$435</f>
        <v>1789200</v>
      </c>
      <c r="X82" s="91">
        <f>'Подробный перечень'!$W$435</f>
        <v>8358200</v>
      </c>
      <c r="Y82" s="396"/>
      <c r="Z82" s="420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8"/>
    </row>
    <row r="83" spans="1:61" ht="24" customHeight="1">
      <c r="A83" s="398"/>
      <c r="B83" s="12" t="s">
        <v>462</v>
      </c>
      <c r="C83" s="12"/>
      <c r="D83" s="178"/>
      <c r="E83" s="178"/>
      <c r="F83" s="12"/>
      <c r="G83" s="12"/>
      <c r="H83" s="29"/>
      <c r="I83" s="10"/>
      <c r="J83" s="10"/>
      <c r="K83" s="10"/>
      <c r="L83" s="10"/>
      <c r="M83" s="91"/>
      <c r="N83" s="91"/>
      <c r="O83" s="91"/>
      <c r="P83" s="91"/>
      <c r="Q83" s="91"/>
      <c r="R83" s="89"/>
      <c r="S83" s="89"/>
      <c r="T83" s="89"/>
      <c r="U83" s="89"/>
      <c r="V83" s="89"/>
      <c r="W83" s="89"/>
      <c r="X83" s="91"/>
      <c r="Y83" s="396"/>
      <c r="Z83" s="420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8"/>
    </row>
    <row r="84" spans="1:61" ht="193.5" customHeight="1">
      <c r="A84" s="418"/>
      <c r="B84" s="12" t="s">
        <v>484</v>
      </c>
      <c r="C84" s="12"/>
      <c r="D84" s="178"/>
      <c r="E84" s="178"/>
      <c r="F84" s="12"/>
      <c r="G84" s="12"/>
      <c r="H84" s="29"/>
      <c r="I84" s="10"/>
      <c r="J84" s="10"/>
      <c r="K84" s="10"/>
      <c r="L84" s="10"/>
      <c r="M84" s="91"/>
      <c r="N84" s="91"/>
      <c r="O84" s="91"/>
      <c r="P84" s="91"/>
      <c r="Q84" s="91"/>
      <c r="R84" s="89">
        <f>'Подробный перечень'!$Q$436</f>
        <v>80000</v>
      </c>
      <c r="S84" s="89"/>
      <c r="T84" s="89"/>
      <c r="U84" s="89"/>
      <c r="V84" s="89">
        <f>'Подробный перечень'!$U$436</f>
        <v>80000</v>
      </c>
      <c r="W84" s="89">
        <f>'Подробный перечень'!$V$436</f>
        <v>565660</v>
      </c>
      <c r="X84" s="89">
        <f>'Подробный перечень'!$W$436</f>
        <v>2642470</v>
      </c>
      <c r="Y84" s="396"/>
      <c r="Z84" s="421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8"/>
    </row>
    <row r="85" spans="1:61" ht="79.5" customHeight="1">
      <c r="A85" s="397" t="s">
        <v>675</v>
      </c>
      <c r="B85" s="371" t="s">
        <v>627</v>
      </c>
      <c r="C85" s="12"/>
      <c r="D85" s="178"/>
      <c r="E85" s="178"/>
      <c r="F85" s="12"/>
      <c r="G85" s="12"/>
      <c r="H85" s="13"/>
      <c r="I85" s="7"/>
      <c r="J85" s="7"/>
      <c r="K85" s="7"/>
      <c r="L85" s="7"/>
      <c r="M85" s="90"/>
      <c r="N85" s="90"/>
      <c r="O85" s="90"/>
      <c r="P85" s="90"/>
      <c r="Q85" s="90"/>
      <c r="R85" s="113">
        <v>0</v>
      </c>
      <c r="S85" s="113"/>
      <c r="T85" s="113"/>
      <c r="U85" s="113"/>
      <c r="V85" s="113"/>
      <c r="W85" s="90">
        <v>2</v>
      </c>
      <c r="X85" s="59">
        <v>1</v>
      </c>
      <c r="Y85" s="395"/>
      <c r="Z85" s="419" t="s">
        <v>614</v>
      </c>
    </row>
    <row r="86" spans="1:61" ht="30" customHeight="1">
      <c r="A86" s="398"/>
      <c r="B86" s="371" t="s">
        <v>24</v>
      </c>
      <c r="C86" s="12"/>
      <c r="D86" s="178"/>
      <c r="E86" s="178"/>
      <c r="F86" s="12"/>
      <c r="G86" s="12"/>
      <c r="H86" s="13"/>
      <c r="I86" s="7"/>
      <c r="J86" s="7"/>
      <c r="K86" s="7"/>
      <c r="L86" s="7"/>
      <c r="M86" s="90"/>
      <c r="N86" s="90"/>
      <c r="O86" s="90"/>
      <c r="P86" s="90"/>
      <c r="Q86" s="90"/>
      <c r="R86" s="113"/>
      <c r="S86" s="113"/>
      <c r="T86" s="113"/>
      <c r="U86" s="113"/>
      <c r="V86" s="113"/>
      <c r="W86" s="90">
        <f>W87/W85</f>
        <v>21490.25</v>
      </c>
      <c r="X86" s="90">
        <f>X87/X85</f>
        <v>5804.8</v>
      </c>
      <c r="Y86" s="396"/>
      <c r="Z86" s="420"/>
    </row>
    <row r="87" spans="1:61" ht="45" customHeight="1">
      <c r="A87" s="398"/>
      <c r="B87" s="12" t="s">
        <v>272</v>
      </c>
      <c r="C87" s="12"/>
      <c r="D87" s="178"/>
      <c r="E87" s="178"/>
      <c r="F87" s="12"/>
      <c r="G87" s="12"/>
      <c r="H87" s="13"/>
      <c r="I87" s="7"/>
      <c r="J87" s="7"/>
      <c r="K87" s="7"/>
      <c r="L87" s="7"/>
      <c r="M87" s="90"/>
      <c r="N87" s="90"/>
      <c r="O87" s="90"/>
      <c r="P87" s="90"/>
      <c r="Q87" s="90"/>
      <c r="R87" s="113">
        <f>R88</f>
        <v>0</v>
      </c>
      <c r="S87" s="113"/>
      <c r="T87" s="113"/>
      <c r="U87" s="113"/>
      <c r="V87" s="113"/>
      <c r="W87" s="90">
        <f>W88</f>
        <v>42980.5</v>
      </c>
      <c r="X87" s="59">
        <f>X88</f>
        <v>5804.8</v>
      </c>
      <c r="Y87" s="396"/>
      <c r="Z87" s="420"/>
    </row>
    <row r="88" spans="1:61" ht="39" customHeight="1">
      <c r="A88" s="398"/>
      <c r="B88" s="12" t="s">
        <v>10</v>
      </c>
      <c r="C88" s="12">
        <v>176</v>
      </c>
      <c r="D88" s="178" t="s">
        <v>554</v>
      </c>
      <c r="E88" s="178" t="s">
        <v>555</v>
      </c>
      <c r="F88" s="12">
        <v>6100004040</v>
      </c>
      <c r="G88" s="12">
        <v>414</v>
      </c>
      <c r="H88" s="13"/>
      <c r="I88" s="7"/>
      <c r="J88" s="7"/>
      <c r="K88" s="7"/>
      <c r="L88" s="7"/>
      <c r="M88" s="90"/>
      <c r="N88" s="90"/>
      <c r="O88" s="90"/>
      <c r="P88" s="90"/>
      <c r="Q88" s="90"/>
      <c r="R88" s="113">
        <v>0</v>
      </c>
      <c r="S88" s="113"/>
      <c r="T88" s="113"/>
      <c r="U88" s="113"/>
      <c r="V88" s="113"/>
      <c r="W88" s="90">
        <f>'Подробный перечень'!$V$446</f>
        <v>42980.5</v>
      </c>
      <c r="X88" s="59">
        <f>'Подробный перечень'!$W$446</f>
        <v>5804.8</v>
      </c>
      <c r="Y88" s="404"/>
      <c r="Z88" s="420"/>
    </row>
    <row r="89" spans="1:61" ht="27" customHeight="1">
      <c r="A89" s="398"/>
      <c r="B89" s="280" t="s">
        <v>463</v>
      </c>
      <c r="C89" s="280"/>
      <c r="D89" s="318"/>
      <c r="E89" s="318"/>
      <c r="F89" s="280"/>
      <c r="G89" s="280"/>
      <c r="H89" s="374"/>
      <c r="I89" s="36"/>
      <c r="J89" s="36"/>
      <c r="K89" s="36"/>
      <c r="L89" s="36"/>
      <c r="M89" s="97"/>
      <c r="N89" s="97"/>
      <c r="O89" s="97"/>
      <c r="P89" s="97"/>
      <c r="Q89" s="97"/>
      <c r="R89" s="281"/>
      <c r="S89" s="281"/>
      <c r="T89" s="281"/>
      <c r="U89" s="281"/>
      <c r="V89" s="281"/>
      <c r="W89" s="97"/>
      <c r="X89" s="85"/>
      <c r="Y89" s="359"/>
      <c r="Z89" s="420"/>
    </row>
    <row r="90" spans="1:61" ht="27" customHeight="1">
      <c r="A90" s="398"/>
      <c r="B90" s="280" t="s">
        <v>462</v>
      </c>
      <c r="C90" s="280"/>
      <c r="D90" s="318"/>
      <c r="E90" s="318"/>
      <c r="F90" s="280"/>
      <c r="G90" s="280"/>
      <c r="H90" s="374"/>
      <c r="I90" s="36"/>
      <c r="J90" s="36"/>
      <c r="K90" s="36"/>
      <c r="L90" s="36"/>
      <c r="M90" s="97"/>
      <c r="N90" s="97"/>
      <c r="O90" s="97"/>
      <c r="P90" s="97"/>
      <c r="Q90" s="97"/>
      <c r="R90" s="281"/>
      <c r="S90" s="281"/>
      <c r="T90" s="281"/>
      <c r="U90" s="281"/>
      <c r="V90" s="281"/>
      <c r="W90" s="97"/>
      <c r="X90" s="85"/>
      <c r="Y90" s="359"/>
      <c r="Z90" s="420"/>
    </row>
    <row r="91" spans="1:61" ht="27" customHeight="1">
      <c r="A91" s="418"/>
      <c r="B91" s="280" t="s">
        <v>484</v>
      </c>
      <c r="C91" s="280"/>
      <c r="D91" s="318"/>
      <c r="E91" s="318"/>
      <c r="F91" s="280"/>
      <c r="G91" s="280"/>
      <c r="H91" s="374"/>
      <c r="I91" s="36"/>
      <c r="J91" s="36"/>
      <c r="K91" s="36"/>
      <c r="L91" s="36"/>
      <c r="M91" s="97"/>
      <c r="N91" s="97"/>
      <c r="O91" s="97"/>
      <c r="P91" s="97"/>
      <c r="Q91" s="97"/>
      <c r="R91" s="281"/>
      <c r="S91" s="281"/>
      <c r="T91" s="281"/>
      <c r="U91" s="281"/>
      <c r="V91" s="281"/>
      <c r="W91" s="97"/>
      <c r="X91" s="85"/>
      <c r="Y91" s="359"/>
      <c r="Z91" s="420"/>
    </row>
    <row r="92" spans="1:61" ht="60" customHeight="1">
      <c r="A92" s="415" t="s">
        <v>620</v>
      </c>
      <c r="B92" s="280" t="s">
        <v>557</v>
      </c>
      <c r="C92" s="280">
        <v>176</v>
      </c>
      <c r="D92" s="318" t="s">
        <v>554</v>
      </c>
      <c r="E92" s="318" t="s">
        <v>555</v>
      </c>
      <c r="F92" s="280" t="s">
        <v>490</v>
      </c>
      <c r="G92" s="280">
        <v>414</v>
      </c>
      <c r="H92" s="36" t="e">
        <f>H18+H58</f>
        <v>#REF!</v>
      </c>
      <c r="I92" s="36" t="e">
        <f>I18+I58</f>
        <v>#REF!</v>
      </c>
      <c r="J92" s="36" t="e">
        <f>J18+J58</f>
        <v>#REF!</v>
      </c>
      <c r="K92" s="36" t="e">
        <f>K18+K58</f>
        <v>#REF!</v>
      </c>
      <c r="L92" s="36" t="e">
        <f>L18+L58</f>
        <v>#REF!</v>
      </c>
      <c r="M92" s="97">
        <f>M94+M96+M98+M99</f>
        <v>1321746.32</v>
      </c>
      <c r="N92" s="97">
        <f t="shared" ref="N92:Q92" si="8">N94+N96+N98+N99</f>
        <v>87614.3</v>
      </c>
      <c r="O92" s="97">
        <f t="shared" si="8"/>
        <v>125592.71999999999</v>
      </c>
      <c r="P92" s="97">
        <f t="shared" si="8"/>
        <v>241343.5</v>
      </c>
      <c r="Q92" s="97">
        <f t="shared" si="8"/>
        <v>867195.79999999993</v>
      </c>
      <c r="R92" s="281">
        <f>R93+R94+R95+R96+R97+R98+R99</f>
        <v>2970654.3</v>
      </c>
      <c r="S92" s="281">
        <f t="shared" ref="S92:X92" si="9">S93+S94+S95+S96+S97+S98+S99</f>
        <v>5955.2</v>
      </c>
      <c r="T92" s="281">
        <f t="shared" si="9"/>
        <v>126826.60122000001</v>
      </c>
      <c r="U92" s="281">
        <f t="shared" si="9"/>
        <v>674625.68761000002</v>
      </c>
      <c r="V92" s="281">
        <f t="shared" si="9"/>
        <v>2163246.8111699997</v>
      </c>
      <c r="W92" s="281">
        <f t="shared" si="9"/>
        <v>6565219.8300000001</v>
      </c>
      <c r="X92" s="281">
        <f t="shared" si="9"/>
        <v>12380686.370000001</v>
      </c>
      <c r="Y92" s="293"/>
      <c r="Z92" s="294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8"/>
    </row>
    <row r="93" spans="1:61" ht="23.25" customHeight="1">
      <c r="A93" s="416"/>
      <c r="B93" s="12" t="s">
        <v>10</v>
      </c>
      <c r="C93" s="12">
        <v>176</v>
      </c>
      <c r="D93" s="178" t="s">
        <v>554</v>
      </c>
      <c r="E93" s="178" t="s">
        <v>555</v>
      </c>
      <c r="F93" s="12" t="s">
        <v>598</v>
      </c>
      <c r="G93" s="12">
        <v>414</v>
      </c>
      <c r="H93" s="7"/>
      <c r="I93" s="7"/>
      <c r="J93" s="7"/>
      <c r="K93" s="7"/>
      <c r="L93" s="7"/>
      <c r="M93" s="90"/>
      <c r="N93" s="90"/>
      <c r="O93" s="90"/>
      <c r="P93" s="90"/>
      <c r="Q93" s="90"/>
      <c r="R93" s="113">
        <f t="shared" ref="R93:X93" si="10">R21</f>
        <v>107469.5</v>
      </c>
      <c r="S93" s="113">
        <f t="shared" si="10"/>
        <v>0</v>
      </c>
      <c r="T93" s="113">
        <f t="shared" si="10"/>
        <v>0</v>
      </c>
      <c r="U93" s="113">
        <f t="shared" si="10"/>
        <v>22433.199999999997</v>
      </c>
      <c r="V93" s="113">
        <f t="shared" si="10"/>
        <v>85036.299999999988</v>
      </c>
      <c r="W93" s="113">
        <f t="shared" si="10"/>
        <v>200000</v>
      </c>
      <c r="X93" s="113">
        <f t="shared" si="10"/>
        <v>258000</v>
      </c>
      <c r="Y93" s="32"/>
      <c r="Z93" s="32"/>
    </row>
    <row r="94" spans="1:61" ht="30" customHeight="1">
      <c r="A94" s="416"/>
      <c r="B94" s="12" t="s">
        <v>10</v>
      </c>
      <c r="C94" s="12">
        <v>176</v>
      </c>
      <c r="D94" s="178" t="s">
        <v>554</v>
      </c>
      <c r="E94" s="178" t="s">
        <v>555</v>
      </c>
      <c r="F94" s="12">
        <v>6100004040</v>
      </c>
      <c r="G94" s="12">
        <v>414</v>
      </c>
      <c r="H94" s="7" t="e">
        <f>H21</f>
        <v>#REF!</v>
      </c>
      <c r="I94" s="7" t="e">
        <f>I21</f>
        <v>#REF!</v>
      </c>
      <c r="J94" s="7" t="e">
        <f>J21</f>
        <v>#REF!</v>
      </c>
      <c r="K94" s="7" t="e">
        <f>K21</f>
        <v>#REF!</v>
      </c>
      <c r="L94" s="7" t="e">
        <f>L21</f>
        <v>#REF!</v>
      </c>
      <c r="M94" s="90">
        <f>M21+M74</f>
        <v>696311.52</v>
      </c>
      <c r="N94" s="90">
        <f>N21+N74</f>
        <v>87614.3</v>
      </c>
      <c r="O94" s="90">
        <f>O21+O74</f>
        <v>125592.71999999999</v>
      </c>
      <c r="P94" s="90">
        <f>P21+P74</f>
        <v>111995</v>
      </c>
      <c r="Q94" s="90">
        <f>Q21+Q74</f>
        <v>371109.5</v>
      </c>
      <c r="R94" s="113">
        <f>R20+R74</f>
        <v>2049089</v>
      </c>
      <c r="S94" s="113">
        <f>S20+S74</f>
        <v>5955.2</v>
      </c>
      <c r="T94" s="113">
        <f>T20+T74</f>
        <v>96826.601220000011</v>
      </c>
      <c r="U94" s="113">
        <f>U20+U74</f>
        <v>520386.58760999999</v>
      </c>
      <c r="V94" s="113">
        <f>V20+V74</f>
        <v>1425920.6111699999</v>
      </c>
      <c r="W94" s="113">
        <f>W20+W74+W88</f>
        <v>3558619.8</v>
      </c>
      <c r="X94" s="113">
        <f>X20+X74+X88</f>
        <v>1004475.3</v>
      </c>
      <c r="Y94" s="32"/>
      <c r="Z94" s="315"/>
    </row>
    <row r="95" spans="1:61" ht="30" customHeight="1">
      <c r="A95" s="416"/>
      <c r="B95" s="12" t="s">
        <v>664</v>
      </c>
      <c r="C95" s="12">
        <v>176</v>
      </c>
      <c r="D95" s="178" t="s">
        <v>554</v>
      </c>
      <c r="E95" s="178" t="s">
        <v>555</v>
      </c>
      <c r="F95" s="12">
        <v>6100053902</v>
      </c>
      <c r="G95" s="12">
        <v>414</v>
      </c>
      <c r="H95" s="7"/>
      <c r="I95" s="7"/>
      <c r="J95" s="7"/>
      <c r="K95" s="7"/>
      <c r="L95" s="7"/>
      <c r="M95" s="90"/>
      <c r="N95" s="90"/>
      <c r="O95" s="90"/>
      <c r="P95" s="90"/>
      <c r="Q95" s="90"/>
      <c r="R95" s="113">
        <f t="shared" ref="R95:X95" si="11">R24</f>
        <v>205825.90000000002</v>
      </c>
      <c r="S95" s="113">
        <f t="shared" si="11"/>
        <v>0</v>
      </c>
      <c r="T95" s="113">
        <f t="shared" si="11"/>
        <v>30000</v>
      </c>
      <c r="U95" s="113">
        <f t="shared" si="11"/>
        <v>110000</v>
      </c>
      <c r="V95" s="113">
        <f t="shared" si="11"/>
        <v>65825.900000000009</v>
      </c>
      <c r="W95" s="90">
        <f t="shared" si="11"/>
        <v>338950</v>
      </c>
      <c r="X95" s="90">
        <f t="shared" si="11"/>
        <v>0</v>
      </c>
      <c r="Y95" s="32"/>
      <c r="Z95" s="32"/>
    </row>
    <row r="96" spans="1:61" ht="32.25" customHeight="1">
      <c r="A96" s="416"/>
      <c r="B96" s="12" t="s">
        <v>665</v>
      </c>
      <c r="C96" s="12">
        <v>176</v>
      </c>
      <c r="D96" s="178" t="s">
        <v>554</v>
      </c>
      <c r="E96" s="178" t="s">
        <v>555</v>
      </c>
      <c r="F96" s="12" t="s">
        <v>598</v>
      </c>
      <c r="G96" s="12">
        <v>414</v>
      </c>
      <c r="H96" s="7" t="e">
        <f>H22</f>
        <v>#REF!</v>
      </c>
      <c r="I96" s="7" t="e">
        <f>I22</f>
        <v>#REF!</v>
      </c>
      <c r="J96" s="7" t="e">
        <f>J22</f>
        <v>#REF!</v>
      </c>
      <c r="K96" s="7" t="e">
        <f>K22</f>
        <v>#REF!</v>
      </c>
      <c r="L96" s="7" t="e">
        <f>L22</f>
        <v>#REF!</v>
      </c>
      <c r="M96" s="90">
        <f>M22+M75</f>
        <v>625434.80000000005</v>
      </c>
      <c r="N96" s="90"/>
      <c r="O96" s="90"/>
      <c r="P96" s="90">
        <f>P22+P75</f>
        <v>129348.5</v>
      </c>
      <c r="Q96" s="90">
        <f>Q22+Q75</f>
        <v>496086.29999999993</v>
      </c>
      <c r="R96" s="113">
        <f t="shared" ref="R96:X96" si="12">R22</f>
        <v>128269.9</v>
      </c>
      <c r="S96" s="113">
        <f t="shared" si="12"/>
        <v>0</v>
      </c>
      <c r="T96" s="113">
        <f t="shared" si="12"/>
        <v>0</v>
      </c>
      <c r="U96" s="113">
        <f t="shared" si="12"/>
        <v>21805.9</v>
      </c>
      <c r="V96" s="113">
        <f t="shared" si="12"/>
        <v>106464</v>
      </c>
      <c r="W96" s="113">
        <f t="shared" si="12"/>
        <v>112790.03</v>
      </c>
      <c r="X96" s="113">
        <f t="shared" si="12"/>
        <v>117541.07</v>
      </c>
      <c r="Y96" s="32"/>
      <c r="Z96" s="315"/>
    </row>
    <row r="97" spans="1:27" ht="32.25" customHeight="1">
      <c r="A97" s="416"/>
      <c r="B97" s="12" t="s">
        <v>494</v>
      </c>
      <c r="C97" s="12">
        <v>176</v>
      </c>
      <c r="D97" s="178" t="s">
        <v>554</v>
      </c>
      <c r="E97" s="178" t="s">
        <v>555</v>
      </c>
      <c r="F97" s="12" t="s">
        <v>312</v>
      </c>
      <c r="G97" s="12">
        <v>415</v>
      </c>
      <c r="H97" s="7"/>
      <c r="I97" s="7"/>
      <c r="J97" s="7"/>
      <c r="K97" s="7"/>
      <c r="L97" s="7"/>
      <c r="M97" s="90"/>
      <c r="N97" s="90"/>
      <c r="O97" s="90"/>
      <c r="P97" s="90"/>
      <c r="Q97" s="90"/>
      <c r="R97" s="113">
        <f t="shared" ref="R97:X97" si="13">R82</f>
        <v>400000</v>
      </c>
      <c r="S97" s="113">
        <f t="shared" si="13"/>
        <v>0</v>
      </c>
      <c r="T97" s="113">
        <f t="shared" si="13"/>
        <v>0</v>
      </c>
      <c r="U97" s="113">
        <f t="shared" si="13"/>
        <v>0</v>
      </c>
      <c r="V97" s="113">
        <f t="shared" si="13"/>
        <v>400000</v>
      </c>
      <c r="W97" s="113">
        <f t="shared" si="13"/>
        <v>1789200</v>
      </c>
      <c r="X97" s="113">
        <f t="shared" si="13"/>
        <v>8358200</v>
      </c>
      <c r="Y97" s="315"/>
      <c r="Z97" s="32"/>
    </row>
    <row r="98" spans="1:27" ht="32.25" customHeight="1">
      <c r="A98" s="416"/>
      <c r="B98" s="12" t="s">
        <v>462</v>
      </c>
      <c r="C98" s="12"/>
      <c r="D98" s="178"/>
      <c r="E98" s="178"/>
      <c r="F98" s="12"/>
      <c r="G98" s="12"/>
      <c r="H98" s="7">
        <f>H25</f>
        <v>0</v>
      </c>
      <c r="I98" s="7">
        <v>0</v>
      </c>
      <c r="J98" s="7">
        <v>0</v>
      </c>
      <c r="K98" s="7">
        <v>0</v>
      </c>
      <c r="L98" s="7">
        <v>0</v>
      </c>
      <c r="M98" s="90"/>
      <c r="N98" s="90"/>
      <c r="O98" s="90"/>
      <c r="P98" s="90"/>
      <c r="Q98" s="90"/>
      <c r="R98" s="113"/>
      <c r="S98" s="113"/>
      <c r="T98" s="113"/>
      <c r="U98" s="113"/>
      <c r="V98" s="113"/>
      <c r="W98" s="90"/>
      <c r="X98" s="90"/>
      <c r="Y98" s="32"/>
      <c r="Z98" s="32"/>
      <c r="AA98" s="99"/>
    </row>
    <row r="99" spans="1:27" ht="28.5" customHeight="1">
      <c r="A99" s="417"/>
      <c r="B99" s="12" t="s">
        <v>484</v>
      </c>
      <c r="C99" s="12"/>
      <c r="D99" s="178"/>
      <c r="E99" s="178"/>
      <c r="F99" s="12"/>
      <c r="G99" s="12"/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90"/>
      <c r="N99" s="90"/>
      <c r="O99" s="90"/>
      <c r="P99" s="90"/>
      <c r="Q99" s="90"/>
      <c r="R99" s="113">
        <f t="shared" ref="R99:X99" si="14">R77</f>
        <v>80000</v>
      </c>
      <c r="S99" s="113">
        <f t="shared" si="14"/>
        <v>0</v>
      </c>
      <c r="T99" s="113">
        <f t="shared" si="14"/>
        <v>0</v>
      </c>
      <c r="U99" s="113">
        <f t="shared" si="14"/>
        <v>0</v>
      </c>
      <c r="V99" s="113">
        <f t="shared" si="14"/>
        <v>80000</v>
      </c>
      <c r="W99" s="113">
        <f t="shared" si="14"/>
        <v>565660</v>
      </c>
      <c r="X99" s="113">
        <f t="shared" si="14"/>
        <v>2642470</v>
      </c>
      <c r="Y99" s="32"/>
      <c r="Z99" s="32"/>
    </row>
    <row r="100" spans="1:27" hidden="1">
      <c r="A100" s="3"/>
      <c r="B100" s="62"/>
      <c r="C100" s="62"/>
      <c r="D100" s="316"/>
      <c r="E100" s="62"/>
      <c r="F100" s="62"/>
      <c r="G100" s="62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114"/>
      <c r="S100" s="114"/>
      <c r="T100" s="114"/>
      <c r="U100" s="114"/>
      <c r="V100" s="114"/>
      <c r="W100" s="31"/>
      <c r="X100" s="31"/>
      <c r="Y100" s="62"/>
      <c r="Z100" s="62"/>
    </row>
    <row r="101" spans="1:27" ht="27.75" customHeight="1">
      <c r="A101" s="409" t="s">
        <v>409</v>
      </c>
      <c r="B101" s="409"/>
      <c r="C101" s="409"/>
      <c r="D101" s="409"/>
      <c r="E101" s="409"/>
      <c r="F101" s="409"/>
      <c r="G101" s="409"/>
      <c r="H101" s="409"/>
      <c r="I101" s="409"/>
      <c r="J101" s="409"/>
      <c r="K101" s="409"/>
      <c r="L101" s="409"/>
      <c r="M101" s="409"/>
      <c r="N101" s="409"/>
      <c r="O101" s="409"/>
      <c r="P101" s="409"/>
      <c r="Q101" s="409"/>
      <c r="R101" s="409"/>
      <c r="S101" s="409"/>
      <c r="T101" s="409"/>
      <c r="U101" s="409"/>
      <c r="V101" s="409"/>
      <c r="W101" s="409"/>
      <c r="X101" s="409"/>
      <c r="Y101" s="409"/>
      <c r="Z101" s="409"/>
      <c r="AA101" s="99"/>
    </row>
    <row r="102" spans="1:27" ht="32.25" customHeight="1">
      <c r="A102" s="410" t="s">
        <v>216</v>
      </c>
      <c r="B102" s="12" t="s">
        <v>316</v>
      </c>
      <c r="C102" s="12"/>
      <c r="D102" s="178"/>
      <c r="E102" s="178"/>
      <c r="F102" s="12"/>
      <c r="G102" s="12"/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59"/>
      <c r="N102" s="59"/>
      <c r="O102" s="59"/>
      <c r="P102" s="59"/>
      <c r="Q102" s="59"/>
      <c r="R102" s="111"/>
      <c r="S102" s="111"/>
      <c r="T102" s="111"/>
      <c r="U102" s="111"/>
      <c r="V102" s="111"/>
      <c r="W102" s="59"/>
      <c r="X102" s="59"/>
      <c r="Y102" s="395" t="s">
        <v>26</v>
      </c>
      <c r="Z102" s="401" t="s">
        <v>214</v>
      </c>
    </row>
    <row r="103" spans="1:27" ht="42" customHeight="1">
      <c r="A103" s="411"/>
      <c r="B103" s="12" t="s">
        <v>24</v>
      </c>
      <c r="C103" s="12"/>
      <c r="D103" s="178"/>
      <c r="E103" s="178"/>
      <c r="F103" s="12"/>
      <c r="G103" s="12"/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59"/>
      <c r="N103" s="59"/>
      <c r="O103" s="59"/>
      <c r="P103" s="59"/>
      <c r="Q103" s="59"/>
      <c r="R103" s="111"/>
      <c r="S103" s="111"/>
      <c r="T103" s="111"/>
      <c r="U103" s="111"/>
      <c r="V103" s="111"/>
      <c r="W103" s="59"/>
      <c r="X103" s="59"/>
      <c r="Y103" s="396"/>
      <c r="Z103" s="402"/>
    </row>
    <row r="104" spans="1:27" ht="30.75" customHeight="1">
      <c r="A104" s="411"/>
      <c r="B104" s="12" t="s">
        <v>25</v>
      </c>
      <c r="C104" s="12">
        <v>176</v>
      </c>
      <c r="D104" s="178" t="s">
        <v>554</v>
      </c>
      <c r="E104" s="178" t="s">
        <v>555</v>
      </c>
      <c r="F104" s="12" t="s">
        <v>490</v>
      </c>
      <c r="G104" s="12" t="s">
        <v>28</v>
      </c>
      <c r="H104" s="13" t="e">
        <f>H106+H107</f>
        <v>#REF!</v>
      </c>
      <c r="I104" s="13" t="e">
        <f t="shared" ref="I104:Q104" si="15">I106</f>
        <v>#REF!</v>
      </c>
      <c r="J104" s="13" t="e">
        <f t="shared" si="15"/>
        <v>#REF!</v>
      </c>
      <c r="K104" s="13" t="e">
        <f t="shared" si="15"/>
        <v>#REF!</v>
      </c>
      <c r="L104" s="13" t="e">
        <f t="shared" si="15"/>
        <v>#REF!</v>
      </c>
      <c r="M104" s="59">
        <f t="shared" si="15"/>
        <v>4454692.5</v>
      </c>
      <c r="N104" s="59">
        <f t="shared" si="15"/>
        <v>1322372.040052972</v>
      </c>
      <c r="O104" s="59">
        <f t="shared" si="15"/>
        <v>1292083.1418098353</v>
      </c>
      <c r="P104" s="59">
        <f t="shared" si="15"/>
        <v>925207.47503846127</v>
      </c>
      <c r="Q104" s="59">
        <f t="shared" si="15"/>
        <v>870169.11934749829</v>
      </c>
      <c r="R104" s="59">
        <f>SUM(R106:R107)</f>
        <v>5738554.9377299994</v>
      </c>
      <c r="S104" s="59">
        <f t="shared" ref="S104:V104" si="16">SUM(S106:S107)</f>
        <v>606845.66700000002</v>
      </c>
      <c r="T104" s="59">
        <f t="shared" si="16"/>
        <v>815045.79800000007</v>
      </c>
      <c r="U104" s="59">
        <f t="shared" si="16"/>
        <v>2666626.6580000003</v>
      </c>
      <c r="V104" s="59">
        <f t="shared" si="16"/>
        <v>1650036.8147299998</v>
      </c>
      <c r="W104" s="59">
        <f>SUM(W106:W107)</f>
        <v>4619366.2</v>
      </c>
      <c r="X104" s="59">
        <f t="shared" ref="X104" si="17">SUM(X106:X107)</f>
        <v>4691287.6000000006</v>
      </c>
      <c r="Y104" s="396"/>
      <c r="Z104" s="402"/>
    </row>
    <row r="105" spans="1:27" ht="19.5" customHeight="1">
      <c r="A105" s="411"/>
      <c r="B105" s="12" t="s">
        <v>9</v>
      </c>
      <c r="C105" s="12"/>
      <c r="D105" s="178"/>
      <c r="E105" s="178"/>
      <c r="F105" s="12"/>
      <c r="G105" s="12"/>
      <c r="H105" s="13"/>
      <c r="I105" s="13"/>
      <c r="J105" s="13"/>
      <c r="K105" s="13"/>
      <c r="L105" s="13"/>
      <c r="M105" s="59"/>
      <c r="N105" s="59"/>
      <c r="O105" s="59"/>
      <c r="P105" s="59"/>
      <c r="Q105" s="59"/>
      <c r="R105" s="59"/>
      <c r="S105" s="111"/>
      <c r="T105" s="111"/>
      <c r="U105" s="111"/>
      <c r="V105" s="111"/>
      <c r="W105" s="59"/>
      <c r="X105" s="59"/>
      <c r="Y105" s="396"/>
      <c r="Z105" s="402"/>
    </row>
    <row r="106" spans="1:27" ht="33.75" customHeight="1">
      <c r="A106" s="411"/>
      <c r="B106" s="12" t="s">
        <v>10</v>
      </c>
      <c r="C106" s="12">
        <v>176</v>
      </c>
      <c r="D106" s="178" t="s">
        <v>554</v>
      </c>
      <c r="E106" s="178" t="s">
        <v>555</v>
      </c>
      <c r="F106" s="12">
        <v>6100004040</v>
      </c>
      <c r="G106" s="12" t="s">
        <v>28</v>
      </c>
      <c r="H106" s="13" t="e">
        <f>H115+H157+H209+H263+H271+H279+H304+H326</f>
        <v>#REF!</v>
      </c>
      <c r="I106" s="13" t="e">
        <f t="shared" ref="I106:X106" si="18">I115+I159+I209+I263+I271+I279+I304+I326</f>
        <v>#REF!</v>
      </c>
      <c r="J106" s="13" t="e">
        <f t="shared" si="18"/>
        <v>#REF!</v>
      </c>
      <c r="K106" s="13" t="e">
        <f t="shared" si="18"/>
        <v>#REF!</v>
      </c>
      <c r="L106" s="13" t="e">
        <f t="shared" si="18"/>
        <v>#REF!</v>
      </c>
      <c r="M106" s="59">
        <f t="shared" si="18"/>
        <v>4454692.5</v>
      </c>
      <c r="N106" s="59">
        <f t="shared" si="18"/>
        <v>1322372.040052972</v>
      </c>
      <c r="O106" s="59">
        <f t="shared" si="18"/>
        <v>1292083.1418098353</v>
      </c>
      <c r="P106" s="59">
        <f t="shared" si="18"/>
        <v>925207.47503846127</v>
      </c>
      <c r="Q106" s="59">
        <f t="shared" si="18"/>
        <v>870169.11934749829</v>
      </c>
      <c r="R106" s="59">
        <f t="shared" si="18"/>
        <v>5546396.9377299994</v>
      </c>
      <c r="S106" s="111">
        <f t="shared" si="18"/>
        <v>606845.66700000002</v>
      </c>
      <c r="T106" s="111">
        <f t="shared" si="18"/>
        <v>800728.89800000004</v>
      </c>
      <c r="U106" s="111">
        <f t="shared" si="18"/>
        <v>2503785.5580000002</v>
      </c>
      <c r="V106" s="111">
        <f t="shared" si="18"/>
        <v>1635036.8147299998</v>
      </c>
      <c r="W106" s="59">
        <f t="shared" si="18"/>
        <v>4558316.2</v>
      </c>
      <c r="X106" s="59">
        <f t="shared" si="18"/>
        <v>4691287.6000000006</v>
      </c>
      <c r="Y106" s="396"/>
      <c r="Z106" s="402"/>
    </row>
    <row r="107" spans="1:27" ht="35.25" customHeight="1">
      <c r="A107" s="411"/>
      <c r="B107" s="12" t="s">
        <v>427</v>
      </c>
      <c r="C107" s="12">
        <v>176</v>
      </c>
      <c r="D107" s="178" t="s">
        <v>554</v>
      </c>
      <c r="E107" s="178" t="s">
        <v>555</v>
      </c>
      <c r="F107" s="12">
        <v>6100053902</v>
      </c>
      <c r="G107" s="12" t="s">
        <v>28</v>
      </c>
      <c r="H107" s="13">
        <f>H116+H210</f>
        <v>457365.1</v>
      </c>
      <c r="I107" s="13">
        <v>0</v>
      </c>
      <c r="J107" s="13" t="e">
        <f>J116+J210</f>
        <v>#REF!</v>
      </c>
      <c r="K107" s="13" t="e">
        <f>K116+K210</f>
        <v>#REF!</v>
      </c>
      <c r="L107" s="13">
        <f>L116+L210</f>
        <v>0</v>
      </c>
      <c r="M107" s="92">
        <v>0</v>
      </c>
      <c r="N107" s="92"/>
      <c r="O107" s="92"/>
      <c r="P107" s="92"/>
      <c r="Q107" s="92"/>
      <c r="R107" s="111">
        <f t="shared" ref="R107:X107" si="19">R116+R160+R210</f>
        <v>192158</v>
      </c>
      <c r="S107" s="111">
        <f t="shared" si="19"/>
        <v>0</v>
      </c>
      <c r="T107" s="111">
        <f t="shared" si="19"/>
        <v>14316.9</v>
      </c>
      <c r="U107" s="111">
        <f t="shared" si="19"/>
        <v>162841.1</v>
      </c>
      <c r="V107" s="111">
        <f t="shared" si="19"/>
        <v>15000</v>
      </c>
      <c r="W107" s="111">
        <f t="shared" si="19"/>
        <v>61050</v>
      </c>
      <c r="X107" s="111">
        <f t="shared" si="19"/>
        <v>0</v>
      </c>
      <c r="Y107" s="38"/>
      <c r="Z107" s="402"/>
    </row>
    <row r="108" spans="1:27" ht="33.75" customHeight="1">
      <c r="A108" s="411"/>
      <c r="B108" s="12" t="s">
        <v>462</v>
      </c>
      <c r="C108" s="12"/>
      <c r="D108" s="178"/>
      <c r="E108" s="178"/>
      <c r="F108" s="12"/>
      <c r="G108" s="12"/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92">
        <v>0</v>
      </c>
      <c r="N108" s="92"/>
      <c r="O108" s="92"/>
      <c r="P108" s="92"/>
      <c r="Q108" s="92"/>
      <c r="R108" s="115">
        <v>0</v>
      </c>
      <c r="S108" s="115"/>
      <c r="T108" s="115"/>
      <c r="U108" s="115"/>
      <c r="V108" s="115"/>
      <c r="W108" s="92">
        <v>0</v>
      </c>
      <c r="X108" s="92"/>
      <c r="Y108" s="38"/>
      <c r="Z108" s="402"/>
    </row>
    <row r="109" spans="1:27" ht="30" customHeight="1">
      <c r="A109" s="446"/>
      <c r="B109" s="12" t="s">
        <v>484</v>
      </c>
      <c r="C109" s="12"/>
      <c r="D109" s="178"/>
      <c r="E109" s="178"/>
      <c r="F109" s="12"/>
      <c r="G109" s="12"/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92">
        <v>0</v>
      </c>
      <c r="N109" s="92"/>
      <c r="O109" s="92"/>
      <c r="P109" s="92"/>
      <c r="Q109" s="92"/>
      <c r="R109" s="115">
        <v>0</v>
      </c>
      <c r="S109" s="115"/>
      <c r="T109" s="115"/>
      <c r="U109" s="115"/>
      <c r="V109" s="115"/>
      <c r="W109" s="92">
        <v>0</v>
      </c>
      <c r="X109" s="92"/>
      <c r="Y109" s="49"/>
      <c r="Z109" s="49"/>
    </row>
    <row r="110" spans="1:27" hidden="1">
      <c r="A110" s="19" t="s">
        <v>30</v>
      </c>
      <c r="B110" s="20"/>
      <c r="C110" s="62"/>
      <c r="D110" s="317"/>
      <c r="E110" s="317"/>
      <c r="F110" s="62"/>
      <c r="G110" s="62"/>
      <c r="H110" s="31"/>
      <c r="I110" s="31"/>
      <c r="J110" s="31"/>
      <c r="K110" s="31"/>
      <c r="L110" s="31"/>
      <c r="M110" s="86"/>
      <c r="N110" s="86"/>
      <c r="O110" s="86"/>
      <c r="P110" s="86"/>
      <c r="Q110" s="86"/>
      <c r="R110" s="112"/>
      <c r="S110" s="112"/>
      <c r="T110" s="112"/>
      <c r="U110" s="112"/>
      <c r="V110" s="112"/>
      <c r="W110" s="86"/>
      <c r="X110" s="86"/>
      <c r="Y110" s="62"/>
      <c r="Z110" s="62"/>
    </row>
    <row r="111" spans="1:27" ht="26.25" customHeight="1">
      <c r="A111" s="447" t="s">
        <v>527</v>
      </c>
      <c r="B111" s="21" t="s">
        <v>89</v>
      </c>
      <c r="C111" s="12"/>
      <c r="D111" s="178"/>
      <c r="E111" s="178"/>
      <c r="F111" s="12"/>
      <c r="G111" s="12"/>
      <c r="H111" s="33" t="e">
        <f>L111</f>
        <v>#REF!</v>
      </c>
      <c r="I111" s="33"/>
      <c r="J111" s="33"/>
      <c r="K111" s="33"/>
      <c r="L111" s="33" t="e">
        <f>#REF!</f>
        <v>#REF!</v>
      </c>
      <c r="M111" s="59">
        <f>'Подробный перечень'!L449</f>
        <v>17.094999999999999</v>
      </c>
      <c r="N111" s="59"/>
      <c r="O111" s="59"/>
      <c r="P111" s="59"/>
      <c r="Q111" s="59"/>
      <c r="R111" s="111">
        <f>'Подробный перечень'!Q449</f>
        <v>18.730999999999998</v>
      </c>
      <c r="S111" s="111"/>
      <c r="T111" s="111"/>
      <c r="U111" s="111">
        <f>'Подробный перечень'!$T$449</f>
        <v>11.153</v>
      </c>
      <c r="V111" s="111">
        <f>'Подробный перечень'!$U$449</f>
        <v>7.5299999999999994</v>
      </c>
      <c r="W111" s="59">
        <f>'Подробный перечень'!V449</f>
        <v>7.36</v>
      </c>
      <c r="X111" s="59">
        <f>'Подробный перечень'!W449</f>
        <v>4.9000000000000004</v>
      </c>
      <c r="Y111" s="395" t="s">
        <v>26</v>
      </c>
      <c r="Z111" s="401" t="s">
        <v>303</v>
      </c>
    </row>
    <row r="112" spans="1:27" ht="39" customHeight="1">
      <c r="A112" s="448"/>
      <c r="B112" s="21" t="s">
        <v>660</v>
      </c>
      <c r="C112" s="12"/>
      <c r="D112" s="178"/>
      <c r="E112" s="178"/>
      <c r="F112" s="12"/>
      <c r="G112" s="12"/>
      <c r="H112" s="13" t="e">
        <f>H113/29.3</f>
        <v>#REF!</v>
      </c>
      <c r="I112" s="13"/>
      <c r="J112" s="13"/>
      <c r="K112" s="13"/>
      <c r="L112" s="13" t="e">
        <f>H112</f>
        <v>#REF!</v>
      </c>
      <c r="M112" s="59">
        <f>M113/22.9</f>
        <v>15116.781659388649</v>
      </c>
      <c r="N112" s="59"/>
      <c r="O112" s="59"/>
      <c r="P112" s="59"/>
      <c r="Q112" s="59"/>
      <c r="R112" s="111">
        <f>R113/R111</f>
        <v>46518.931756446538</v>
      </c>
      <c r="S112" s="111"/>
      <c r="T112" s="111"/>
      <c r="U112" s="111"/>
      <c r="V112" s="111"/>
      <c r="W112" s="111">
        <f t="shared" ref="W112:X112" si="20">W113/W111</f>
        <v>26359.891304347824</v>
      </c>
      <c r="X112" s="111">
        <f t="shared" si="20"/>
        <v>34114.244897959179</v>
      </c>
      <c r="Y112" s="396"/>
      <c r="Z112" s="402"/>
    </row>
    <row r="113" spans="1:31" ht="29.25" customHeight="1">
      <c r="A113" s="448"/>
      <c r="B113" s="21" t="s">
        <v>25</v>
      </c>
      <c r="C113" s="12">
        <v>176</v>
      </c>
      <c r="D113" s="178" t="s">
        <v>554</v>
      </c>
      <c r="E113" s="178" t="s">
        <v>555</v>
      </c>
      <c r="F113" s="12" t="s">
        <v>490</v>
      </c>
      <c r="G113" s="12">
        <v>243</v>
      </c>
      <c r="H113" s="13" t="e">
        <f>H115+H116</f>
        <v>#REF!</v>
      </c>
      <c r="I113" s="13" t="e">
        <f t="shared" ref="I113:V113" si="21">I115+I116</f>
        <v>#REF!</v>
      </c>
      <c r="J113" s="13" t="e">
        <f t="shared" si="21"/>
        <v>#REF!</v>
      </c>
      <c r="K113" s="13" t="e">
        <f t="shared" si="21"/>
        <v>#REF!</v>
      </c>
      <c r="L113" s="13" t="e">
        <f t="shared" si="21"/>
        <v>#REF!</v>
      </c>
      <c r="M113" s="59">
        <f t="shared" si="21"/>
        <v>346174.30000000005</v>
      </c>
      <c r="N113" s="59">
        <f t="shared" si="21"/>
        <v>152906.30000000002</v>
      </c>
      <c r="O113" s="59">
        <f t="shared" si="21"/>
        <v>8872</v>
      </c>
      <c r="P113" s="59">
        <f t="shared" si="21"/>
        <v>102366.3</v>
      </c>
      <c r="Q113" s="59">
        <f t="shared" si="21"/>
        <v>37169</v>
      </c>
      <c r="R113" s="111">
        <f t="shared" si="21"/>
        <v>871346.11073000007</v>
      </c>
      <c r="S113" s="111">
        <f t="shared" si="21"/>
        <v>45965</v>
      </c>
      <c r="T113" s="111">
        <f t="shared" si="21"/>
        <v>25950</v>
      </c>
      <c r="U113" s="111">
        <f t="shared" si="21"/>
        <v>606258.90000000014</v>
      </c>
      <c r="V113" s="111">
        <f t="shared" si="21"/>
        <v>193172.21073000002</v>
      </c>
      <c r="W113" s="59">
        <f>W115+W116</f>
        <v>194008.8</v>
      </c>
      <c r="X113" s="59">
        <f>X115+X116</f>
        <v>167159.79999999999</v>
      </c>
      <c r="Y113" s="396"/>
      <c r="Z113" s="402"/>
    </row>
    <row r="114" spans="1:31">
      <c r="A114" s="448"/>
      <c r="B114" s="12" t="s">
        <v>9</v>
      </c>
      <c r="C114" s="12"/>
      <c r="D114" s="178"/>
      <c r="E114" s="178"/>
      <c r="F114" s="12"/>
      <c r="G114" s="12"/>
      <c r="H114" s="13"/>
      <c r="I114" s="13"/>
      <c r="J114" s="13"/>
      <c r="K114" s="13"/>
      <c r="L114" s="13"/>
      <c r="M114" s="59"/>
      <c r="N114" s="59"/>
      <c r="O114" s="59"/>
      <c r="P114" s="59"/>
      <c r="Q114" s="59"/>
      <c r="R114" s="111"/>
      <c r="S114" s="111"/>
      <c r="T114" s="111"/>
      <c r="U114" s="111"/>
      <c r="V114" s="111"/>
      <c r="W114" s="59"/>
      <c r="X114" s="59"/>
      <c r="Y114" s="38"/>
      <c r="Z114" s="402"/>
    </row>
    <row r="115" spans="1:31" ht="28.5" customHeight="1">
      <c r="A115" s="448"/>
      <c r="B115" s="12" t="s">
        <v>10</v>
      </c>
      <c r="C115" s="12">
        <v>176</v>
      </c>
      <c r="D115" s="178" t="s">
        <v>554</v>
      </c>
      <c r="E115" s="178" t="s">
        <v>555</v>
      </c>
      <c r="F115" s="12">
        <v>6100004040</v>
      </c>
      <c r="G115" s="12">
        <v>243</v>
      </c>
      <c r="H115" s="13" t="e">
        <f>H120+H121+H122+H123+H124+H125+H126+H127+H128+H129+H130+H131+H132+H133+H134+H135+H136+H137+H138+H141+H142+H143+H144+#REF!+H147+H148+H149+H150+H151+H152+H153+H154-H116</f>
        <v>#REF!</v>
      </c>
      <c r="I115" s="13" t="e">
        <f>SUM(I120:I154)</f>
        <v>#REF!</v>
      </c>
      <c r="J115" s="13" t="e">
        <f>SUM(J120:J154)-J116</f>
        <v>#REF!</v>
      </c>
      <c r="K115" s="13" t="e">
        <f>SUM(K120:K154)-K116</f>
        <v>#REF!</v>
      </c>
      <c r="L115" s="13" t="e">
        <f>#REF!</f>
        <v>#REF!</v>
      </c>
      <c r="M115" s="59">
        <f>'Подробный перечень'!$L$453</f>
        <v>346174.30000000005</v>
      </c>
      <c r="N115" s="59">
        <f>SUM(N120:N154)</f>
        <v>152906.30000000002</v>
      </c>
      <c r="O115" s="59">
        <f>SUM(O120:O154)</f>
        <v>8872</v>
      </c>
      <c r="P115" s="59">
        <f>SUM(P120:P154)</f>
        <v>102366.3</v>
      </c>
      <c r="Q115" s="59">
        <f>SUM(Q120:Q154)</f>
        <v>37169</v>
      </c>
      <c r="R115" s="111">
        <f>'Подробный перечень'!$Q$453</f>
        <v>734496.11073000007</v>
      </c>
      <c r="S115" s="111">
        <f>SUM(S120:S154)</f>
        <v>45965</v>
      </c>
      <c r="T115" s="111">
        <f>SUM(T120:T154)</f>
        <v>25950</v>
      </c>
      <c r="U115" s="111">
        <f>U125+U126+U127+U128+U129+U130+U133+U136+U137+U139+U143+U145+U148+U150+U151+U153</f>
        <v>484408.90000000008</v>
      </c>
      <c r="V115" s="111">
        <f>V126+V128+V129+V130+V131+V136+V137+V139+V145+V148+V150+V152+V153</f>
        <v>178172.21073000002</v>
      </c>
      <c r="W115" s="59">
        <f>W125+W126+W129+W131+W135+W136+W145+W153</f>
        <v>194008.8</v>
      </c>
      <c r="X115" s="59">
        <f>'Подробный перечень'!$W$453</f>
        <v>167159.79999999999</v>
      </c>
      <c r="Y115" s="38"/>
      <c r="Z115" s="402"/>
    </row>
    <row r="116" spans="1:31" ht="30" customHeight="1">
      <c r="A116" s="448"/>
      <c r="B116" s="12" t="s">
        <v>427</v>
      </c>
      <c r="C116" s="12">
        <v>176</v>
      </c>
      <c r="D116" s="178" t="s">
        <v>554</v>
      </c>
      <c r="E116" s="178" t="s">
        <v>555</v>
      </c>
      <c r="F116" s="12">
        <v>6100053902</v>
      </c>
      <c r="G116" s="12">
        <v>243</v>
      </c>
      <c r="H116" s="13">
        <v>45736.5</v>
      </c>
      <c r="I116" s="13"/>
      <c r="J116" s="13" t="e">
        <f>#REF!</f>
        <v>#REF!</v>
      </c>
      <c r="K116" s="13" t="e">
        <f>#REF!</f>
        <v>#REF!</v>
      </c>
      <c r="L116" s="13"/>
      <c r="M116" s="59"/>
      <c r="N116" s="59"/>
      <c r="O116" s="59"/>
      <c r="P116" s="59"/>
      <c r="Q116" s="59"/>
      <c r="R116" s="111">
        <f>'Подробный перечень'!$Q$454</f>
        <v>136850</v>
      </c>
      <c r="S116" s="111"/>
      <c r="T116" s="111"/>
      <c r="U116" s="111">
        <f>U140</f>
        <v>121850</v>
      </c>
      <c r="V116" s="111">
        <f>V140</f>
        <v>15000</v>
      </c>
      <c r="W116" s="59">
        <f>'Подробный перечень'!$V$454</f>
        <v>0</v>
      </c>
      <c r="X116" s="59">
        <f>'Подробный перечень'!$W$454</f>
        <v>0</v>
      </c>
      <c r="Y116" s="38"/>
      <c r="Z116" s="402"/>
      <c r="AA116" s="277">
        <f>R115</f>
        <v>734496.11073000007</v>
      </c>
      <c r="AB116" s="99">
        <f>W113</f>
        <v>194008.8</v>
      </c>
      <c r="AD116" s="99">
        <f>X113</f>
        <v>167159.79999999999</v>
      </c>
    </row>
    <row r="117" spans="1:31" ht="32.25" customHeight="1">
      <c r="A117" s="448"/>
      <c r="B117" s="12" t="s">
        <v>11</v>
      </c>
      <c r="C117" s="12"/>
      <c r="D117" s="178"/>
      <c r="E117" s="178"/>
      <c r="F117" s="12"/>
      <c r="G117" s="12"/>
      <c r="H117" s="13"/>
      <c r="I117" s="13"/>
      <c r="J117" s="13"/>
      <c r="K117" s="13"/>
      <c r="L117" s="13"/>
      <c r="M117" s="59"/>
      <c r="N117" s="59"/>
      <c r="O117" s="59"/>
      <c r="P117" s="59"/>
      <c r="Q117" s="59"/>
      <c r="R117" s="111"/>
      <c r="S117" s="111"/>
      <c r="T117" s="111"/>
      <c r="U117" s="111"/>
      <c r="V117" s="111"/>
      <c r="W117" s="59"/>
      <c r="X117" s="59"/>
      <c r="Y117" s="38"/>
      <c r="Z117" s="402"/>
      <c r="AA117" s="277">
        <f>R157</f>
        <v>419220.10000000003</v>
      </c>
      <c r="AB117" s="99">
        <f>W157</f>
        <v>287092.3</v>
      </c>
      <c r="AD117" s="99">
        <f>X157</f>
        <v>194495.2</v>
      </c>
    </row>
    <row r="118" spans="1:31" ht="31.9" customHeight="1">
      <c r="A118" s="449"/>
      <c r="B118" s="12" t="s">
        <v>484</v>
      </c>
      <c r="C118" s="12"/>
      <c r="D118" s="178"/>
      <c r="E118" s="178"/>
      <c r="F118" s="12"/>
      <c r="G118" s="12"/>
      <c r="H118" s="13"/>
      <c r="I118" s="13"/>
      <c r="J118" s="13"/>
      <c r="K118" s="13"/>
      <c r="L118" s="13"/>
      <c r="M118" s="59"/>
      <c r="N118" s="59"/>
      <c r="O118" s="59"/>
      <c r="P118" s="59"/>
      <c r="Q118" s="59"/>
      <c r="R118" s="111"/>
      <c r="S118" s="111"/>
      <c r="T118" s="111"/>
      <c r="U118" s="111"/>
      <c r="V118" s="111"/>
      <c r="W118" s="59"/>
      <c r="X118" s="59"/>
      <c r="Y118" s="49"/>
      <c r="Z118" s="402"/>
      <c r="AA118" s="277">
        <f>AA116+AA117</f>
        <v>1153716.2107300002</v>
      </c>
      <c r="AB118" s="99">
        <f t="shared" ref="AB118:AD118" si="22">AB116+AB117</f>
        <v>481101.1</v>
      </c>
      <c r="AC118" s="99">
        <f t="shared" si="22"/>
        <v>0</v>
      </c>
      <c r="AD118" s="99">
        <f t="shared" si="22"/>
        <v>361655</v>
      </c>
    </row>
    <row r="119" spans="1:31" ht="13.15" customHeight="1">
      <c r="A119" s="30" t="s">
        <v>41</v>
      </c>
      <c r="B119" s="12"/>
      <c r="C119" s="12"/>
      <c r="D119" s="178"/>
      <c r="E119" s="178"/>
      <c r="F119" s="12"/>
      <c r="G119" s="12"/>
      <c r="H119" s="13"/>
      <c r="I119" s="13"/>
      <c r="J119" s="13"/>
      <c r="K119" s="13"/>
      <c r="L119" s="13"/>
      <c r="M119" s="59"/>
      <c r="N119" s="59"/>
      <c r="O119" s="59"/>
      <c r="P119" s="59"/>
      <c r="Q119" s="59"/>
      <c r="R119" s="111"/>
      <c r="S119" s="119"/>
      <c r="T119" s="119"/>
      <c r="U119" s="119"/>
      <c r="V119" s="119"/>
      <c r="W119" s="85"/>
      <c r="X119" s="85"/>
      <c r="Y119" s="60"/>
      <c r="Z119" s="402"/>
      <c r="AA119" s="278"/>
    </row>
    <row r="120" spans="1:31" ht="15.6" customHeight="1">
      <c r="A120" s="14" t="s">
        <v>42</v>
      </c>
      <c r="B120" s="62" t="s">
        <v>414</v>
      </c>
      <c r="C120" s="62">
        <v>176</v>
      </c>
      <c r="D120" s="317" t="s">
        <v>554</v>
      </c>
      <c r="E120" s="317" t="s">
        <v>555</v>
      </c>
      <c r="F120" s="62">
        <v>6100004040</v>
      </c>
      <c r="G120" s="62">
        <v>243</v>
      </c>
      <c r="H120" s="47" t="e">
        <f>SUM(I120:L120)</f>
        <v>#REF!</v>
      </c>
      <c r="I120" s="29" t="e">
        <f>#REF!</f>
        <v>#REF!</v>
      </c>
      <c r="J120" s="29" t="e">
        <f>#REF!</f>
        <v>#REF!</v>
      </c>
      <c r="K120" s="29" t="e">
        <f>#REF!</f>
        <v>#REF!</v>
      </c>
      <c r="L120" s="29" t="e">
        <f>#REF!</f>
        <v>#REF!</v>
      </c>
      <c r="M120" s="86"/>
      <c r="N120" s="86"/>
      <c r="O120" s="86"/>
      <c r="P120" s="86"/>
      <c r="Q120" s="86"/>
      <c r="R120" s="112"/>
      <c r="S120" s="112"/>
      <c r="T120" s="112"/>
      <c r="U120" s="112"/>
      <c r="V120" s="112"/>
      <c r="W120" s="86"/>
      <c r="X120" s="87"/>
      <c r="Y120" s="60"/>
      <c r="Z120" s="402"/>
      <c r="AA120" s="277">
        <f>AA118+R377</f>
        <v>4125130.7107300004</v>
      </c>
      <c r="AB120" s="99">
        <f>AB118+W377</f>
        <v>2892483.0999999996</v>
      </c>
      <c r="AD120" s="99">
        <f>AD118+X377</f>
        <v>2172181.3157894732</v>
      </c>
    </row>
    <row r="121" spans="1:31" ht="15.6" customHeight="1">
      <c r="A121" s="14" t="s">
        <v>43</v>
      </c>
      <c r="B121" s="164" t="s">
        <v>414</v>
      </c>
      <c r="C121" s="62">
        <v>176</v>
      </c>
      <c r="D121" s="317" t="s">
        <v>554</v>
      </c>
      <c r="E121" s="317" t="s">
        <v>555</v>
      </c>
      <c r="F121" s="62">
        <v>6100004040</v>
      </c>
      <c r="G121" s="62">
        <v>243</v>
      </c>
      <c r="H121" s="47" t="e">
        <f t="shared" ref="H121:H153" si="23">SUM(I121:L121)</f>
        <v>#REF!</v>
      </c>
      <c r="I121" s="29" t="e">
        <f>#REF!</f>
        <v>#REF!</v>
      </c>
      <c r="J121" s="29" t="e">
        <f>#REF!</f>
        <v>#REF!</v>
      </c>
      <c r="K121" s="29" t="e">
        <f>#REF!</f>
        <v>#REF!</v>
      </c>
      <c r="L121" s="29" t="e">
        <f>#REF!</f>
        <v>#REF!</v>
      </c>
      <c r="M121" s="86">
        <f>'Подробный перечень'!L470</f>
        <v>40874.1</v>
      </c>
      <c r="N121" s="86">
        <f>'Подробный перечень'!M470</f>
        <v>40874.1</v>
      </c>
      <c r="O121" s="86"/>
      <c r="P121" s="86"/>
      <c r="Q121" s="86"/>
      <c r="R121" s="112"/>
      <c r="S121" s="112"/>
      <c r="T121" s="112"/>
      <c r="U121" s="112"/>
      <c r="V121" s="112"/>
      <c r="W121" s="86">
        <f>'Подробный перечень'!$V$466</f>
        <v>0</v>
      </c>
      <c r="X121" s="87">
        <f>'Подробный перечень'!$W$466</f>
        <v>0</v>
      </c>
      <c r="Y121" s="60"/>
      <c r="Z121" s="402"/>
      <c r="AA121" s="295"/>
    </row>
    <row r="122" spans="1:31" ht="15.6" customHeight="1">
      <c r="A122" s="14" t="s">
        <v>44</v>
      </c>
      <c r="B122" s="164" t="s">
        <v>414</v>
      </c>
      <c r="C122" s="62">
        <v>176</v>
      </c>
      <c r="D122" s="317" t="s">
        <v>554</v>
      </c>
      <c r="E122" s="317" t="s">
        <v>555</v>
      </c>
      <c r="F122" s="62">
        <v>6100004040</v>
      </c>
      <c r="G122" s="62">
        <v>243</v>
      </c>
      <c r="H122" s="47" t="e">
        <f t="shared" si="23"/>
        <v>#REF!</v>
      </c>
      <c r="I122" s="29" t="e">
        <f>#REF!</f>
        <v>#REF!</v>
      </c>
      <c r="J122" s="29" t="e">
        <f>#REF!</f>
        <v>#REF!</v>
      </c>
      <c r="K122" s="29" t="e">
        <f>#REF!</f>
        <v>#REF!</v>
      </c>
      <c r="L122" s="29" t="e">
        <f>#REF!</f>
        <v>#REF!</v>
      </c>
      <c r="M122" s="86">
        <f>'Подробный перечень'!L476</f>
        <v>28017.5</v>
      </c>
      <c r="N122" s="86">
        <f>'Подробный перечень'!M476</f>
        <v>19145.5</v>
      </c>
      <c r="O122" s="86">
        <f>'Подробный перечень'!N476</f>
        <v>8872</v>
      </c>
      <c r="P122" s="86"/>
      <c r="Q122" s="86"/>
      <c r="R122" s="112">
        <f>'Подробный перечень'!$Q$476</f>
        <v>0</v>
      </c>
      <c r="S122" s="112"/>
      <c r="T122" s="112"/>
      <c r="U122" s="112"/>
      <c r="V122" s="112"/>
      <c r="W122" s="86">
        <f>'Подробный перечень'!$V$476</f>
        <v>0</v>
      </c>
      <c r="X122" s="87"/>
      <c r="Y122" s="60"/>
      <c r="Z122" s="402"/>
      <c r="AA122" s="99"/>
    </row>
    <row r="123" spans="1:31" ht="15.6" customHeight="1">
      <c r="A123" s="14" t="s">
        <v>45</v>
      </c>
      <c r="B123" s="164" t="s">
        <v>414</v>
      </c>
      <c r="C123" s="62">
        <v>176</v>
      </c>
      <c r="D123" s="317" t="s">
        <v>554</v>
      </c>
      <c r="E123" s="317" t="s">
        <v>555</v>
      </c>
      <c r="F123" s="62">
        <v>6100004040</v>
      </c>
      <c r="G123" s="62">
        <v>243</v>
      </c>
      <c r="H123" s="47" t="e">
        <f t="shared" si="23"/>
        <v>#REF!</v>
      </c>
      <c r="I123" s="29" t="e">
        <f>#REF!</f>
        <v>#REF!</v>
      </c>
      <c r="J123" s="29" t="e">
        <f>#REF!</f>
        <v>#REF!</v>
      </c>
      <c r="K123" s="29" t="e">
        <f>#REF!</f>
        <v>#REF!</v>
      </c>
      <c r="L123" s="29" t="e">
        <f>#REF!</f>
        <v>#REF!</v>
      </c>
      <c r="M123" s="86">
        <f>'Подробный перечень'!L484</f>
        <v>19623</v>
      </c>
      <c r="N123" s="86">
        <f>'Подробный перечень'!M484</f>
        <v>19623</v>
      </c>
      <c r="O123" s="86"/>
      <c r="P123" s="86"/>
      <c r="Q123" s="86"/>
      <c r="R123" s="112"/>
      <c r="S123" s="112"/>
      <c r="T123" s="112"/>
      <c r="U123" s="112"/>
      <c r="V123" s="112"/>
      <c r="W123" s="86"/>
      <c r="X123" s="87"/>
      <c r="Y123" s="60"/>
      <c r="Z123" s="402"/>
      <c r="AA123" s="99"/>
    </row>
    <row r="124" spans="1:31" ht="15.6" customHeight="1">
      <c r="A124" s="14" t="s">
        <v>46</v>
      </c>
      <c r="B124" s="164" t="s">
        <v>414</v>
      </c>
      <c r="C124" s="62">
        <v>176</v>
      </c>
      <c r="D124" s="317" t="s">
        <v>554</v>
      </c>
      <c r="E124" s="317" t="s">
        <v>555</v>
      </c>
      <c r="F124" s="62">
        <v>6100004040</v>
      </c>
      <c r="G124" s="62">
        <v>243</v>
      </c>
      <c r="H124" s="47" t="e">
        <f t="shared" si="23"/>
        <v>#REF!</v>
      </c>
      <c r="I124" s="29" t="e">
        <f>#REF!</f>
        <v>#REF!</v>
      </c>
      <c r="J124" s="29" t="e">
        <f>#REF!</f>
        <v>#REF!</v>
      </c>
      <c r="K124" s="29" t="e">
        <f>#REF!</f>
        <v>#REF!</v>
      </c>
      <c r="L124" s="29" t="e">
        <f>#REF!</f>
        <v>#REF!</v>
      </c>
      <c r="M124" s="86"/>
      <c r="N124" s="86"/>
      <c r="O124" s="86"/>
      <c r="P124" s="86"/>
      <c r="Q124" s="86"/>
      <c r="R124" s="112"/>
      <c r="S124" s="112"/>
      <c r="T124" s="112"/>
      <c r="U124" s="112"/>
      <c r="V124" s="112"/>
      <c r="W124" s="86">
        <f>'Подробный перечень'!$V$494</f>
        <v>0</v>
      </c>
      <c r="X124" s="87">
        <f>'Подробный перечень'!$W$494</f>
        <v>0</v>
      </c>
      <c r="Y124" s="60"/>
      <c r="Z124" s="402"/>
      <c r="AA124" s="99"/>
    </row>
    <row r="125" spans="1:31" ht="15.6" customHeight="1">
      <c r="A125" s="14" t="s">
        <v>47</v>
      </c>
      <c r="B125" s="164" t="s">
        <v>414</v>
      </c>
      <c r="C125" s="62">
        <v>176</v>
      </c>
      <c r="D125" s="317" t="s">
        <v>554</v>
      </c>
      <c r="E125" s="317" t="s">
        <v>555</v>
      </c>
      <c r="F125" s="62">
        <v>6100004040</v>
      </c>
      <c r="G125" s="62">
        <v>243</v>
      </c>
      <c r="H125" s="47" t="e">
        <f t="shared" si="23"/>
        <v>#REF!</v>
      </c>
      <c r="I125" s="29" t="e">
        <f>#REF!</f>
        <v>#REF!</v>
      </c>
      <c r="J125" s="29" t="e">
        <f>#REF!</f>
        <v>#REF!</v>
      </c>
      <c r="K125" s="29" t="e">
        <f>#REF!</f>
        <v>#REF!</v>
      </c>
      <c r="L125" s="29" t="e">
        <f>#REF!</f>
        <v>#REF!</v>
      </c>
      <c r="M125" s="86">
        <f>'Подробный перечень'!L500</f>
        <v>3956.3</v>
      </c>
      <c r="N125" s="86">
        <f>'Подробный перечень'!M500</f>
        <v>3956.3</v>
      </c>
      <c r="O125" s="86"/>
      <c r="P125" s="86"/>
      <c r="Q125" s="86"/>
      <c r="R125" s="112">
        <f>'Подробный перечень'!Q500</f>
        <v>54200</v>
      </c>
      <c r="S125" s="112"/>
      <c r="T125" s="112"/>
      <c r="U125" s="112">
        <f>'Подробный перечень'!$T$500</f>
        <v>54200</v>
      </c>
      <c r="V125" s="112"/>
      <c r="W125" s="86">
        <f>'Подробный перечень'!$V$500</f>
        <v>85491</v>
      </c>
      <c r="X125" s="87">
        <f>'Подробный перечень'!$W$500</f>
        <v>0</v>
      </c>
      <c r="Y125" s="60"/>
      <c r="Z125" s="402"/>
      <c r="AA125" s="99"/>
    </row>
    <row r="126" spans="1:31" ht="15.6" customHeight="1">
      <c r="A126" s="14" t="s">
        <v>48</v>
      </c>
      <c r="B126" s="164" t="s">
        <v>414</v>
      </c>
      <c r="C126" s="62">
        <v>176</v>
      </c>
      <c r="D126" s="317" t="s">
        <v>554</v>
      </c>
      <c r="E126" s="317" t="s">
        <v>555</v>
      </c>
      <c r="F126" s="62">
        <v>6100004040</v>
      </c>
      <c r="G126" s="62">
        <v>243</v>
      </c>
      <c r="H126" s="47" t="e">
        <f t="shared" si="23"/>
        <v>#REF!</v>
      </c>
      <c r="I126" s="29" t="e">
        <f>#REF!</f>
        <v>#REF!</v>
      </c>
      <c r="J126" s="29" t="e">
        <f>#REF!</f>
        <v>#REF!</v>
      </c>
      <c r="K126" s="29" t="e">
        <f>#REF!</f>
        <v>#REF!</v>
      </c>
      <c r="L126" s="29" t="e">
        <f>#REF!</f>
        <v>#REF!</v>
      </c>
      <c r="M126" s="86"/>
      <c r="N126" s="86"/>
      <c r="O126" s="86"/>
      <c r="P126" s="86"/>
      <c r="Q126" s="86"/>
      <c r="R126" s="112">
        <f>'Подробный перечень'!$Q$508</f>
        <v>100677</v>
      </c>
      <c r="S126" s="112">
        <f>'Подробный перечень'!$R$508</f>
        <v>39000</v>
      </c>
      <c r="T126" s="112">
        <f>'Подробный перечень'!$S$508</f>
        <v>16000</v>
      </c>
      <c r="U126" s="112">
        <f>'Подробный перечень'!$T$508</f>
        <v>44177</v>
      </c>
      <c r="V126" s="112">
        <f>'Подробный перечень'!$U$508</f>
        <v>1500</v>
      </c>
      <c r="W126" s="86">
        <f>'Подробный перечень'!$V$508</f>
        <v>14000</v>
      </c>
      <c r="X126" s="87">
        <f>'Подробный перечень'!$W$508</f>
        <v>0</v>
      </c>
      <c r="Y126" s="60"/>
      <c r="Z126" s="402"/>
      <c r="AA126" s="99"/>
      <c r="AE126" s="99"/>
    </row>
    <row r="127" spans="1:31" ht="16.899999999999999" customHeight="1">
      <c r="A127" s="14" t="s">
        <v>49</v>
      </c>
      <c r="B127" s="164" t="s">
        <v>414</v>
      </c>
      <c r="C127" s="62">
        <v>176</v>
      </c>
      <c r="D127" s="317" t="s">
        <v>554</v>
      </c>
      <c r="E127" s="317" t="s">
        <v>555</v>
      </c>
      <c r="F127" s="62">
        <v>6100004040</v>
      </c>
      <c r="G127" s="62">
        <v>243</v>
      </c>
      <c r="H127" s="47" t="e">
        <f t="shared" si="23"/>
        <v>#REF!</v>
      </c>
      <c r="I127" s="29" t="e">
        <f>#REF!</f>
        <v>#REF!</v>
      </c>
      <c r="J127" s="29" t="e">
        <f>#REF!</f>
        <v>#REF!</v>
      </c>
      <c r="K127" s="29" t="e">
        <f>#REF!</f>
        <v>#REF!</v>
      </c>
      <c r="L127" s="29" t="e">
        <f>#REF!</f>
        <v>#REF!</v>
      </c>
      <c r="M127" s="86"/>
      <c r="N127" s="86"/>
      <c r="O127" s="86"/>
      <c r="P127" s="86"/>
      <c r="Q127" s="86"/>
      <c r="R127" s="112">
        <f>'Подробный перечень'!$Q$518</f>
        <v>13466.6</v>
      </c>
      <c r="S127" s="112"/>
      <c r="T127" s="112"/>
      <c r="U127" s="112">
        <f>'Подробный перечень'!$T$519</f>
        <v>13466.6</v>
      </c>
      <c r="V127" s="112"/>
      <c r="W127" s="86">
        <f>'Подробный перечень'!$V$518</f>
        <v>0</v>
      </c>
      <c r="X127" s="87"/>
      <c r="Y127" s="60"/>
      <c r="Z127" s="402"/>
    </row>
    <row r="128" spans="1:31" ht="15.6" customHeight="1">
      <c r="A128" s="14" t="s">
        <v>50</v>
      </c>
      <c r="B128" s="164" t="s">
        <v>414</v>
      </c>
      <c r="C128" s="62">
        <v>176</v>
      </c>
      <c r="D128" s="317" t="s">
        <v>554</v>
      </c>
      <c r="E128" s="317" t="s">
        <v>555</v>
      </c>
      <c r="F128" s="62">
        <v>6100004040</v>
      </c>
      <c r="G128" s="62">
        <v>243</v>
      </c>
      <c r="H128" s="47" t="e">
        <f t="shared" si="23"/>
        <v>#REF!</v>
      </c>
      <c r="I128" s="29" t="e">
        <f>#REF!</f>
        <v>#REF!</v>
      </c>
      <c r="J128" s="29" t="e">
        <f>#REF!</f>
        <v>#REF!</v>
      </c>
      <c r="K128" s="29" t="e">
        <f>#REF!</f>
        <v>#REF!</v>
      </c>
      <c r="L128" s="29" t="e">
        <f>#REF!</f>
        <v>#REF!</v>
      </c>
      <c r="M128" s="86"/>
      <c r="N128" s="86"/>
      <c r="O128" s="86"/>
      <c r="P128" s="86"/>
      <c r="Q128" s="86"/>
      <c r="R128" s="112">
        <f>'Подробный перечень'!$Q$532</f>
        <v>88110.8</v>
      </c>
      <c r="S128" s="112"/>
      <c r="T128" s="112"/>
      <c r="U128" s="112">
        <f>'Подробный перечень'!$T$532</f>
        <v>88110.8</v>
      </c>
      <c r="V128" s="112">
        <f>'Подробный перечень'!$U$532</f>
        <v>0</v>
      </c>
      <c r="W128" s="86">
        <f>'Подробный перечень'!$V$532</f>
        <v>0</v>
      </c>
      <c r="X128" s="87">
        <f>'Подробный перечень'!$W$532</f>
        <v>0</v>
      </c>
      <c r="Y128" s="60"/>
      <c r="Z128" s="402"/>
      <c r="AE128" s="99"/>
    </row>
    <row r="129" spans="1:31" ht="15.6" customHeight="1">
      <c r="A129" s="14" t="s">
        <v>51</v>
      </c>
      <c r="B129" s="164" t="s">
        <v>414</v>
      </c>
      <c r="C129" s="62">
        <v>176</v>
      </c>
      <c r="D129" s="317" t="s">
        <v>554</v>
      </c>
      <c r="E129" s="317" t="s">
        <v>555</v>
      </c>
      <c r="F129" s="62">
        <v>6100004040</v>
      </c>
      <c r="G129" s="62">
        <v>243</v>
      </c>
      <c r="H129" s="47" t="e">
        <f t="shared" si="23"/>
        <v>#REF!</v>
      </c>
      <c r="I129" s="29" t="e">
        <f>#REF!</f>
        <v>#REF!</v>
      </c>
      <c r="J129" s="29" t="e">
        <f>#REF!</f>
        <v>#REF!</v>
      </c>
      <c r="K129" s="29" t="e">
        <f>#REF!</f>
        <v>#REF!</v>
      </c>
      <c r="L129" s="29" t="e">
        <f>#REF!</f>
        <v>#REF!</v>
      </c>
      <c r="M129" s="86"/>
      <c r="N129" s="86"/>
      <c r="O129" s="86"/>
      <c r="P129" s="86"/>
      <c r="Q129" s="86"/>
      <c r="R129" s="112">
        <f>'Подробный перечень'!$Q$544</f>
        <v>119741.8</v>
      </c>
      <c r="S129" s="112">
        <f>'Подробный перечень'!$R$544</f>
        <v>6965</v>
      </c>
      <c r="T129" s="112">
        <f>'Подробный перечень'!$S$544</f>
        <v>9950</v>
      </c>
      <c r="U129" s="112">
        <f>'Подробный перечень'!$T$544</f>
        <v>81195.899999999994</v>
      </c>
      <c r="V129" s="112">
        <f>'Подробный перечень'!$U$544</f>
        <v>21630.9</v>
      </c>
      <c r="W129" s="86">
        <f>'Подробный перечень'!$V$544</f>
        <v>33955.5</v>
      </c>
      <c r="X129" s="87">
        <f>'Подробный перечень'!$W$544</f>
        <v>40159.800000000003</v>
      </c>
      <c r="Y129" s="60"/>
      <c r="Z129" s="402"/>
      <c r="AE129" s="99"/>
    </row>
    <row r="130" spans="1:31" ht="15.6" customHeight="1">
      <c r="A130" s="14" t="s">
        <v>52</v>
      </c>
      <c r="B130" s="164" t="s">
        <v>414</v>
      </c>
      <c r="C130" s="62">
        <v>176</v>
      </c>
      <c r="D130" s="317" t="s">
        <v>554</v>
      </c>
      <c r="E130" s="317" t="s">
        <v>555</v>
      </c>
      <c r="F130" s="62">
        <v>6100004040</v>
      </c>
      <c r="G130" s="62">
        <v>243</v>
      </c>
      <c r="H130" s="47" t="e">
        <f t="shared" si="23"/>
        <v>#REF!</v>
      </c>
      <c r="I130" s="29" t="e">
        <f>#REF!</f>
        <v>#REF!</v>
      </c>
      <c r="J130" s="29" t="e">
        <f>#REF!</f>
        <v>#REF!</v>
      </c>
      <c r="K130" s="29" t="e">
        <f>#REF!</f>
        <v>#REF!</v>
      </c>
      <c r="L130" s="29" t="e">
        <f>#REF!</f>
        <v>#REF!</v>
      </c>
      <c r="M130" s="86"/>
      <c r="N130" s="86"/>
      <c r="O130" s="86"/>
      <c r="P130" s="86"/>
      <c r="Q130" s="86"/>
      <c r="R130" s="112">
        <f>'Подробный перечень'!Q558</f>
        <v>12085</v>
      </c>
      <c r="S130" s="112"/>
      <c r="T130" s="112"/>
      <c r="U130" s="112">
        <f>'Подробный перечень'!$T$558</f>
        <v>12085</v>
      </c>
      <c r="V130" s="112">
        <f>'Подробный перечень'!$U$558</f>
        <v>0</v>
      </c>
      <c r="W130" s="86">
        <f>'Подробный перечень'!$V$558</f>
        <v>0</v>
      </c>
      <c r="X130" s="87"/>
      <c r="Y130" s="60"/>
      <c r="Z130" s="402"/>
    </row>
    <row r="131" spans="1:31" ht="15.6" customHeight="1">
      <c r="A131" s="14" t="s">
        <v>53</v>
      </c>
      <c r="B131" s="164" t="s">
        <v>414</v>
      </c>
      <c r="C131" s="62">
        <v>176</v>
      </c>
      <c r="D131" s="317" t="s">
        <v>554</v>
      </c>
      <c r="E131" s="317" t="s">
        <v>555</v>
      </c>
      <c r="F131" s="62">
        <v>6100004040</v>
      </c>
      <c r="G131" s="62">
        <v>243</v>
      </c>
      <c r="H131" s="47" t="e">
        <f t="shared" si="23"/>
        <v>#REF!</v>
      </c>
      <c r="I131" s="29" t="e">
        <f>#REF!</f>
        <v>#REF!</v>
      </c>
      <c r="J131" s="29" t="e">
        <f>#REF!</f>
        <v>#REF!</v>
      </c>
      <c r="K131" s="29" t="e">
        <f>#REF!</f>
        <v>#REF!</v>
      </c>
      <c r="L131" s="29" t="e">
        <f>#REF!</f>
        <v>#REF!</v>
      </c>
      <c r="M131" s="86"/>
      <c r="N131" s="86"/>
      <c r="O131" s="86"/>
      <c r="P131" s="86"/>
      <c r="Q131" s="86"/>
      <c r="R131" s="112">
        <f>'Подробный перечень'!$Q$564</f>
        <v>0</v>
      </c>
      <c r="S131" s="112">
        <f>'Подробный перечень'!$R$564</f>
        <v>0</v>
      </c>
      <c r="T131" s="112">
        <f>'Подробный перечень'!$S$564</f>
        <v>0</v>
      </c>
      <c r="U131" s="112">
        <f>'Подробный перечень'!$T$564</f>
        <v>0</v>
      </c>
      <c r="V131" s="112"/>
      <c r="W131" s="86">
        <f>'Подробный перечень'!$V$564</f>
        <v>0</v>
      </c>
      <c r="X131" s="87">
        <f>'Подробный перечень'!$W$564</f>
        <v>0</v>
      </c>
      <c r="Y131" s="60"/>
      <c r="Z131" s="402"/>
      <c r="AA131" s="99"/>
    </row>
    <row r="132" spans="1:31" ht="15.6" customHeight="1">
      <c r="A132" s="14" t="s">
        <v>54</v>
      </c>
      <c r="B132" s="164" t="s">
        <v>414</v>
      </c>
      <c r="C132" s="62">
        <v>176</v>
      </c>
      <c r="D132" s="317" t="s">
        <v>554</v>
      </c>
      <c r="E132" s="317" t="s">
        <v>555</v>
      </c>
      <c r="F132" s="62">
        <v>6100004040</v>
      </c>
      <c r="G132" s="62">
        <v>243</v>
      </c>
      <c r="H132" s="47" t="e">
        <f t="shared" si="23"/>
        <v>#REF!</v>
      </c>
      <c r="I132" s="29" t="e">
        <f>#REF!</f>
        <v>#REF!</v>
      </c>
      <c r="J132" s="29" t="e">
        <f>#REF!</f>
        <v>#REF!</v>
      </c>
      <c r="K132" s="29" t="e">
        <f>#REF!</f>
        <v>#REF!</v>
      </c>
      <c r="L132" s="29" t="e">
        <f>#REF!</f>
        <v>#REF!</v>
      </c>
      <c r="M132" s="86">
        <f>'Подробный перечень'!L570</f>
        <v>5366</v>
      </c>
      <c r="N132" s="86"/>
      <c r="O132" s="86"/>
      <c r="P132" s="86"/>
      <c r="Q132" s="86">
        <f>'Подробный перечень'!P570</f>
        <v>5366</v>
      </c>
      <c r="R132" s="112">
        <f>'Подробный перечень'!$Q$570</f>
        <v>0</v>
      </c>
      <c r="S132" s="112"/>
      <c r="T132" s="112"/>
      <c r="U132" s="112">
        <f>'Подробный перечень'!$T$574</f>
        <v>0</v>
      </c>
      <c r="V132" s="112">
        <f>'Подробный перечень'!U570</f>
        <v>0</v>
      </c>
      <c r="W132" s="86">
        <f>'Подробный перечень'!$V$570</f>
        <v>0</v>
      </c>
      <c r="X132" s="87">
        <f>'Подробный перечень'!$W$570</f>
        <v>0</v>
      </c>
      <c r="Y132" s="60"/>
      <c r="Z132" s="402"/>
    </row>
    <row r="133" spans="1:31" ht="15.6" customHeight="1">
      <c r="A133" s="14" t="s">
        <v>55</v>
      </c>
      <c r="B133" s="164" t="s">
        <v>414</v>
      </c>
      <c r="C133" s="62">
        <v>176</v>
      </c>
      <c r="D133" s="317" t="s">
        <v>554</v>
      </c>
      <c r="E133" s="317" t="s">
        <v>555</v>
      </c>
      <c r="F133" s="62">
        <v>6100004040</v>
      </c>
      <c r="G133" s="62">
        <v>243</v>
      </c>
      <c r="H133" s="47" t="e">
        <f t="shared" si="23"/>
        <v>#REF!</v>
      </c>
      <c r="I133" s="29" t="e">
        <f>#REF!</f>
        <v>#REF!</v>
      </c>
      <c r="J133" s="29" t="e">
        <f>#REF!</f>
        <v>#REF!</v>
      </c>
      <c r="K133" s="29" t="e">
        <f>#REF!</f>
        <v>#REF!</v>
      </c>
      <c r="L133" s="29" t="e">
        <f>#REF!</f>
        <v>#REF!</v>
      </c>
      <c r="M133" s="86">
        <f>'Подробный перечень'!L576</f>
        <v>2368.4</v>
      </c>
      <c r="N133" s="86">
        <f>'Подробный перечень'!M576</f>
        <v>2368.4</v>
      </c>
      <c r="O133" s="86"/>
      <c r="P133" s="86"/>
      <c r="Q133" s="86"/>
      <c r="R133" s="112">
        <f>'Подробный перечень'!$Q$576</f>
        <v>6629.2</v>
      </c>
      <c r="S133" s="112"/>
      <c r="T133" s="112"/>
      <c r="U133" s="112">
        <f>'Подробный перечень'!$T$576</f>
        <v>6629.2</v>
      </c>
      <c r="V133" s="112"/>
      <c r="W133" s="86"/>
      <c r="X133" s="87"/>
      <c r="Y133" s="60"/>
      <c r="Z133" s="402"/>
    </row>
    <row r="134" spans="1:31" ht="15.6" customHeight="1">
      <c r="A134" s="14" t="s">
        <v>56</v>
      </c>
      <c r="B134" s="164" t="s">
        <v>414</v>
      </c>
      <c r="C134" s="62">
        <v>176</v>
      </c>
      <c r="D134" s="317" t="s">
        <v>554</v>
      </c>
      <c r="E134" s="317" t="s">
        <v>555</v>
      </c>
      <c r="F134" s="62">
        <v>6100004040</v>
      </c>
      <c r="G134" s="62">
        <v>243</v>
      </c>
      <c r="H134" s="47" t="e">
        <f t="shared" si="23"/>
        <v>#REF!</v>
      </c>
      <c r="I134" s="29" t="e">
        <f>#REF!</f>
        <v>#REF!</v>
      </c>
      <c r="J134" s="29" t="e">
        <f>#REF!</f>
        <v>#REF!</v>
      </c>
      <c r="K134" s="29" t="e">
        <f>#REF!</f>
        <v>#REF!</v>
      </c>
      <c r="L134" s="29" t="e">
        <f>#REF!</f>
        <v>#REF!</v>
      </c>
      <c r="M134" s="86">
        <f>'Подробный перечень'!L586</f>
        <v>3936.2000000000003</v>
      </c>
      <c r="N134" s="86">
        <f>'Подробный перечень'!M586</f>
        <v>3936.2000000000003</v>
      </c>
      <c r="O134" s="86"/>
      <c r="P134" s="86"/>
      <c r="Q134" s="86"/>
      <c r="R134" s="112">
        <f>'Подробный перечень'!Q586</f>
        <v>0</v>
      </c>
      <c r="S134" s="112"/>
      <c r="T134" s="112"/>
      <c r="U134" s="112"/>
      <c r="V134" s="112">
        <f>'Подробный перечень'!U586</f>
        <v>0</v>
      </c>
      <c r="W134" s="86"/>
      <c r="X134" s="87"/>
      <c r="Y134" s="60"/>
      <c r="Z134" s="402"/>
    </row>
    <row r="135" spans="1:31" ht="15.6" customHeight="1">
      <c r="A135" s="14" t="s">
        <v>57</v>
      </c>
      <c r="B135" s="164" t="s">
        <v>414</v>
      </c>
      <c r="C135" s="62">
        <v>176</v>
      </c>
      <c r="D135" s="317" t="s">
        <v>554</v>
      </c>
      <c r="E135" s="317" t="s">
        <v>555</v>
      </c>
      <c r="F135" s="62">
        <v>6100004040</v>
      </c>
      <c r="G135" s="62">
        <v>243</v>
      </c>
      <c r="H135" s="47" t="e">
        <f t="shared" si="23"/>
        <v>#REF!</v>
      </c>
      <c r="I135" s="29" t="e">
        <f>#REF!</f>
        <v>#REF!</v>
      </c>
      <c r="J135" s="29" t="e">
        <f>#REF!</f>
        <v>#REF!</v>
      </c>
      <c r="K135" s="29" t="e">
        <f>#REF!</f>
        <v>#REF!</v>
      </c>
      <c r="L135" s="29" t="e">
        <f>#REF!</f>
        <v>#REF!</v>
      </c>
      <c r="M135" s="86">
        <f>'Подробный перечень'!L592</f>
        <v>6197.1</v>
      </c>
      <c r="N135" s="86">
        <f>'Подробный перечень'!M592</f>
        <v>5079.1000000000004</v>
      </c>
      <c r="O135" s="86"/>
      <c r="P135" s="86"/>
      <c r="Q135" s="86">
        <f>'Подробный перечень'!P592</f>
        <v>1118</v>
      </c>
      <c r="R135" s="112">
        <f>'Подробный перечень'!$Q$592</f>
        <v>0</v>
      </c>
      <c r="S135" s="112"/>
      <c r="T135" s="112"/>
      <c r="U135" s="112">
        <f>'Подробный перечень'!$T$592</f>
        <v>0</v>
      </c>
      <c r="V135" s="112"/>
      <c r="W135" s="86">
        <f>'Подробный перечень'!$V$592</f>
        <v>13421.6</v>
      </c>
      <c r="X135" s="87"/>
      <c r="Y135" s="60"/>
      <c r="Z135" s="402"/>
    </row>
    <row r="136" spans="1:31" ht="14.45" customHeight="1">
      <c r="A136" s="14" t="s">
        <v>58</v>
      </c>
      <c r="B136" s="164" t="s">
        <v>414</v>
      </c>
      <c r="C136" s="62">
        <v>176</v>
      </c>
      <c r="D136" s="317" t="s">
        <v>554</v>
      </c>
      <c r="E136" s="317" t="s">
        <v>555</v>
      </c>
      <c r="F136" s="62">
        <v>6100004040</v>
      </c>
      <c r="G136" s="62">
        <v>243</v>
      </c>
      <c r="H136" s="47" t="e">
        <f t="shared" si="23"/>
        <v>#REF!</v>
      </c>
      <c r="I136" s="29" t="e">
        <f>#REF!</f>
        <v>#REF!</v>
      </c>
      <c r="J136" s="29" t="e">
        <f>#REF!</f>
        <v>#REF!</v>
      </c>
      <c r="K136" s="29" t="e">
        <f>#REF!</f>
        <v>#REF!</v>
      </c>
      <c r="L136" s="29" t="e">
        <f>#REF!</f>
        <v>#REF!</v>
      </c>
      <c r="M136" s="86"/>
      <c r="N136" s="86"/>
      <c r="O136" s="86"/>
      <c r="P136" s="86"/>
      <c r="Q136" s="86"/>
      <c r="R136" s="112">
        <f>'Подробный перечень'!$Q$600</f>
        <v>72843.600000000006</v>
      </c>
      <c r="S136" s="112"/>
      <c r="T136" s="112"/>
      <c r="U136" s="112">
        <f>'Подробный перечень'!$T$601</f>
        <v>28000</v>
      </c>
      <c r="V136" s="112">
        <f>'Подробный перечень'!$U$601</f>
        <v>44843.6</v>
      </c>
      <c r="W136" s="86">
        <f>'Подробный перечень'!$V$600</f>
        <v>34840.699999999997</v>
      </c>
      <c r="X136" s="87">
        <f>'Подробный перечень'!$W$600</f>
        <v>0</v>
      </c>
      <c r="Y136" s="60"/>
      <c r="Z136" s="402"/>
    </row>
    <row r="137" spans="1:31" ht="15.6" customHeight="1">
      <c r="A137" s="14" t="s">
        <v>59</v>
      </c>
      <c r="B137" s="164" t="s">
        <v>414</v>
      </c>
      <c r="C137" s="62">
        <v>176</v>
      </c>
      <c r="D137" s="317" t="s">
        <v>554</v>
      </c>
      <c r="E137" s="317" t="s">
        <v>555</v>
      </c>
      <c r="F137" s="62">
        <v>6100004040</v>
      </c>
      <c r="G137" s="62">
        <v>243</v>
      </c>
      <c r="H137" s="47" t="e">
        <f t="shared" si="23"/>
        <v>#REF!</v>
      </c>
      <c r="I137" s="29" t="e">
        <f>#REF!</f>
        <v>#REF!</v>
      </c>
      <c r="J137" s="29" t="e">
        <f>#REF!</f>
        <v>#REF!</v>
      </c>
      <c r="K137" s="29" t="e">
        <f>#REF!</f>
        <v>#REF!</v>
      </c>
      <c r="L137" s="29" t="e">
        <f>#REF!</f>
        <v>#REF!</v>
      </c>
      <c r="M137" s="86">
        <f>'Подробный перечень'!L614</f>
        <v>18951.599999999999</v>
      </c>
      <c r="N137" s="86">
        <f>'Подробный перечень'!M614</f>
        <v>18951.599999999999</v>
      </c>
      <c r="O137" s="86"/>
      <c r="P137" s="86"/>
      <c r="Q137" s="86"/>
      <c r="R137" s="112">
        <f>'Подробный перечень'!Q614</f>
        <v>29896.400000000001</v>
      </c>
      <c r="S137" s="112"/>
      <c r="T137" s="112"/>
      <c r="U137" s="112">
        <f>'Подробный перечень'!$T$614</f>
        <v>29896.400000000001</v>
      </c>
      <c r="V137" s="112">
        <f>'Подробный перечень'!$U$614</f>
        <v>0</v>
      </c>
      <c r="W137" s="86">
        <f>'Подробный перечень'!$V$614</f>
        <v>0</v>
      </c>
      <c r="X137" s="87">
        <f>'Подробный перечень'!$W$614</f>
        <v>0</v>
      </c>
      <c r="Y137" s="60"/>
      <c r="Z137" s="402"/>
    </row>
    <row r="138" spans="1:31" ht="15.6" customHeight="1">
      <c r="A138" s="412" t="s">
        <v>60</v>
      </c>
      <c r="B138" s="164" t="s">
        <v>415</v>
      </c>
      <c r="C138" s="62">
        <v>176</v>
      </c>
      <c r="D138" s="317" t="s">
        <v>554</v>
      </c>
      <c r="E138" s="317" t="s">
        <v>555</v>
      </c>
      <c r="F138" s="62" t="s">
        <v>312</v>
      </c>
      <c r="G138" s="62">
        <v>243</v>
      </c>
      <c r="H138" s="47" t="e">
        <f t="shared" si="23"/>
        <v>#REF!</v>
      </c>
      <c r="I138" s="29" t="e">
        <f>#REF!</f>
        <v>#REF!</v>
      </c>
      <c r="J138" s="29" t="e">
        <f>#REF!</f>
        <v>#REF!</v>
      </c>
      <c r="K138" s="29" t="e">
        <f>#REF!</f>
        <v>#REF!</v>
      </c>
      <c r="L138" s="29" t="e">
        <f>#REF!</f>
        <v>#REF!</v>
      </c>
      <c r="M138" s="86"/>
      <c r="N138" s="86"/>
      <c r="O138" s="86"/>
      <c r="P138" s="86"/>
      <c r="Q138" s="86"/>
      <c r="R138" s="112">
        <f>R139+R140</f>
        <v>272352.01072999998</v>
      </c>
      <c r="S138" s="112"/>
      <c r="T138" s="112"/>
      <c r="U138" s="112">
        <f>U139+U140</f>
        <v>186954.3</v>
      </c>
      <c r="V138" s="112">
        <f>V139+V140</f>
        <v>85397.710730000021</v>
      </c>
      <c r="W138" s="86">
        <f>W139+W140</f>
        <v>0</v>
      </c>
      <c r="X138" s="87">
        <f>'Подробный перечень'!$W$622</f>
        <v>0</v>
      </c>
      <c r="Y138" s="60"/>
      <c r="Z138" s="402"/>
    </row>
    <row r="139" spans="1:31" ht="15.6" customHeight="1">
      <c r="A139" s="413"/>
      <c r="B139" s="164" t="s">
        <v>414</v>
      </c>
      <c r="C139" s="164">
        <v>176</v>
      </c>
      <c r="D139" s="317" t="s">
        <v>554</v>
      </c>
      <c r="E139" s="317" t="s">
        <v>555</v>
      </c>
      <c r="F139" s="164">
        <v>6100004040</v>
      </c>
      <c r="G139" s="164">
        <v>243</v>
      </c>
      <c r="H139" s="47"/>
      <c r="I139" s="29"/>
      <c r="J139" s="29"/>
      <c r="K139" s="29"/>
      <c r="L139" s="29"/>
      <c r="M139" s="86"/>
      <c r="N139" s="86"/>
      <c r="O139" s="86"/>
      <c r="P139" s="86"/>
      <c r="Q139" s="86"/>
      <c r="R139" s="112">
        <f>'Подробный перечень'!$Q$621</f>
        <v>135502.01073000001</v>
      </c>
      <c r="S139" s="112"/>
      <c r="T139" s="112"/>
      <c r="U139" s="112">
        <f>'Подробный перечень'!$T$621</f>
        <v>65104.3</v>
      </c>
      <c r="V139" s="112">
        <f>'Подробный перечень'!$U$621</f>
        <v>70397.710730000021</v>
      </c>
      <c r="W139" s="86">
        <f>'Подробный перечень'!$V$621</f>
        <v>0</v>
      </c>
      <c r="X139" s="87"/>
      <c r="Y139" s="165"/>
      <c r="Z139" s="402"/>
      <c r="AA139" s="99"/>
    </row>
    <row r="140" spans="1:31" ht="26.45" customHeight="1">
      <c r="A140" s="414"/>
      <c r="B140" s="164" t="s">
        <v>666</v>
      </c>
      <c r="C140" s="164">
        <v>176</v>
      </c>
      <c r="D140" s="317" t="s">
        <v>554</v>
      </c>
      <c r="E140" s="317" t="s">
        <v>555</v>
      </c>
      <c r="F140" s="164">
        <v>6100053902</v>
      </c>
      <c r="G140" s="164">
        <v>243</v>
      </c>
      <c r="H140" s="47"/>
      <c r="I140" s="29"/>
      <c r="J140" s="29"/>
      <c r="K140" s="29"/>
      <c r="L140" s="29"/>
      <c r="M140" s="86"/>
      <c r="N140" s="86"/>
      <c r="O140" s="86"/>
      <c r="P140" s="86"/>
      <c r="Q140" s="86"/>
      <c r="R140" s="112">
        <f>'Подробный перечень'!$Q$622</f>
        <v>136850</v>
      </c>
      <c r="S140" s="112"/>
      <c r="T140" s="112"/>
      <c r="U140" s="112">
        <f>'Подробный перечень'!$T$622</f>
        <v>121850</v>
      </c>
      <c r="V140" s="112">
        <f>'Подробный перечень'!$U$622</f>
        <v>15000</v>
      </c>
      <c r="W140" s="86">
        <f>'Подробный перечень'!$V$622</f>
        <v>0</v>
      </c>
      <c r="X140" s="87"/>
      <c r="Y140" s="165"/>
      <c r="Z140" s="402"/>
    </row>
    <row r="141" spans="1:31" ht="15.6" customHeight="1">
      <c r="A141" s="14" t="s">
        <v>61</v>
      </c>
      <c r="B141" s="62" t="s">
        <v>414</v>
      </c>
      <c r="C141" s="62">
        <v>176</v>
      </c>
      <c r="D141" s="317" t="s">
        <v>554</v>
      </c>
      <c r="E141" s="317" t="s">
        <v>555</v>
      </c>
      <c r="F141" s="62">
        <v>6100004040</v>
      </c>
      <c r="G141" s="62">
        <v>243</v>
      </c>
      <c r="H141" s="47" t="e">
        <f t="shared" si="23"/>
        <v>#REF!</v>
      </c>
      <c r="I141" s="29" t="e">
        <f>#REF!</f>
        <v>#REF!</v>
      </c>
      <c r="J141" s="29" t="e">
        <f>#REF!</f>
        <v>#REF!</v>
      </c>
      <c r="K141" s="29" t="e">
        <f>#REF!</f>
        <v>#REF!</v>
      </c>
      <c r="L141" s="29" t="e">
        <f>#REF!</f>
        <v>#REF!</v>
      </c>
      <c r="M141" s="86"/>
      <c r="N141" s="86"/>
      <c r="O141" s="86"/>
      <c r="P141" s="86"/>
      <c r="Q141" s="86"/>
      <c r="R141" s="112">
        <f>'Подробный перечень'!$Q$638</f>
        <v>0</v>
      </c>
      <c r="S141" s="112"/>
      <c r="T141" s="112"/>
      <c r="U141" s="112">
        <f>'Подробный перечень'!$T$638</f>
        <v>0</v>
      </c>
      <c r="V141" s="112"/>
      <c r="W141" s="86"/>
      <c r="X141" s="87"/>
      <c r="Y141" s="60"/>
      <c r="Z141" s="402"/>
    </row>
    <row r="142" spans="1:31" ht="15.6" customHeight="1">
      <c r="A142" s="14" t="s">
        <v>62</v>
      </c>
      <c r="B142" s="62" t="s">
        <v>414</v>
      </c>
      <c r="C142" s="62">
        <v>176</v>
      </c>
      <c r="D142" s="317" t="s">
        <v>554</v>
      </c>
      <c r="E142" s="317" t="s">
        <v>555</v>
      </c>
      <c r="F142" s="62">
        <v>6100004040</v>
      </c>
      <c r="G142" s="62">
        <v>243</v>
      </c>
      <c r="H142" s="47" t="e">
        <f t="shared" si="23"/>
        <v>#REF!</v>
      </c>
      <c r="I142" s="29" t="e">
        <f>#REF!</f>
        <v>#REF!</v>
      </c>
      <c r="J142" s="29" t="e">
        <f>#REF!</f>
        <v>#REF!</v>
      </c>
      <c r="K142" s="29" t="e">
        <f>#REF!</f>
        <v>#REF!</v>
      </c>
      <c r="L142" s="29" t="e">
        <f>#REF!</f>
        <v>#REF!</v>
      </c>
      <c r="M142" s="86">
        <f>'Подробный перечень'!L644</f>
        <v>57326.6</v>
      </c>
      <c r="N142" s="86"/>
      <c r="O142" s="86"/>
      <c r="P142" s="86">
        <f>'Подробный перечень'!O644</f>
        <v>57326.6</v>
      </c>
      <c r="Q142" s="86"/>
      <c r="R142" s="112">
        <f>'Подробный перечень'!$Q$644</f>
        <v>0</v>
      </c>
      <c r="S142" s="112"/>
      <c r="T142" s="112"/>
      <c r="U142" s="112">
        <f>'Подробный перечень'!$T$644</f>
        <v>0</v>
      </c>
      <c r="V142" s="112"/>
      <c r="W142" s="86">
        <f>'Подробный перечень'!$V$644</f>
        <v>0</v>
      </c>
      <c r="X142" s="87">
        <f>'Подробный перечень'!$W$644</f>
        <v>0</v>
      </c>
      <c r="Y142" s="60"/>
      <c r="Z142" s="402"/>
      <c r="AA142" s="99"/>
    </row>
    <row r="143" spans="1:31" ht="15.6" customHeight="1">
      <c r="A143" s="14" t="s">
        <v>63</v>
      </c>
      <c r="B143" s="62" t="s">
        <v>414</v>
      </c>
      <c r="C143" s="62">
        <v>176</v>
      </c>
      <c r="D143" s="317" t="s">
        <v>554</v>
      </c>
      <c r="E143" s="317" t="s">
        <v>555</v>
      </c>
      <c r="F143" s="62">
        <v>6100004040</v>
      </c>
      <c r="G143" s="62">
        <v>243</v>
      </c>
      <c r="H143" s="47" t="e">
        <f t="shared" si="23"/>
        <v>#REF!</v>
      </c>
      <c r="I143" s="29" t="e">
        <f>#REF!</f>
        <v>#REF!</v>
      </c>
      <c r="J143" s="29" t="e">
        <f>#REF!</f>
        <v>#REF!</v>
      </c>
      <c r="K143" s="29" t="e">
        <f>#REF!</f>
        <v>#REF!</v>
      </c>
      <c r="L143" s="29" t="e">
        <f>#REF!</f>
        <v>#REF!</v>
      </c>
      <c r="M143" s="86">
        <f>'Подробный перечень'!L658</f>
        <v>28500.7</v>
      </c>
      <c r="N143" s="86">
        <f>'Подробный перечень'!M658</f>
        <v>5500.7</v>
      </c>
      <c r="O143" s="86"/>
      <c r="P143" s="86"/>
      <c r="Q143" s="86">
        <f>'Подробный перечень'!P658</f>
        <v>23000</v>
      </c>
      <c r="R143" s="112">
        <f>'Подробный перечень'!$Q$658</f>
        <v>33932.800000000003</v>
      </c>
      <c r="S143" s="112"/>
      <c r="T143" s="112"/>
      <c r="U143" s="112">
        <f>'Подробный перечень'!T658</f>
        <v>33932.800000000003</v>
      </c>
      <c r="V143" s="112"/>
      <c r="W143" s="86">
        <f>'Подробный перечень'!$V$658</f>
        <v>0</v>
      </c>
      <c r="X143" s="87">
        <f>'Подробный перечень'!$W$658</f>
        <v>100000</v>
      </c>
      <c r="Y143" s="60"/>
      <c r="Z143" s="402"/>
      <c r="AE143" s="99"/>
    </row>
    <row r="144" spans="1:31" ht="15.6" customHeight="1">
      <c r="A144" s="14" t="s">
        <v>64</v>
      </c>
      <c r="B144" s="62" t="s">
        <v>414</v>
      </c>
      <c r="C144" s="62">
        <v>176</v>
      </c>
      <c r="D144" s="317" t="s">
        <v>554</v>
      </c>
      <c r="E144" s="317" t="s">
        <v>555</v>
      </c>
      <c r="F144" s="62">
        <v>6100004040</v>
      </c>
      <c r="G144" s="62">
        <v>243</v>
      </c>
      <c r="H144" s="47" t="e">
        <f t="shared" si="23"/>
        <v>#REF!</v>
      </c>
      <c r="I144" s="29" t="e">
        <f>#REF!</f>
        <v>#REF!</v>
      </c>
      <c r="J144" s="29" t="e">
        <f>#REF!</f>
        <v>#REF!</v>
      </c>
      <c r="K144" s="29" t="e">
        <f>#REF!</f>
        <v>#REF!</v>
      </c>
      <c r="L144" s="29" t="e">
        <f>#REF!</f>
        <v>#REF!</v>
      </c>
      <c r="M144" s="86">
        <f>'Подробный перечень'!L668</f>
        <v>5000</v>
      </c>
      <c r="N144" s="86"/>
      <c r="O144" s="86"/>
      <c r="P144" s="86">
        <f>'Подробный перечень'!O668</f>
        <v>5000</v>
      </c>
      <c r="Q144" s="86"/>
      <c r="R144" s="112"/>
      <c r="S144" s="112"/>
      <c r="T144" s="112"/>
      <c r="U144" s="112"/>
      <c r="V144" s="112"/>
      <c r="W144" s="86"/>
      <c r="X144" s="87"/>
      <c r="Y144" s="60"/>
      <c r="Z144" s="402"/>
    </row>
    <row r="145" spans="1:27" ht="15.6" customHeight="1">
      <c r="A145" s="22" t="s">
        <v>65</v>
      </c>
      <c r="B145" s="164" t="s">
        <v>414</v>
      </c>
      <c r="C145" s="164">
        <v>176</v>
      </c>
      <c r="D145" s="317" t="s">
        <v>554</v>
      </c>
      <c r="E145" s="317" t="s">
        <v>555</v>
      </c>
      <c r="F145" s="164">
        <v>6100004040</v>
      </c>
      <c r="G145" s="164">
        <v>243</v>
      </c>
      <c r="H145" s="47"/>
      <c r="I145" s="29"/>
      <c r="J145" s="29"/>
      <c r="K145" s="29"/>
      <c r="L145" s="29"/>
      <c r="M145" s="86"/>
      <c r="N145" s="86"/>
      <c r="O145" s="86"/>
      <c r="P145" s="86"/>
      <c r="Q145" s="86"/>
      <c r="R145" s="112">
        <f>'Подробный перечень'!$Q$676</f>
        <v>500</v>
      </c>
      <c r="S145" s="112"/>
      <c r="T145" s="112"/>
      <c r="U145" s="112">
        <f>'Подробный перечень'!$T$676</f>
        <v>500</v>
      </c>
      <c r="V145" s="112">
        <f>'Подробный перечень'!$U$676</f>
        <v>0</v>
      </c>
      <c r="W145" s="86">
        <f>'Подробный перечень'!$V$677</f>
        <v>10800</v>
      </c>
      <c r="X145" s="87">
        <f>'Подробный перечень'!$W$677</f>
        <v>0</v>
      </c>
      <c r="Y145" s="165"/>
      <c r="Z145" s="402"/>
    </row>
    <row r="146" spans="1:27" ht="24.6" hidden="1" customHeight="1">
      <c r="A146" s="288"/>
      <c r="B146" s="164" t="s">
        <v>456</v>
      </c>
      <c r="C146" s="164">
        <v>176</v>
      </c>
      <c r="D146" s="317" t="s">
        <v>15</v>
      </c>
      <c r="E146" s="317" t="s">
        <v>15</v>
      </c>
      <c r="F146" s="164">
        <v>6100053902</v>
      </c>
      <c r="G146" s="164">
        <v>243</v>
      </c>
      <c r="H146" s="47"/>
      <c r="I146" s="29"/>
      <c r="J146" s="29"/>
      <c r="K146" s="29"/>
      <c r="L146" s="29"/>
      <c r="M146" s="86"/>
      <c r="N146" s="86"/>
      <c r="O146" s="86"/>
      <c r="P146" s="86"/>
      <c r="Q146" s="86"/>
      <c r="R146" s="112">
        <f>'Подробный перечень'!Q$678</f>
        <v>0</v>
      </c>
      <c r="S146" s="112"/>
      <c r="T146" s="112"/>
      <c r="U146" s="112"/>
      <c r="V146" s="112"/>
      <c r="W146" s="86">
        <f>'Подробный перечень'!V$684</f>
        <v>0</v>
      </c>
      <c r="X146" s="87"/>
      <c r="Y146" s="165"/>
      <c r="Z146" s="402"/>
      <c r="AA146" s="99"/>
    </row>
    <row r="147" spans="1:27" ht="15.6" customHeight="1">
      <c r="A147" s="289" t="s">
        <v>66</v>
      </c>
      <c r="B147" s="62" t="s">
        <v>414</v>
      </c>
      <c r="C147" s="62">
        <v>176</v>
      </c>
      <c r="D147" s="317" t="s">
        <v>554</v>
      </c>
      <c r="E147" s="317" t="s">
        <v>555</v>
      </c>
      <c r="F147" s="62">
        <v>6100004040</v>
      </c>
      <c r="G147" s="62">
        <v>243</v>
      </c>
      <c r="H147" s="47" t="e">
        <f t="shared" si="23"/>
        <v>#REF!</v>
      </c>
      <c r="I147" s="29" t="e">
        <f>#REF!</f>
        <v>#REF!</v>
      </c>
      <c r="J147" s="29" t="e">
        <f>#REF!</f>
        <v>#REF!</v>
      </c>
      <c r="K147" s="29" t="e">
        <f>#REF!</f>
        <v>#REF!</v>
      </c>
      <c r="L147" s="29" t="e">
        <f>#REF!</f>
        <v>#REF!</v>
      </c>
      <c r="M147" s="86">
        <f>'Подробный перечень'!L688</f>
        <v>14278.7</v>
      </c>
      <c r="N147" s="86">
        <f>'Подробный перечень'!M688</f>
        <v>14278.7</v>
      </c>
      <c r="O147" s="86"/>
      <c r="P147" s="86"/>
      <c r="Q147" s="86"/>
      <c r="R147" s="112">
        <f>'Подробный перечень'!$Q$688</f>
        <v>0</v>
      </c>
      <c r="S147" s="112"/>
      <c r="T147" s="112"/>
      <c r="U147" s="112"/>
      <c r="V147" s="112"/>
      <c r="W147" s="86"/>
      <c r="X147" s="87">
        <f>'Подробный перечень'!$W$688</f>
        <v>25000</v>
      </c>
      <c r="Y147" s="60"/>
      <c r="Z147" s="402"/>
      <c r="AA147" s="99"/>
    </row>
    <row r="148" spans="1:27" ht="15.6" customHeight="1">
      <c r="A148" s="14" t="s">
        <v>67</v>
      </c>
      <c r="B148" s="62" t="s">
        <v>414</v>
      </c>
      <c r="C148" s="62">
        <v>176</v>
      </c>
      <c r="D148" s="317" t="s">
        <v>554</v>
      </c>
      <c r="E148" s="317" t="s">
        <v>555</v>
      </c>
      <c r="F148" s="62">
        <v>6100004040</v>
      </c>
      <c r="G148" s="62">
        <v>243</v>
      </c>
      <c r="H148" s="47" t="e">
        <f t="shared" si="23"/>
        <v>#REF!</v>
      </c>
      <c r="I148" s="29" t="e">
        <f>#REF!</f>
        <v>#REF!</v>
      </c>
      <c r="J148" s="29" t="e">
        <f>#REF!</f>
        <v>#REF!</v>
      </c>
      <c r="K148" s="29" t="e">
        <f>#REF!</f>
        <v>#REF!</v>
      </c>
      <c r="L148" s="29" t="e">
        <f>#REF!</f>
        <v>#REF!</v>
      </c>
      <c r="M148" s="86">
        <f>'Подробный перечень'!L694</f>
        <v>27039.7</v>
      </c>
      <c r="N148" s="86"/>
      <c r="O148" s="86"/>
      <c r="P148" s="86">
        <f>'Подробный перечень'!O694</f>
        <v>27039.7</v>
      </c>
      <c r="Q148" s="86"/>
      <c r="R148" s="112">
        <f>'Подробный перечень'!$Q$694</f>
        <v>6284.2</v>
      </c>
      <c r="S148" s="112"/>
      <c r="T148" s="112"/>
      <c r="U148" s="112">
        <f>'Подробный перечень'!$T$694</f>
        <v>6284.2</v>
      </c>
      <c r="V148" s="112">
        <f>'Подробный перечень'!$U$694</f>
        <v>0</v>
      </c>
      <c r="W148" s="86">
        <f>'Подробный перечень'!$V$694</f>
        <v>0</v>
      </c>
      <c r="X148" s="87"/>
      <c r="Y148" s="60"/>
      <c r="Z148" s="402"/>
      <c r="AA148" s="99"/>
    </row>
    <row r="149" spans="1:27" ht="15.6" customHeight="1">
      <c r="A149" s="14" t="s">
        <v>68</v>
      </c>
      <c r="B149" s="62" t="s">
        <v>414</v>
      </c>
      <c r="C149" s="62">
        <v>176</v>
      </c>
      <c r="D149" s="317" t="s">
        <v>554</v>
      </c>
      <c r="E149" s="317" t="s">
        <v>555</v>
      </c>
      <c r="F149" s="62">
        <v>6100004040</v>
      </c>
      <c r="G149" s="62">
        <v>243</v>
      </c>
      <c r="H149" s="47" t="e">
        <f t="shared" si="23"/>
        <v>#REF!</v>
      </c>
      <c r="I149" s="29" t="e">
        <f>#REF!</f>
        <v>#REF!</v>
      </c>
      <c r="J149" s="29" t="e">
        <f>#REF!</f>
        <v>#REF!</v>
      </c>
      <c r="K149" s="29" t="e">
        <f>#REF!</f>
        <v>#REF!</v>
      </c>
      <c r="L149" s="29" t="e">
        <f>#REF!</f>
        <v>#REF!</v>
      </c>
      <c r="M149" s="86">
        <f>'Подробный перечень'!L702</f>
        <v>2679.2</v>
      </c>
      <c r="N149" s="86">
        <f>'Подробный перечень'!M702</f>
        <v>2679.2</v>
      </c>
      <c r="O149" s="86"/>
      <c r="P149" s="86"/>
      <c r="Q149" s="86"/>
      <c r="R149" s="112"/>
      <c r="S149" s="112"/>
      <c r="T149" s="112"/>
      <c r="U149" s="112"/>
      <c r="V149" s="112"/>
      <c r="W149" s="86">
        <f>'Подробный перечень'!$V$702</f>
        <v>0</v>
      </c>
      <c r="X149" s="87"/>
      <c r="Y149" s="60"/>
      <c r="Z149" s="402"/>
    </row>
    <row r="150" spans="1:27" ht="15.6" customHeight="1">
      <c r="A150" s="14" t="s">
        <v>69</v>
      </c>
      <c r="B150" s="62" t="s">
        <v>414</v>
      </c>
      <c r="C150" s="62">
        <v>176</v>
      </c>
      <c r="D150" s="317" t="s">
        <v>554</v>
      </c>
      <c r="E150" s="317" t="s">
        <v>555</v>
      </c>
      <c r="F150" s="62">
        <v>6100004040</v>
      </c>
      <c r="G150" s="62">
        <v>243</v>
      </c>
      <c r="H150" s="47" t="e">
        <f t="shared" si="23"/>
        <v>#REF!</v>
      </c>
      <c r="I150" s="29" t="e">
        <f>#REF!</f>
        <v>#REF!</v>
      </c>
      <c r="J150" s="29" t="e">
        <f>#REF!</f>
        <v>#REF!</v>
      </c>
      <c r="K150" s="29" t="e">
        <f>#REF!</f>
        <v>#REF!</v>
      </c>
      <c r="L150" s="29" t="e">
        <f>#REF!</f>
        <v>#REF!</v>
      </c>
      <c r="M150" s="86">
        <f>'Подробный перечень'!L710</f>
        <v>4736.2</v>
      </c>
      <c r="N150" s="86">
        <f>'Подробный перечень'!M710</f>
        <v>4736.2</v>
      </c>
      <c r="O150" s="86"/>
      <c r="P150" s="86"/>
      <c r="Q150" s="86"/>
      <c r="R150" s="112">
        <f>'Подробный перечень'!$Q$710</f>
        <v>43038.3</v>
      </c>
      <c r="S150" s="112"/>
      <c r="T150" s="112"/>
      <c r="U150" s="112">
        <f>'Подробный перечень'!$T$710</f>
        <v>3238.3</v>
      </c>
      <c r="V150" s="112">
        <f>'Подробный перечень'!$U$710</f>
        <v>39800</v>
      </c>
      <c r="W150" s="86">
        <f>'Подробный перечень'!$V$710</f>
        <v>0</v>
      </c>
      <c r="X150" s="87">
        <f>'Подробный перечень'!$W$710</f>
        <v>0</v>
      </c>
      <c r="Y150" s="60"/>
      <c r="Z150" s="402"/>
      <c r="AA150" s="99"/>
    </row>
    <row r="151" spans="1:27" ht="15.6" customHeight="1">
      <c r="A151" s="14" t="s">
        <v>70</v>
      </c>
      <c r="B151" s="62" t="s">
        <v>414</v>
      </c>
      <c r="C151" s="62">
        <v>176</v>
      </c>
      <c r="D151" s="317" t="s">
        <v>554</v>
      </c>
      <c r="E151" s="317" t="s">
        <v>555</v>
      </c>
      <c r="F151" s="62">
        <v>6100004040</v>
      </c>
      <c r="G151" s="62">
        <v>243</v>
      </c>
      <c r="H151" s="47" t="e">
        <f t="shared" si="23"/>
        <v>#REF!</v>
      </c>
      <c r="I151" s="29" t="e">
        <f>#REF!</f>
        <v>#REF!</v>
      </c>
      <c r="J151" s="29" t="e">
        <f>#REF!</f>
        <v>#REF!</v>
      </c>
      <c r="K151" s="29" t="e">
        <f>#REF!</f>
        <v>#REF!</v>
      </c>
      <c r="L151" s="29" t="e">
        <f>#REF!</f>
        <v>#REF!</v>
      </c>
      <c r="M151" s="86">
        <f>'Подробный перечень'!L720</f>
        <v>13000</v>
      </c>
      <c r="N151" s="86"/>
      <c r="O151" s="86"/>
      <c r="P151" s="86">
        <f>'Подробный перечень'!O720</f>
        <v>13000</v>
      </c>
      <c r="Q151" s="86"/>
      <c r="R151" s="112">
        <f>'Подробный перечень'!$Q$720</f>
        <v>15966.2</v>
      </c>
      <c r="S151" s="112"/>
      <c r="T151" s="112"/>
      <c r="U151" s="112">
        <f>'Подробный перечень'!$T$720</f>
        <v>15966.2</v>
      </c>
      <c r="V151" s="112"/>
      <c r="W151" s="86"/>
      <c r="X151" s="87">
        <f>'Подробный перечень'!W720</f>
        <v>0</v>
      </c>
      <c r="Y151" s="60"/>
      <c r="Z151" s="402"/>
    </row>
    <row r="152" spans="1:27" ht="15.6" customHeight="1">
      <c r="A152" s="14" t="s">
        <v>71</v>
      </c>
      <c r="B152" s="62" t="s">
        <v>414</v>
      </c>
      <c r="C152" s="62">
        <v>176</v>
      </c>
      <c r="D152" s="317" t="s">
        <v>554</v>
      </c>
      <c r="E152" s="317" t="s">
        <v>555</v>
      </c>
      <c r="F152" s="62">
        <v>6100004040</v>
      </c>
      <c r="G152" s="62">
        <v>243</v>
      </c>
      <c r="H152" s="47" t="e">
        <f t="shared" si="23"/>
        <v>#REF!</v>
      </c>
      <c r="I152" s="29" t="e">
        <f>#REF!</f>
        <v>#REF!</v>
      </c>
      <c r="J152" s="29" t="e">
        <f>#REF!</f>
        <v>#REF!</v>
      </c>
      <c r="K152" s="29" t="e">
        <f>#REF!</f>
        <v>#REF!</v>
      </c>
      <c r="L152" s="29" t="e">
        <f>#REF!</f>
        <v>#REF!</v>
      </c>
      <c r="M152" s="86">
        <f>'Подробный перечень'!L726</f>
        <v>18777.3</v>
      </c>
      <c r="N152" s="86">
        <f>'Подробный перечень'!M726</f>
        <v>11777.3</v>
      </c>
      <c r="O152" s="86"/>
      <c r="P152" s="86"/>
      <c r="Q152" s="86">
        <f>'Подробный перечень'!P726</f>
        <v>7000</v>
      </c>
      <c r="R152" s="112">
        <f>'Подробный перечень'!$Q$726</f>
        <v>0</v>
      </c>
      <c r="S152" s="112"/>
      <c r="T152" s="112"/>
      <c r="U152" s="112"/>
      <c r="V152" s="112">
        <f>'Подробный перечень'!U726</f>
        <v>0</v>
      </c>
      <c r="W152" s="86"/>
      <c r="X152" s="87"/>
      <c r="Y152" s="60"/>
      <c r="Z152" s="402"/>
      <c r="AA152" s="99"/>
    </row>
    <row r="153" spans="1:27" ht="24.6" customHeight="1">
      <c r="A153" s="68" t="s">
        <v>32</v>
      </c>
      <c r="B153" s="62" t="s">
        <v>414</v>
      </c>
      <c r="C153" s="62">
        <v>176</v>
      </c>
      <c r="D153" s="317" t="s">
        <v>554</v>
      </c>
      <c r="E153" s="317" t="s">
        <v>555</v>
      </c>
      <c r="F153" s="62">
        <v>6100004040</v>
      </c>
      <c r="G153" s="62">
        <v>243</v>
      </c>
      <c r="H153" s="47" t="e">
        <f t="shared" si="23"/>
        <v>#REF!</v>
      </c>
      <c r="I153" s="29" t="e">
        <f>#REF!</f>
        <v>#REF!</v>
      </c>
      <c r="J153" s="29" t="e">
        <f>#REF!</f>
        <v>#REF!</v>
      </c>
      <c r="K153" s="29" t="e">
        <f>#REF!</f>
        <v>#REF!</v>
      </c>
      <c r="L153" s="29" t="e">
        <f>#REF!</f>
        <v>#REF!</v>
      </c>
      <c r="M153" s="86">
        <f>'Подробный перечень'!L731</f>
        <v>685</v>
      </c>
      <c r="N153" s="86"/>
      <c r="O153" s="86"/>
      <c r="P153" s="86"/>
      <c r="Q153" s="86">
        <f>'Подробный перечень'!P731</f>
        <v>685</v>
      </c>
      <c r="R153" s="112">
        <f>'Подробный перечень'!$Q$731</f>
        <v>1622.2</v>
      </c>
      <c r="S153" s="112"/>
      <c r="T153" s="112">
        <f>'Подробный перечень'!$S$731</f>
        <v>0</v>
      </c>
      <c r="U153" s="112">
        <f>'Подробный перечень'!$T$731</f>
        <v>1622.2</v>
      </c>
      <c r="V153" s="112">
        <f>'Подробный перечень'!U731</f>
        <v>0</v>
      </c>
      <c r="W153" s="86">
        <f>'Подробный перечень'!$V$731</f>
        <v>1500</v>
      </c>
      <c r="X153" s="87">
        <f>'Подробный перечень'!$W$731</f>
        <v>2000</v>
      </c>
      <c r="Y153" s="60"/>
      <c r="Z153" s="405"/>
    </row>
    <row r="154" spans="1:27" ht="36.75" hidden="1" customHeight="1">
      <c r="A154" s="253" t="s">
        <v>238</v>
      </c>
      <c r="B154" s="62" t="s">
        <v>414</v>
      </c>
      <c r="C154" s="62">
        <v>176</v>
      </c>
      <c r="D154" s="317" t="s">
        <v>554</v>
      </c>
      <c r="E154" s="317" t="s">
        <v>15</v>
      </c>
      <c r="F154" s="62">
        <v>6100004040</v>
      </c>
      <c r="G154" s="62">
        <v>243</v>
      </c>
      <c r="H154" s="47" t="e">
        <f>I154</f>
        <v>#REF!</v>
      </c>
      <c r="I154" s="29" t="e">
        <f>#REF!</f>
        <v>#REF!</v>
      </c>
      <c r="J154" s="29"/>
      <c r="K154" s="29"/>
      <c r="L154" s="29"/>
      <c r="M154" s="86"/>
      <c r="N154" s="86"/>
      <c r="O154" s="86"/>
      <c r="P154" s="86"/>
      <c r="Q154" s="86"/>
      <c r="R154" s="112">
        <f>'Подробный перечень'!$Q$732</f>
        <v>0</v>
      </c>
      <c r="S154" s="244"/>
      <c r="T154" s="244"/>
      <c r="U154" s="244"/>
      <c r="V154" s="244"/>
      <c r="W154" s="87"/>
      <c r="X154" s="87"/>
      <c r="Y154" s="60"/>
      <c r="Z154" s="266" t="s">
        <v>479</v>
      </c>
    </row>
    <row r="155" spans="1:27" ht="24.6" customHeight="1">
      <c r="A155" s="410" t="s">
        <v>528</v>
      </c>
      <c r="B155" s="12" t="s">
        <v>89</v>
      </c>
      <c r="C155" s="12"/>
      <c r="D155" s="178"/>
      <c r="E155" s="178"/>
      <c r="F155" s="12"/>
      <c r="G155" s="12"/>
      <c r="H155" s="33" t="e">
        <f>L155</f>
        <v>#REF!</v>
      </c>
      <c r="I155" s="33"/>
      <c r="J155" s="33"/>
      <c r="K155" s="33"/>
      <c r="L155" s="33" t="e">
        <f>#REF!</f>
        <v>#REF!</v>
      </c>
      <c r="M155" s="59">
        <f>'Подробный перечень'!L734</f>
        <v>112.32999999999998</v>
      </c>
      <c r="N155" s="59"/>
      <c r="O155" s="59"/>
      <c r="P155" s="59"/>
      <c r="Q155" s="59"/>
      <c r="R155" s="111">
        <f>'Подробный перечень'!Q734</f>
        <v>46.566000000000003</v>
      </c>
      <c r="S155" s="111"/>
      <c r="T155" s="111"/>
      <c r="U155" s="111">
        <f>'Подробный перечень'!$T$734</f>
        <v>46.566000000000003</v>
      </c>
      <c r="V155" s="111"/>
      <c r="W155" s="59">
        <f>'Подробный перечень'!V734</f>
        <v>24.6</v>
      </c>
      <c r="X155" s="59">
        <f>'Подробный перечень'!W734</f>
        <v>18.48</v>
      </c>
      <c r="Y155" s="395" t="s">
        <v>26</v>
      </c>
      <c r="Z155" s="401" t="s">
        <v>457</v>
      </c>
    </row>
    <row r="156" spans="1:27" ht="48" customHeight="1">
      <c r="A156" s="411"/>
      <c r="B156" s="12" t="s">
        <v>660</v>
      </c>
      <c r="C156" s="12"/>
      <c r="D156" s="178"/>
      <c r="E156" s="178"/>
      <c r="F156" s="12"/>
      <c r="G156" s="12"/>
      <c r="H156" s="13" t="e">
        <f>H157/H155</f>
        <v>#REF!</v>
      </c>
      <c r="I156" s="13"/>
      <c r="J156" s="13"/>
      <c r="K156" s="13"/>
      <c r="L156" s="13" t="e">
        <f>#REF!</f>
        <v>#REF!</v>
      </c>
      <c r="M156" s="59">
        <v>6267.3345656192241</v>
      </c>
      <c r="N156" s="59"/>
      <c r="O156" s="59"/>
      <c r="P156" s="59"/>
      <c r="Q156" s="59"/>
      <c r="R156" s="59">
        <f>R157/R155</f>
        <v>9002.7079843662759</v>
      </c>
      <c r="S156" s="111"/>
      <c r="T156" s="111"/>
      <c r="U156" s="111"/>
      <c r="V156" s="111"/>
      <c r="W156" s="111">
        <f t="shared" ref="W156:X156" si="24">W157/W155</f>
        <v>11670.41869918699</v>
      </c>
      <c r="X156" s="111">
        <f t="shared" si="24"/>
        <v>10524.632034632035</v>
      </c>
      <c r="Y156" s="396"/>
      <c r="Z156" s="402"/>
    </row>
    <row r="157" spans="1:27" ht="32.25" customHeight="1">
      <c r="A157" s="411"/>
      <c r="B157" s="12" t="s">
        <v>25</v>
      </c>
      <c r="C157" s="12">
        <v>176</v>
      </c>
      <c r="D157" s="178" t="s">
        <v>554</v>
      </c>
      <c r="E157" s="178" t="s">
        <v>555</v>
      </c>
      <c r="F157" s="12" t="s">
        <v>312</v>
      </c>
      <c r="G157" s="12">
        <v>244</v>
      </c>
      <c r="H157" s="13" t="e">
        <f t="shared" ref="H157:M157" si="25">H159</f>
        <v>#REF!</v>
      </c>
      <c r="I157" s="13" t="e">
        <f t="shared" si="25"/>
        <v>#REF!</v>
      </c>
      <c r="J157" s="13" t="e">
        <f t="shared" si="25"/>
        <v>#REF!</v>
      </c>
      <c r="K157" s="13" t="e">
        <f t="shared" si="25"/>
        <v>#REF!</v>
      </c>
      <c r="L157" s="13" t="e">
        <f t="shared" si="25"/>
        <v>#REF!</v>
      </c>
      <c r="M157" s="59">
        <f t="shared" si="25"/>
        <v>381231.1</v>
      </c>
      <c r="N157" s="59">
        <f>N159</f>
        <v>202023.7</v>
      </c>
      <c r="O157" s="59">
        <f t="shared" ref="O157:Q157" si="26">O159</f>
        <v>63159.9</v>
      </c>
      <c r="P157" s="59">
        <f t="shared" si="26"/>
        <v>68633.100000000006</v>
      </c>
      <c r="Q157" s="59">
        <f t="shared" si="26"/>
        <v>47414.400000000001</v>
      </c>
      <c r="R157" s="59">
        <f>R159+R160</f>
        <v>419220.10000000003</v>
      </c>
      <c r="S157" s="111">
        <f t="shared" ref="S157:V157" si="27">S159+S160</f>
        <v>0</v>
      </c>
      <c r="T157" s="111">
        <f t="shared" si="27"/>
        <v>15936.9</v>
      </c>
      <c r="U157" s="111">
        <f t="shared" si="27"/>
        <v>368508</v>
      </c>
      <c r="V157" s="111">
        <f t="shared" si="27"/>
        <v>34775.199999999997</v>
      </c>
      <c r="W157" s="59">
        <f>W159+W160</f>
        <v>287092.3</v>
      </c>
      <c r="X157" s="59">
        <f>X159+X160</f>
        <v>194495.2</v>
      </c>
      <c r="Y157" s="396"/>
      <c r="Z157" s="402"/>
    </row>
    <row r="158" spans="1:27" ht="24" customHeight="1">
      <c r="A158" s="17"/>
      <c r="B158" s="12" t="s">
        <v>9</v>
      </c>
      <c r="C158" s="12"/>
      <c r="D158" s="178"/>
      <c r="E158" s="178"/>
      <c r="F158" s="12"/>
      <c r="G158" s="12"/>
      <c r="H158" s="13"/>
      <c r="I158" s="13"/>
      <c r="J158" s="13"/>
      <c r="K158" s="13"/>
      <c r="L158" s="13"/>
      <c r="M158" s="59"/>
      <c r="N158" s="59"/>
      <c r="O158" s="59"/>
      <c r="P158" s="59"/>
      <c r="Q158" s="59"/>
      <c r="R158" s="59"/>
      <c r="S158" s="111"/>
      <c r="T158" s="111"/>
      <c r="U158" s="111"/>
      <c r="V158" s="111"/>
      <c r="W158" s="59"/>
      <c r="X158" s="59"/>
      <c r="Y158" s="396"/>
      <c r="Z158" s="402"/>
    </row>
    <row r="159" spans="1:27" ht="28.5" customHeight="1">
      <c r="A159" s="17"/>
      <c r="B159" s="12" t="s">
        <v>10</v>
      </c>
      <c r="C159" s="12">
        <v>176</v>
      </c>
      <c r="D159" s="178" t="s">
        <v>554</v>
      </c>
      <c r="E159" s="178" t="s">
        <v>555</v>
      </c>
      <c r="F159" s="12">
        <v>6100004040</v>
      </c>
      <c r="G159" s="12">
        <v>244</v>
      </c>
      <c r="H159" s="13" t="e">
        <f t="shared" ref="H159:Q159" si="28">SUM(H164:H203)</f>
        <v>#REF!</v>
      </c>
      <c r="I159" s="13" t="e">
        <f t="shared" si="28"/>
        <v>#REF!</v>
      </c>
      <c r="J159" s="13" t="e">
        <f t="shared" si="28"/>
        <v>#REF!</v>
      </c>
      <c r="K159" s="13" t="e">
        <f t="shared" si="28"/>
        <v>#REF!</v>
      </c>
      <c r="L159" s="13" t="e">
        <f t="shared" si="28"/>
        <v>#REF!</v>
      </c>
      <c r="M159" s="59">
        <f t="shared" si="28"/>
        <v>381231.1</v>
      </c>
      <c r="N159" s="59">
        <f t="shared" si="28"/>
        <v>202023.7</v>
      </c>
      <c r="O159" s="59">
        <f t="shared" si="28"/>
        <v>63159.9</v>
      </c>
      <c r="P159" s="59">
        <f t="shared" si="28"/>
        <v>68633.100000000006</v>
      </c>
      <c r="Q159" s="59">
        <f t="shared" si="28"/>
        <v>47414.400000000001</v>
      </c>
      <c r="R159" s="59">
        <f>R168+R172+R174+R177+R180+R182+R187+R190+R194+R197+R198+R202</f>
        <v>363912.10000000003</v>
      </c>
      <c r="S159" s="111">
        <f>SUM(S164:S204)</f>
        <v>0</v>
      </c>
      <c r="T159" s="111">
        <f>T187+T194+T202</f>
        <v>1620</v>
      </c>
      <c r="U159" s="111">
        <f>U168+U172+U174+U177+U180+U182+U187+U190+U194+U197+U198+U202</f>
        <v>327516.90000000002</v>
      </c>
      <c r="V159" s="111">
        <f>V169+V172+V183+V187+V194</f>
        <v>34775.199999999997</v>
      </c>
      <c r="W159" s="59">
        <f>W172+W177+W187+W189+W191+W198+W202</f>
        <v>226042.3</v>
      </c>
      <c r="X159" s="59">
        <f>X187+X198+X199+X202</f>
        <v>194495.2</v>
      </c>
      <c r="Y159" s="396"/>
      <c r="Z159" s="402"/>
    </row>
    <row r="160" spans="1:27" ht="31.5" customHeight="1">
      <c r="A160" s="17"/>
      <c r="B160" s="12" t="s">
        <v>427</v>
      </c>
      <c r="C160" s="12">
        <v>176</v>
      </c>
      <c r="D160" s="178" t="s">
        <v>554</v>
      </c>
      <c r="E160" s="178" t="s">
        <v>555</v>
      </c>
      <c r="F160" s="12">
        <v>6100053902</v>
      </c>
      <c r="G160" s="12">
        <v>244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59"/>
      <c r="N160" s="59"/>
      <c r="O160" s="59"/>
      <c r="P160" s="59"/>
      <c r="Q160" s="59"/>
      <c r="R160" s="111">
        <f>'Подробный перечень'!Q739</f>
        <v>55308</v>
      </c>
      <c r="S160" s="111">
        <f>'Подробный перечень'!R739</f>
        <v>0</v>
      </c>
      <c r="T160" s="111">
        <f>'Подробный перечень'!S739</f>
        <v>14316.9</v>
      </c>
      <c r="U160" s="111">
        <f>U175+U188</f>
        <v>40991.1</v>
      </c>
      <c r="V160" s="111">
        <f>'Подробный перечень'!U739</f>
        <v>0</v>
      </c>
      <c r="W160" s="59">
        <f>W178+W188</f>
        <v>61050</v>
      </c>
      <c r="X160" s="59">
        <f>'Подробный перечень'!$W$739</f>
        <v>0</v>
      </c>
      <c r="Y160" s="38"/>
      <c r="Z160" s="402"/>
    </row>
    <row r="161" spans="1:27" ht="33.75" customHeight="1">
      <c r="A161" s="17"/>
      <c r="B161" s="12" t="s">
        <v>11</v>
      </c>
      <c r="C161" s="12"/>
      <c r="D161" s="178"/>
      <c r="E161" s="178"/>
      <c r="F161" s="12"/>
      <c r="G161" s="12"/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59"/>
      <c r="N161" s="59"/>
      <c r="O161" s="59"/>
      <c r="P161" s="59"/>
      <c r="Q161" s="59"/>
      <c r="R161" s="111"/>
      <c r="S161" s="111"/>
      <c r="T161" s="111"/>
      <c r="U161" s="111"/>
      <c r="V161" s="111"/>
      <c r="W161" s="59"/>
      <c r="X161" s="59"/>
      <c r="Y161" s="38"/>
      <c r="Z161" s="402"/>
      <c r="AA161" s="99"/>
    </row>
    <row r="162" spans="1:27" ht="33" customHeight="1">
      <c r="A162" s="18"/>
      <c r="B162" s="12" t="s">
        <v>484</v>
      </c>
      <c r="C162" s="12"/>
      <c r="D162" s="178"/>
      <c r="E162" s="178"/>
      <c r="F162" s="12"/>
      <c r="G162" s="12"/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59"/>
      <c r="N162" s="59"/>
      <c r="O162" s="59"/>
      <c r="P162" s="59"/>
      <c r="Q162" s="59"/>
      <c r="R162" s="111"/>
      <c r="S162" s="111"/>
      <c r="T162" s="111"/>
      <c r="U162" s="111"/>
      <c r="V162" s="111"/>
      <c r="W162" s="59"/>
      <c r="X162" s="59"/>
      <c r="Y162" s="49"/>
      <c r="Z162" s="402"/>
      <c r="AA162" s="99"/>
    </row>
    <row r="163" spans="1:27">
      <c r="A163" s="30" t="s">
        <v>41</v>
      </c>
      <c r="B163" s="12"/>
      <c r="C163" s="12"/>
      <c r="D163" s="178"/>
      <c r="E163" s="178"/>
      <c r="F163" s="12"/>
      <c r="G163" s="12"/>
      <c r="H163" s="13"/>
      <c r="I163" s="13"/>
      <c r="J163" s="13"/>
      <c r="K163" s="13"/>
      <c r="L163" s="13"/>
      <c r="M163" s="59"/>
      <c r="N163" s="59"/>
      <c r="O163" s="59"/>
      <c r="P163" s="59"/>
      <c r="Q163" s="59"/>
      <c r="R163" s="111"/>
      <c r="S163" s="119"/>
      <c r="T163" s="119"/>
      <c r="U163" s="119"/>
      <c r="V163" s="119"/>
      <c r="W163" s="85"/>
      <c r="X163" s="85"/>
      <c r="Y163" s="60"/>
      <c r="Z163" s="402"/>
    </row>
    <row r="164" spans="1:27">
      <c r="A164" s="14" t="s">
        <v>42</v>
      </c>
      <c r="B164" s="62" t="s">
        <v>414</v>
      </c>
      <c r="C164" s="62">
        <v>176</v>
      </c>
      <c r="D164" s="317" t="s">
        <v>554</v>
      </c>
      <c r="E164" s="317" t="s">
        <v>555</v>
      </c>
      <c r="F164" s="62">
        <v>6100004040</v>
      </c>
      <c r="G164" s="62">
        <v>244</v>
      </c>
      <c r="H164" s="47" t="e">
        <f>SUM(I164:L164)</f>
        <v>#REF!</v>
      </c>
      <c r="I164" s="47" t="e">
        <f>#REF!</f>
        <v>#REF!</v>
      </c>
      <c r="J164" s="47" t="e">
        <f>#REF!</f>
        <v>#REF!</v>
      </c>
      <c r="K164" s="47" t="e">
        <f>#REF!</f>
        <v>#REF!</v>
      </c>
      <c r="L164" s="47" t="e">
        <f>#REF!</f>
        <v>#REF!</v>
      </c>
      <c r="M164" s="86">
        <f>'Подробный перечень'!L743</f>
        <v>14724.6</v>
      </c>
      <c r="N164" s="86"/>
      <c r="O164" s="86"/>
      <c r="P164" s="86">
        <f>'Подробный перечень'!O743</f>
        <v>14724.6</v>
      </c>
      <c r="Q164" s="86"/>
      <c r="R164" s="112"/>
      <c r="S164" s="112"/>
      <c r="T164" s="112"/>
      <c r="U164" s="112"/>
      <c r="V164" s="112"/>
      <c r="W164" s="86">
        <f>'Подробный перечень'!$V$743</f>
        <v>0</v>
      </c>
      <c r="X164" s="87">
        <f>'Подробный перечень'!$W$743</f>
        <v>0</v>
      </c>
      <c r="Y164" s="60"/>
      <c r="Z164" s="402"/>
      <c r="AA164" s="99"/>
    </row>
    <row r="165" spans="1:27">
      <c r="A165" s="14" t="s">
        <v>43</v>
      </c>
      <c r="B165" s="62" t="s">
        <v>414</v>
      </c>
      <c r="C165" s="62">
        <v>176</v>
      </c>
      <c r="D165" s="317" t="s">
        <v>554</v>
      </c>
      <c r="E165" s="317" t="s">
        <v>555</v>
      </c>
      <c r="F165" s="62">
        <v>6100004040</v>
      </c>
      <c r="G165" s="62">
        <v>244</v>
      </c>
      <c r="H165" s="47" t="e">
        <f t="shared" ref="H165:H202" si="29">SUM(I165:L165)</f>
        <v>#REF!</v>
      </c>
      <c r="I165" s="47" t="e">
        <f>#REF!</f>
        <v>#REF!</v>
      </c>
      <c r="J165" s="47" t="e">
        <f>#REF!</f>
        <v>#REF!</v>
      </c>
      <c r="K165" s="47" t="e">
        <f>#REF!</f>
        <v>#REF!</v>
      </c>
      <c r="L165" s="47" t="e">
        <f>#REF!</f>
        <v>#REF!</v>
      </c>
      <c r="M165" s="86">
        <f>'Подробный перечень'!L747</f>
        <v>5497.6</v>
      </c>
      <c r="N165" s="86">
        <f>'Подробный перечень'!M747</f>
        <v>5497.6</v>
      </c>
      <c r="O165" s="86"/>
      <c r="P165" s="86"/>
      <c r="Q165" s="86"/>
      <c r="R165" s="112"/>
      <c r="S165" s="112"/>
      <c r="T165" s="112"/>
      <c r="U165" s="112"/>
      <c r="V165" s="112"/>
      <c r="W165" s="86"/>
      <c r="X165" s="87">
        <f>'Подробный перечень'!$W$747</f>
        <v>0</v>
      </c>
      <c r="Y165" s="60"/>
      <c r="Z165" s="402"/>
      <c r="AA165" s="99"/>
    </row>
    <row r="166" spans="1:27">
      <c r="A166" s="14" t="s">
        <v>44</v>
      </c>
      <c r="B166" s="62" t="s">
        <v>414</v>
      </c>
      <c r="C166" s="62">
        <v>176</v>
      </c>
      <c r="D166" s="317" t="s">
        <v>554</v>
      </c>
      <c r="E166" s="317" t="s">
        <v>555</v>
      </c>
      <c r="F166" s="62">
        <v>6100004040</v>
      </c>
      <c r="G166" s="62">
        <v>244</v>
      </c>
      <c r="H166" s="47" t="e">
        <f t="shared" si="29"/>
        <v>#REF!</v>
      </c>
      <c r="I166" s="47" t="e">
        <f>#REF!</f>
        <v>#REF!</v>
      </c>
      <c r="J166" s="47" t="e">
        <f>#REF!</f>
        <v>#REF!</v>
      </c>
      <c r="K166" s="47" t="e">
        <f>#REF!</f>
        <v>#REF!</v>
      </c>
      <c r="L166" s="47" t="e">
        <f>#REF!</f>
        <v>#REF!</v>
      </c>
      <c r="M166" s="86"/>
      <c r="N166" s="86"/>
      <c r="O166" s="86"/>
      <c r="P166" s="86"/>
      <c r="Q166" s="86"/>
      <c r="R166" s="112"/>
      <c r="S166" s="112"/>
      <c r="T166" s="112"/>
      <c r="U166" s="112"/>
      <c r="V166" s="112"/>
      <c r="W166" s="86"/>
      <c r="X166" s="87">
        <f>'Подробный перечень'!$W$755</f>
        <v>0</v>
      </c>
      <c r="Y166" s="60"/>
      <c r="Z166" s="402"/>
      <c r="AA166" s="99"/>
    </row>
    <row r="167" spans="1:27">
      <c r="A167" s="14" t="s">
        <v>45</v>
      </c>
      <c r="B167" s="62" t="s">
        <v>414</v>
      </c>
      <c r="C167" s="62">
        <v>176</v>
      </c>
      <c r="D167" s="317" t="s">
        <v>554</v>
      </c>
      <c r="E167" s="317" t="s">
        <v>555</v>
      </c>
      <c r="F167" s="62">
        <v>6100004040</v>
      </c>
      <c r="G167" s="62">
        <v>244</v>
      </c>
      <c r="H167" s="29">
        <f t="shared" si="29"/>
        <v>0</v>
      </c>
      <c r="I167" s="29">
        <v>0</v>
      </c>
      <c r="J167" s="29"/>
      <c r="K167" s="29"/>
      <c r="L167" s="29"/>
      <c r="M167" s="86"/>
      <c r="N167" s="86"/>
      <c r="O167" s="86"/>
      <c r="P167" s="86"/>
      <c r="Q167" s="86"/>
      <c r="R167" s="112"/>
      <c r="S167" s="112"/>
      <c r="T167" s="112"/>
      <c r="U167" s="112"/>
      <c r="V167" s="112"/>
      <c r="W167" s="86"/>
      <c r="X167" s="87"/>
      <c r="Y167" s="60"/>
      <c r="Z167" s="402"/>
      <c r="AA167" s="99"/>
    </row>
    <row r="168" spans="1:27">
      <c r="A168" s="14" t="s">
        <v>46</v>
      </c>
      <c r="B168" s="62" t="s">
        <v>414</v>
      </c>
      <c r="C168" s="62">
        <v>176</v>
      </c>
      <c r="D168" s="317" t="s">
        <v>554</v>
      </c>
      <c r="E168" s="317" t="s">
        <v>555</v>
      </c>
      <c r="F168" s="62">
        <v>6100004040</v>
      </c>
      <c r="G168" s="62">
        <v>244</v>
      </c>
      <c r="H168" s="29" t="e">
        <f t="shared" si="29"/>
        <v>#REF!</v>
      </c>
      <c r="I168" s="29" t="e">
        <f>#REF!</f>
        <v>#REF!</v>
      </c>
      <c r="J168" s="29" t="e">
        <f>#REF!</f>
        <v>#REF!</v>
      </c>
      <c r="K168" s="29" t="e">
        <f>#REF!</f>
        <v>#REF!</v>
      </c>
      <c r="L168" s="29" t="e">
        <f>#REF!</f>
        <v>#REF!</v>
      </c>
      <c r="M168" s="86">
        <f>'Подробный перечень'!L759</f>
        <v>7493.9</v>
      </c>
      <c r="N168" s="86">
        <f>'Подробный перечень'!M759</f>
        <v>7493.9</v>
      </c>
      <c r="O168" s="86"/>
      <c r="P168" s="86"/>
      <c r="Q168" s="86"/>
      <c r="R168" s="112">
        <f>U168</f>
        <v>39029.200000000004</v>
      </c>
      <c r="S168" s="112"/>
      <c r="T168" s="112"/>
      <c r="U168" s="112">
        <f>'Подробный перечень'!$T$759</f>
        <v>39029.200000000004</v>
      </c>
      <c r="V168" s="112"/>
      <c r="W168" s="86"/>
      <c r="X168" s="87"/>
      <c r="Y168" s="60"/>
      <c r="Z168" s="402"/>
      <c r="AA168" s="99"/>
    </row>
    <row r="169" spans="1:27">
      <c r="A169" s="14" t="s">
        <v>47</v>
      </c>
      <c r="B169" s="62" t="s">
        <v>414</v>
      </c>
      <c r="C169" s="62">
        <v>176</v>
      </c>
      <c r="D169" s="317" t="s">
        <v>554</v>
      </c>
      <c r="E169" s="317" t="s">
        <v>555</v>
      </c>
      <c r="F169" s="62">
        <v>6100004040</v>
      </c>
      <c r="G169" s="62">
        <v>244</v>
      </c>
      <c r="H169" s="29" t="e">
        <f t="shared" si="29"/>
        <v>#REF!</v>
      </c>
      <c r="I169" s="29" t="e">
        <f>#REF!</f>
        <v>#REF!</v>
      </c>
      <c r="J169" s="29" t="e">
        <f>#REF!</f>
        <v>#REF!</v>
      </c>
      <c r="K169" s="29" t="e">
        <f>#REF!</f>
        <v>#REF!</v>
      </c>
      <c r="L169" s="29" t="e">
        <f>#REF!</f>
        <v>#REF!</v>
      </c>
      <c r="M169" s="86"/>
      <c r="N169" s="86"/>
      <c r="O169" s="86"/>
      <c r="P169" s="86"/>
      <c r="Q169" s="86"/>
      <c r="R169" s="112">
        <f>'Подробный перечень'!$Q$765</f>
        <v>0</v>
      </c>
      <c r="S169" s="112"/>
      <c r="T169" s="112"/>
      <c r="U169" s="112"/>
      <c r="V169" s="112"/>
      <c r="W169" s="86"/>
      <c r="X169" s="87">
        <f>'Подробный перечень'!$W$765</f>
        <v>0</v>
      </c>
      <c r="Y169" s="60"/>
      <c r="Z169" s="402"/>
      <c r="AA169" s="99"/>
    </row>
    <row r="170" spans="1:27">
      <c r="A170" s="14" t="s">
        <v>48</v>
      </c>
      <c r="B170" s="62" t="s">
        <v>414</v>
      </c>
      <c r="C170" s="62">
        <v>176</v>
      </c>
      <c r="D170" s="317" t="s">
        <v>554</v>
      </c>
      <c r="E170" s="317" t="s">
        <v>555</v>
      </c>
      <c r="F170" s="62">
        <v>6100004040</v>
      </c>
      <c r="G170" s="62">
        <v>244</v>
      </c>
      <c r="H170" s="29" t="e">
        <f t="shared" si="29"/>
        <v>#REF!</v>
      </c>
      <c r="I170" s="29" t="e">
        <f>#REF!</f>
        <v>#REF!</v>
      </c>
      <c r="J170" s="29" t="e">
        <f>#REF!</f>
        <v>#REF!</v>
      </c>
      <c r="K170" s="29" t="e">
        <f>#REF!</f>
        <v>#REF!</v>
      </c>
      <c r="L170" s="29" t="e">
        <f>#REF!</f>
        <v>#REF!</v>
      </c>
      <c r="M170" s="86">
        <f>'Подробный перечень'!L769</f>
        <v>25081.3</v>
      </c>
      <c r="N170" s="86">
        <f>'Подробный перечень'!M769</f>
        <v>25081.3</v>
      </c>
      <c r="O170" s="86"/>
      <c r="P170" s="86"/>
      <c r="Q170" s="86"/>
      <c r="R170" s="112">
        <f>'Подробный перечень'!$Q$769</f>
        <v>0</v>
      </c>
      <c r="S170" s="112"/>
      <c r="T170" s="112"/>
      <c r="U170" s="112">
        <f>'Подробный перечень'!T769</f>
        <v>0</v>
      </c>
      <c r="V170" s="112"/>
      <c r="W170" s="86"/>
      <c r="X170" s="87"/>
      <c r="Y170" s="60"/>
      <c r="Z170" s="402"/>
      <c r="AA170" s="99"/>
    </row>
    <row r="171" spans="1:27">
      <c r="A171" s="14" t="s">
        <v>49</v>
      </c>
      <c r="B171" s="62" t="s">
        <v>414</v>
      </c>
      <c r="C171" s="62">
        <v>176</v>
      </c>
      <c r="D171" s="317" t="s">
        <v>554</v>
      </c>
      <c r="E171" s="317" t="s">
        <v>555</v>
      </c>
      <c r="F171" s="62">
        <v>6100004040</v>
      </c>
      <c r="G171" s="62">
        <v>244</v>
      </c>
      <c r="H171" s="29" t="e">
        <f t="shared" si="29"/>
        <v>#REF!</v>
      </c>
      <c r="I171" s="29" t="e">
        <f>#REF!</f>
        <v>#REF!</v>
      </c>
      <c r="J171" s="29" t="e">
        <f>#REF!</f>
        <v>#REF!</v>
      </c>
      <c r="K171" s="29" t="e">
        <f>#REF!</f>
        <v>#REF!</v>
      </c>
      <c r="L171" s="29" t="e">
        <f>#REF!</f>
        <v>#REF!</v>
      </c>
      <c r="M171" s="86">
        <f>'Подробный перечень'!L781</f>
        <v>12473.5</v>
      </c>
      <c r="N171" s="86">
        <f>'Подробный перечень'!M781</f>
        <v>12473.5</v>
      </c>
      <c r="O171" s="86"/>
      <c r="P171" s="86"/>
      <c r="Q171" s="86"/>
      <c r="R171" s="112">
        <f>'Подробный перечень'!$Q$781</f>
        <v>0</v>
      </c>
      <c r="S171" s="112"/>
      <c r="T171" s="112"/>
      <c r="U171" s="112">
        <f>'Подробный перечень'!T781</f>
        <v>0</v>
      </c>
      <c r="V171" s="112"/>
      <c r="W171" s="86"/>
      <c r="X171" s="87">
        <f>'Подробный перечень'!$W$781</f>
        <v>0</v>
      </c>
      <c r="Y171" s="60"/>
      <c r="Z171" s="402"/>
    </row>
    <row r="172" spans="1:27">
      <c r="A172" s="14" t="s">
        <v>50</v>
      </c>
      <c r="B172" s="62" t="s">
        <v>414</v>
      </c>
      <c r="C172" s="62">
        <v>176</v>
      </c>
      <c r="D172" s="317" t="s">
        <v>554</v>
      </c>
      <c r="E172" s="317" t="s">
        <v>555</v>
      </c>
      <c r="F172" s="62">
        <v>6100004040</v>
      </c>
      <c r="G172" s="62">
        <v>244</v>
      </c>
      <c r="H172" s="29" t="e">
        <f t="shared" si="29"/>
        <v>#REF!</v>
      </c>
      <c r="I172" s="29" t="e">
        <f>#REF!</f>
        <v>#REF!</v>
      </c>
      <c r="J172" s="29" t="e">
        <f>#REF!</f>
        <v>#REF!</v>
      </c>
      <c r="K172" s="29" t="e">
        <f>#REF!</f>
        <v>#REF!</v>
      </c>
      <c r="L172" s="29" t="e">
        <f>#REF!</f>
        <v>#REF!</v>
      </c>
      <c r="M172" s="86"/>
      <c r="N172" s="86"/>
      <c r="O172" s="86"/>
      <c r="P172" s="86"/>
      <c r="Q172" s="86"/>
      <c r="R172" s="112">
        <f>'Подробный перечень'!Q785</f>
        <v>28500</v>
      </c>
      <c r="S172" s="112"/>
      <c r="T172" s="112"/>
      <c r="U172" s="112">
        <f>'Подробный перечень'!$T$785</f>
        <v>28500</v>
      </c>
      <c r="V172" s="112">
        <f>'Подробный перечень'!$U$785</f>
        <v>0</v>
      </c>
      <c r="W172" s="86">
        <f>'Подробный перечень'!$V$785</f>
        <v>43987.5</v>
      </c>
      <c r="X172" s="87">
        <f>'Подробный перечень'!$W$785</f>
        <v>0</v>
      </c>
      <c r="Y172" s="60"/>
      <c r="Z172" s="402"/>
      <c r="AA172" s="99"/>
    </row>
    <row r="173" spans="1:27">
      <c r="A173" s="412" t="s">
        <v>51</v>
      </c>
      <c r="B173" s="62" t="s">
        <v>415</v>
      </c>
      <c r="C173" s="62">
        <v>176</v>
      </c>
      <c r="D173" s="317" t="s">
        <v>554</v>
      </c>
      <c r="E173" s="317" t="s">
        <v>555</v>
      </c>
      <c r="F173" s="62" t="s">
        <v>312</v>
      </c>
      <c r="G173" s="62">
        <v>244</v>
      </c>
      <c r="H173" s="29" t="e">
        <f t="shared" si="29"/>
        <v>#REF!</v>
      </c>
      <c r="I173" s="29" t="e">
        <f>#REF!</f>
        <v>#REF!</v>
      </c>
      <c r="J173" s="29" t="e">
        <f>#REF!</f>
        <v>#REF!</v>
      </c>
      <c r="K173" s="29" t="e">
        <f>#REF!</f>
        <v>#REF!</v>
      </c>
      <c r="L173" s="29" t="e">
        <f>#REF!</f>
        <v>#REF!</v>
      </c>
      <c r="M173" s="86"/>
      <c r="N173" s="86"/>
      <c r="O173" s="86"/>
      <c r="P173" s="86"/>
      <c r="Q173" s="86"/>
      <c r="R173" s="112">
        <f>'Подробный перечень'!$Q$791</f>
        <v>21339.1</v>
      </c>
      <c r="S173" s="112"/>
      <c r="T173" s="112"/>
      <c r="U173" s="112">
        <f>U174+U175</f>
        <v>21339.1</v>
      </c>
      <c r="V173" s="112"/>
      <c r="W173" s="86">
        <f>'Подробный перечень'!$V$791</f>
        <v>0</v>
      </c>
      <c r="X173" s="87"/>
      <c r="Y173" s="60"/>
      <c r="Z173" s="402"/>
      <c r="AA173" s="99"/>
    </row>
    <row r="174" spans="1:27">
      <c r="A174" s="413"/>
      <c r="B174" s="195" t="s">
        <v>414</v>
      </c>
      <c r="C174" s="195">
        <v>176</v>
      </c>
      <c r="D174" s="317" t="s">
        <v>554</v>
      </c>
      <c r="E174" s="317" t="s">
        <v>555</v>
      </c>
      <c r="F174" s="195">
        <v>6100004040</v>
      </c>
      <c r="G174" s="195">
        <v>244</v>
      </c>
      <c r="H174" s="29"/>
      <c r="I174" s="29"/>
      <c r="J174" s="29"/>
      <c r="K174" s="29"/>
      <c r="L174" s="29"/>
      <c r="M174" s="86"/>
      <c r="N174" s="86"/>
      <c r="O174" s="86"/>
      <c r="P174" s="86"/>
      <c r="Q174" s="86"/>
      <c r="R174" s="112">
        <f>'Подробный перечень'!$Q$792</f>
        <v>11339.1</v>
      </c>
      <c r="S174" s="112"/>
      <c r="T174" s="112"/>
      <c r="U174" s="112">
        <f>'Подробный перечень'!T792</f>
        <v>11339.1</v>
      </c>
      <c r="V174" s="112"/>
      <c r="W174" s="86">
        <f>'Подробный перечень'!$V$792</f>
        <v>0</v>
      </c>
      <c r="X174" s="87"/>
      <c r="Y174" s="196"/>
      <c r="Z174" s="402"/>
      <c r="AA174" s="99"/>
    </row>
    <row r="175" spans="1:27" ht="24">
      <c r="A175" s="414"/>
      <c r="B175" s="195" t="s">
        <v>666</v>
      </c>
      <c r="C175" s="195">
        <v>176</v>
      </c>
      <c r="D175" s="317" t="s">
        <v>554</v>
      </c>
      <c r="E175" s="317" t="s">
        <v>555</v>
      </c>
      <c r="F175" s="195">
        <v>6100053902</v>
      </c>
      <c r="G175" s="195">
        <v>244</v>
      </c>
      <c r="H175" s="29"/>
      <c r="I175" s="29"/>
      <c r="J175" s="29"/>
      <c r="K175" s="29"/>
      <c r="L175" s="29"/>
      <c r="M175" s="86"/>
      <c r="N175" s="86"/>
      <c r="O175" s="86"/>
      <c r="P175" s="86"/>
      <c r="Q175" s="86"/>
      <c r="R175" s="112">
        <f>'Подробный перечень'!$Q$793</f>
        <v>10000</v>
      </c>
      <c r="S175" s="112"/>
      <c r="T175" s="112"/>
      <c r="U175" s="112">
        <f>'Подробный перечень'!$T$793</f>
        <v>10000</v>
      </c>
      <c r="V175" s="112"/>
      <c r="W175" s="86">
        <f>'Подробный перечень'!$V$793</f>
        <v>0</v>
      </c>
      <c r="X175" s="87"/>
      <c r="Y175" s="196"/>
      <c r="Z175" s="402"/>
      <c r="AA175" s="99"/>
    </row>
    <row r="176" spans="1:27">
      <c r="A176" s="412" t="s">
        <v>52</v>
      </c>
      <c r="B176" s="62" t="s">
        <v>415</v>
      </c>
      <c r="C176" s="62">
        <v>176</v>
      </c>
      <c r="D176" s="317" t="s">
        <v>554</v>
      </c>
      <c r="E176" s="317" t="s">
        <v>555</v>
      </c>
      <c r="F176" s="62" t="s">
        <v>312</v>
      </c>
      <c r="G176" s="62">
        <v>244</v>
      </c>
      <c r="H176" s="29" t="e">
        <f t="shared" si="29"/>
        <v>#REF!</v>
      </c>
      <c r="I176" s="29" t="e">
        <f>#REF!</f>
        <v>#REF!</v>
      </c>
      <c r="J176" s="29" t="e">
        <f>#REF!</f>
        <v>#REF!</v>
      </c>
      <c r="K176" s="29" t="e">
        <f>#REF!</f>
        <v>#REF!</v>
      </c>
      <c r="L176" s="29" t="e">
        <f>#REF!</f>
        <v>#REF!</v>
      </c>
      <c r="M176" s="86"/>
      <c r="N176" s="86"/>
      <c r="O176" s="86"/>
      <c r="P176" s="86"/>
      <c r="Q176" s="86"/>
      <c r="R176" s="112">
        <f>SUM(S176:V176)</f>
        <v>40112.300000000003</v>
      </c>
      <c r="S176" s="112"/>
      <c r="T176" s="112"/>
      <c r="U176" s="112">
        <f>SUM(U177:U178)</f>
        <v>40112.300000000003</v>
      </c>
      <c r="V176" s="112"/>
      <c r="W176" s="86">
        <f>W177+W178</f>
        <v>33300</v>
      </c>
      <c r="X176" s="87">
        <f>'Подробный перечень'!$W$801</f>
        <v>0</v>
      </c>
      <c r="Y176" s="60"/>
      <c r="Z176" s="402"/>
    </row>
    <row r="177" spans="1:27">
      <c r="A177" s="413"/>
      <c r="B177" s="282" t="s">
        <v>414</v>
      </c>
      <c r="C177" s="282">
        <v>176</v>
      </c>
      <c r="D177" s="317" t="s">
        <v>554</v>
      </c>
      <c r="E177" s="317" t="s">
        <v>555</v>
      </c>
      <c r="F177" s="282">
        <v>6100004040</v>
      </c>
      <c r="G177" s="282">
        <v>244</v>
      </c>
      <c r="H177" s="29"/>
      <c r="I177" s="29"/>
      <c r="J177" s="29"/>
      <c r="K177" s="29"/>
      <c r="L177" s="29"/>
      <c r="M177" s="86"/>
      <c r="N177" s="86"/>
      <c r="O177" s="86"/>
      <c r="P177" s="86"/>
      <c r="Q177" s="86"/>
      <c r="R177" s="112">
        <f>SUM(S177:V177)</f>
        <v>40112.300000000003</v>
      </c>
      <c r="S177" s="112"/>
      <c r="T177" s="112"/>
      <c r="U177" s="112">
        <f>'Подробный перечень'!$T$800</f>
        <v>40112.300000000003</v>
      </c>
      <c r="V177" s="112"/>
      <c r="W177" s="86">
        <f>'Подробный перечень'!$V$800</f>
        <v>28300</v>
      </c>
      <c r="X177" s="87"/>
      <c r="Y177" s="283"/>
      <c r="Z177" s="402"/>
    </row>
    <row r="178" spans="1:27" ht="24">
      <c r="A178" s="414"/>
      <c r="B178" s="282" t="s">
        <v>666</v>
      </c>
      <c r="C178" s="282">
        <v>176</v>
      </c>
      <c r="D178" s="317" t="s">
        <v>554</v>
      </c>
      <c r="E178" s="317" t="s">
        <v>555</v>
      </c>
      <c r="F178" s="282">
        <v>6100053902</v>
      </c>
      <c r="G178" s="282">
        <v>244</v>
      </c>
      <c r="H178" s="29"/>
      <c r="I178" s="29"/>
      <c r="J178" s="29"/>
      <c r="K178" s="29"/>
      <c r="L178" s="29"/>
      <c r="M178" s="86"/>
      <c r="N178" s="86"/>
      <c r="O178" s="86"/>
      <c r="P178" s="86"/>
      <c r="Q178" s="86"/>
      <c r="R178" s="112"/>
      <c r="S178" s="112"/>
      <c r="T178" s="112"/>
      <c r="U178" s="112"/>
      <c r="V178" s="112"/>
      <c r="W178" s="86">
        <f>'Подробный перечень'!$V$801</f>
        <v>5000</v>
      </c>
      <c r="X178" s="87"/>
      <c r="Y178" s="283"/>
      <c r="Z178" s="402"/>
    </row>
    <row r="179" spans="1:27">
      <c r="A179" s="14" t="s">
        <v>53</v>
      </c>
      <c r="B179" s="62" t="s">
        <v>414</v>
      </c>
      <c r="C179" s="62">
        <v>176</v>
      </c>
      <c r="D179" s="317" t="s">
        <v>554</v>
      </c>
      <c r="E179" s="317" t="s">
        <v>555</v>
      </c>
      <c r="F179" s="62">
        <v>6100004040</v>
      </c>
      <c r="G179" s="62">
        <v>244</v>
      </c>
      <c r="H179" s="29" t="e">
        <f t="shared" si="29"/>
        <v>#REF!</v>
      </c>
      <c r="I179" s="29" t="e">
        <f>#REF!</f>
        <v>#REF!</v>
      </c>
      <c r="J179" s="29" t="e">
        <f>#REF!</f>
        <v>#REF!</v>
      </c>
      <c r="K179" s="29" t="e">
        <f>#REF!</f>
        <v>#REF!</v>
      </c>
      <c r="L179" s="29" t="e">
        <f>#REF!</f>
        <v>#REF!</v>
      </c>
      <c r="M179" s="86">
        <f>'Подробный перечень'!L810</f>
        <v>19735.5</v>
      </c>
      <c r="N179" s="86">
        <f>'Подробный перечень'!M810</f>
        <v>19735.5</v>
      </c>
      <c r="O179" s="86"/>
      <c r="P179" s="86"/>
      <c r="Q179" s="86"/>
      <c r="R179" s="112"/>
      <c r="S179" s="112"/>
      <c r="T179" s="112"/>
      <c r="U179" s="112"/>
      <c r="V179" s="112"/>
      <c r="W179" s="86">
        <f>'Подробный перечень'!$V$810</f>
        <v>0</v>
      </c>
      <c r="X179" s="87">
        <f>'Подробный перечень'!$W$810</f>
        <v>0</v>
      </c>
      <c r="Y179" s="60"/>
      <c r="Z179" s="402"/>
    </row>
    <row r="180" spans="1:27">
      <c r="A180" s="14" t="s">
        <v>54</v>
      </c>
      <c r="B180" s="62" t="s">
        <v>414</v>
      </c>
      <c r="C180" s="62">
        <v>176</v>
      </c>
      <c r="D180" s="317" t="s">
        <v>554</v>
      </c>
      <c r="E180" s="317" t="s">
        <v>555</v>
      </c>
      <c r="F180" s="62">
        <v>6100004040</v>
      </c>
      <c r="G180" s="62">
        <v>244</v>
      </c>
      <c r="H180" s="29" t="e">
        <f t="shared" si="29"/>
        <v>#REF!</v>
      </c>
      <c r="I180" s="29" t="e">
        <f>#REF!</f>
        <v>#REF!</v>
      </c>
      <c r="J180" s="29" t="e">
        <f>#REF!</f>
        <v>#REF!</v>
      </c>
      <c r="K180" s="29" t="e">
        <f>#REF!</f>
        <v>#REF!</v>
      </c>
      <c r="L180" s="29" t="e">
        <f>#REF!</f>
        <v>#REF!</v>
      </c>
      <c r="M180" s="86">
        <f>'Подробный перечень'!L816</f>
        <v>60644.4</v>
      </c>
      <c r="N180" s="86">
        <f>'Подробный перечень'!M816</f>
        <v>60644.4</v>
      </c>
      <c r="O180" s="86"/>
      <c r="P180" s="86"/>
      <c r="Q180" s="86"/>
      <c r="R180" s="112">
        <f>'Подробный перечень'!$Q$816</f>
        <v>19566.8</v>
      </c>
      <c r="S180" s="112"/>
      <c r="T180" s="112"/>
      <c r="U180" s="112">
        <f>'Подробный перечень'!T816</f>
        <v>19566.8</v>
      </c>
      <c r="V180" s="112"/>
      <c r="W180" s="86">
        <f>'Подробный перечень'!$V$816</f>
        <v>0</v>
      </c>
      <c r="X180" s="87"/>
      <c r="Y180" s="60"/>
      <c r="Z180" s="402"/>
    </row>
    <row r="181" spans="1:27">
      <c r="A181" s="14" t="s">
        <v>55</v>
      </c>
      <c r="B181" s="62" t="s">
        <v>414</v>
      </c>
      <c r="C181" s="62">
        <v>176</v>
      </c>
      <c r="D181" s="317" t="s">
        <v>554</v>
      </c>
      <c r="E181" s="317" t="s">
        <v>555</v>
      </c>
      <c r="F181" s="62">
        <v>6100004040</v>
      </c>
      <c r="G181" s="62">
        <v>244</v>
      </c>
      <c r="H181" s="29" t="e">
        <f t="shared" si="29"/>
        <v>#REF!</v>
      </c>
      <c r="I181" s="29" t="e">
        <f>#REF!</f>
        <v>#REF!</v>
      </c>
      <c r="J181" s="29" t="e">
        <f>#REF!</f>
        <v>#REF!</v>
      </c>
      <c r="K181" s="29" t="e">
        <f>#REF!</f>
        <v>#REF!</v>
      </c>
      <c r="L181" s="29" t="e">
        <f>#REF!</f>
        <v>#REF!</v>
      </c>
      <c r="M181" s="86"/>
      <c r="N181" s="86"/>
      <c r="O181" s="86"/>
      <c r="P181" s="86"/>
      <c r="Q181" s="86"/>
      <c r="R181" s="112"/>
      <c r="S181" s="112"/>
      <c r="T181" s="112"/>
      <c r="U181" s="112"/>
      <c r="V181" s="112"/>
      <c r="W181" s="86">
        <f>'Подробный перечень'!$V$830</f>
        <v>0</v>
      </c>
      <c r="X181" s="87"/>
      <c r="Y181" s="60"/>
      <c r="Z181" s="402"/>
      <c r="AA181" s="99"/>
    </row>
    <row r="182" spans="1:27">
      <c r="A182" s="14" t="s">
        <v>56</v>
      </c>
      <c r="B182" s="62" t="s">
        <v>414</v>
      </c>
      <c r="C182" s="62">
        <v>176</v>
      </c>
      <c r="D182" s="317" t="s">
        <v>554</v>
      </c>
      <c r="E182" s="317" t="s">
        <v>555</v>
      </c>
      <c r="F182" s="62">
        <v>6100004040</v>
      </c>
      <c r="G182" s="62">
        <v>244</v>
      </c>
      <c r="H182" s="29" t="e">
        <f t="shared" si="29"/>
        <v>#REF!</v>
      </c>
      <c r="I182" s="29" t="e">
        <f>#REF!</f>
        <v>#REF!</v>
      </c>
      <c r="J182" s="29" t="e">
        <f>#REF!</f>
        <v>#REF!</v>
      </c>
      <c r="K182" s="29" t="e">
        <f>#REF!</f>
        <v>#REF!</v>
      </c>
      <c r="L182" s="29" t="e">
        <f>#REF!</f>
        <v>#REF!</v>
      </c>
      <c r="M182" s="86"/>
      <c r="N182" s="86"/>
      <c r="O182" s="86"/>
      <c r="P182" s="86"/>
      <c r="Q182" s="86"/>
      <c r="R182" s="112">
        <f>'Подробный перечень'!$Q$826</f>
        <v>18983.8</v>
      </c>
      <c r="S182" s="112"/>
      <c r="T182" s="112"/>
      <c r="U182" s="112">
        <f>'Подробный перечень'!$T$826</f>
        <v>18983.8</v>
      </c>
      <c r="V182" s="112"/>
      <c r="W182" s="86"/>
      <c r="X182" s="87"/>
      <c r="Y182" s="60"/>
      <c r="Z182" s="402"/>
    </row>
    <row r="183" spans="1:27">
      <c r="A183" s="14" t="s">
        <v>57</v>
      </c>
      <c r="B183" s="62" t="s">
        <v>414</v>
      </c>
      <c r="C183" s="62">
        <v>176</v>
      </c>
      <c r="D183" s="317" t="s">
        <v>554</v>
      </c>
      <c r="E183" s="317" t="s">
        <v>555</v>
      </c>
      <c r="F183" s="62">
        <v>6100004040</v>
      </c>
      <c r="G183" s="62">
        <v>244</v>
      </c>
      <c r="H183" s="29" t="e">
        <f t="shared" si="29"/>
        <v>#REF!</v>
      </c>
      <c r="I183" s="29" t="e">
        <f>#REF!</f>
        <v>#REF!</v>
      </c>
      <c r="J183" s="29" t="e">
        <f>#REF!</f>
        <v>#REF!</v>
      </c>
      <c r="K183" s="29" t="e">
        <f>#REF!</f>
        <v>#REF!</v>
      </c>
      <c r="L183" s="29" t="e">
        <f>#REF!</f>
        <v>#REF!</v>
      </c>
      <c r="M183" s="86"/>
      <c r="N183" s="86"/>
      <c r="O183" s="86"/>
      <c r="P183" s="86"/>
      <c r="Q183" s="86"/>
      <c r="R183" s="112">
        <f>'Подробный перечень'!$Q$830</f>
        <v>0</v>
      </c>
      <c r="S183" s="112"/>
      <c r="T183" s="112"/>
      <c r="U183" s="112"/>
      <c r="V183" s="112"/>
      <c r="W183" s="86">
        <f>'Подробный перечень'!$V$830</f>
        <v>0</v>
      </c>
      <c r="X183" s="87"/>
      <c r="Y183" s="60"/>
      <c r="Z183" s="402"/>
    </row>
    <row r="184" spans="1:27">
      <c r="A184" s="14" t="s">
        <v>58</v>
      </c>
      <c r="B184" s="62" t="s">
        <v>414</v>
      </c>
      <c r="C184" s="62">
        <v>176</v>
      </c>
      <c r="D184" s="317" t="s">
        <v>554</v>
      </c>
      <c r="E184" s="317" t="s">
        <v>555</v>
      </c>
      <c r="F184" s="62">
        <v>6100004040</v>
      </c>
      <c r="G184" s="62">
        <v>244</v>
      </c>
      <c r="H184" s="29" t="e">
        <f t="shared" si="29"/>
        <v>#REF!</v>
      </c>
      <c r="I184" s="29" t="e">
        <f>#REF!</f>
        <v>#REF!</v>
      </c>
      <c r="J184" s="29" t="e">
        <f>#REF!</f>
        <v>#REF!</v>
      </c>
      <c r="K184" s="29" t="e">
        <f>#REF!</f>
        <v>#REF!</v>
      </c>
      <c r="L184" s="29" t="e">
        <f>#REF!</f>
        <v>#REF!</v>
      </c>
      <c r="M184" s="86"/>
      <c r="N184" s="86"/>
      <c r="O184" s="86"/>
      <c r="P184" s="86"/>
      <c r="Q184" s="86"/>
      <c r="R184" s="112">
        <f>'Подробный перечень'!$Q$836</f>
        <v>0</v>
      </c>
      <c r="S184" s="112"/>
      <c r="T184" s="112"/>
      <c r="U184" s="112">
        <f>'Подробный перечень'!T836</f>
        <v>0</v>
      </c>
      <c r="V184" s="112"/>
      <c r="W184" s="86"/>
      <c r="X184" s="87"/>
      <c r="Y184" s="60"/>
      <c r="Z184" s="402"/>
    </row>
    <row r="185" spans="1:27">
      <c r="A185" s="14" t="s">
        <v>59</v>
      </c>
      <c r="B185" s="62" t="s">
        <v>414</v>
      </c>
      <c r="C185" s="62">
        <v>176</v>
      </c>
      <c r="D185" s="317" t="s">
        <v>554</v>
      </c>
      <c r="E185" s="317" t="s">
        <v>555</v>
      </c>
      <c r="F185" s="62">
        <v>6100004040</v>
      </c>
      <c r="G185" s="62">
        <v>244</v>
      </c>
      <c r="H185" s="29" t="e">
        <f t="shared" si="29"/>
        <v>#REF!</v>
      </c>
      <c r="I185" s="29" t="e">
        <f>#REF!</f>
        <v>#REF!</v>
      </c>
      <c r="J185" s="29" t="e">
        <f>#REF!</f>
        <v>#REF!</v>
      </c>
      <c r="K185" s="29" t="e">
        <f>#REF!</f>
        <v>#REF!</v>
      </c>
      <c r="L185" s="29" t="e">
        <f>#REF!</f>
        <v>#REF!</v>
      </c>
      <c r="M185" s="86"/>
      <c r="N185" s="86"/>
      <c r="O185" s="86"/>
      <c r="P185" s="86"/>
      <c r="Q185" s="86"/>
      <c r="R185" s="112">
        <f>'Подробный перечень'!$Q$840</f>
        <v>0</v>
      </c>
      <c r="S185" s="112"/>
      <c r="T185" s="112"/>
      <c r="U185" s="112">
        <f>'Подробный перечень'!T840</f>
        <v>0</v>
      </c>
      <c r="V185" s="112"/>
      <c r="W185" s="86"/>
      <c r="X185" s="87">
        <f>'Подробный перечень'!$W$840</f>
        <v>0</v>
      </c>
      <c r="Y185" s="60"/>
      <c r="Z185" s="402"/>
    </row>
    <row r="186" spans="1:27">
      <c r="A186" s="412" t="s">
        <v>60</v>
      </c>
      <c r="B186" s="62" t="s">
        <v>415</v>
      </c>
      <c r="C186" s="62">
        <v>176</v>
      </c>
      <c r="D186" s="317" t="s">
        <v>554</v>
      </c>
      <c r="E186" s="317" t="s">
        <v>555</v>
      </c>
      <c r="F186" s="62" t="s">
        <v>312</v>
      </c>
      <c r="G186" s="62">
        <v>244</v>
      </c>
      <c r="H186" s="29" t="e">
        <f t="shared" si="29"/>
        <v>#REF!</v>
      </c>
      <c r="I186" s="29" t="e">
        <f>#REF!</f>
        <v>#REF!</v>
      </c>
      <c r="J186" s="29" t="e">
        <f>#REF!</f>
        <v>#REF!</v>
      </c>
      <c r="K186" s="29" t="e">
        <f>#REF!</f>
        <v>#REF!</v>
      </c>
      <c r="L186" s="29" t="e">
        <f>#REF!</f>
        <v>#REF!</v>
      </c>
      <c r="M186" s="86">
        <f>'Подробный перечень'!L848</f>
        <v>131011.4</v>
      </c>
      <c r="N186" s="86">
        <f>'Подробный перечень'!M848</f>
        <v>25576.199999999997</v>
      </c>
      <c r="O186" s="86">
        <f>'Подробный перечень'!N848</f>
        <v>44632.5</v>
      </c>
      <c r="P186" s="86">
        <f>'Подробный перечень'!O848</f>
        <v>13888.300000000001</v>
      </c>
      <c r="Q186" s="86">
        <f>'Подробный перечень'!P848</f>
        <v>46914.400000000001</v>
      </c>
      <c r="R186" s="112">
        <f>R187+R188</f>
        <v>140833</v>
      </c>
      <c r="S186" s="112"/>
      <c r="T186" s="112">
        <f>T187+T188</f>
        <v>15936.9</v>
      </c>
      <c r="U186" s="112">
        <f>U187+U188</f>
        <v>90120.9</v>
      </c>
      <c r="V186" s="112">
        <f>V187+V188</f>
        <v>34775.199999999997</v>
      </c>
      <c r="W186" s="86">
        <f>W187+W188</f>
        <v>188968</v>
      </c>
      <c r="X186" s="87">
        <f>'Подробный перечень'!$W$846</f>
        <v>123000</v>
      </c>
      <c r="Y186" s="60"/>
      <c r="Z186" s="402"/>
      <c r="AA186" s="99"/>
    </row>
    <row r="187" spans="1:27">
      <c r="A187" s="413"/>
      <c r="B187" s="164" t="s">
        <v>414</v>
      </c>
      <c r="C187" s="164">
        <v>176</v>
      </c>
      <c r="D187" s="317" t="s">
        <v>554</v>
      </c>
      <c r="E187" s="317" t="s">
        <v>555</v>
      </c>
      <c r="F187" s="164">
        <v>6100004040</v>
      </c>
      <c r="G187" s="164">
        <v>244</v>
      </c>
      <c r="H187" s="29"/>
      <c r="I187" s="29"/>
      <c r="J187" s="29"/>
      <c r="K187" s="29"/>
      <c r="L187" s="29"/>
      <c r="M187" s="86"/>
      <c r="N187" s="86"/>
      <c r="O187" s="86"/>
      <c r="P187" s="86"/>
      <c r="Q187" s="86"/>
      <c r="R187" s="112">
        <f>'Подробный перечень'!$Q$847</f>
        <v>95525</v>
      </c>
      <c r="S187" s="112"/>
      <c r="T187" s="112">
        <f>'Подробный перечень'!$S$847</f>
        <v>1620</v>
      </c>
      <c r="U187" s="112">
        <f>'Подробный перечень'!$T$847</f>
        <v>59129.8</v>
      </c>
      <c r="V187" s="112">
        <f>'Подробный перечень'!$U$847</f>
        <v>34775.199999999997</v>
      </c>
      <c r="W187" s="86">
        <f>'Подробный перечень'!$V$847</f>
        <v>132918</v>
      </c>
      <c r="X187" s="87">
        <f>'Подробный перечень'!$W$847</f>
        <v>123000</v>
      </c>
      <c r="Y187" s="165"/>
      <c r="Z187" s="402"/>
    </row>
    <row r="188" spans="1:27" ht="25.5">
      <c r="A188" s="414"/>
      <c r="B188" s="164" t="s">
        <v>427</v>
      </c>
      <c r="C188" s="164">
        <v>176</v>
      </c>
      <c r="D188" s="317" t="s">
        <v>554</v>
      </c>
      <c r="E188" s="317" t="s">
        <v>555</v>
      </c>
      <c r="F188" s="164">
        <v>6100053902</v>
      </c>
      <c r="G188" s="164">
        <v>244</v>
      </c>
      <c r="H188" s="29"/>
      <c r="I188" s="29"/>
      <c r="J188" s="29"/>
      <c r="K188" s="29"/>
      <c r="L188" s="29"/>
      <c r="M188" s="86"/>
      <c r="N188" s="86"/>
      <c r="O188" s="86"/>
      <c r="P188" s="86"/>
      <c r="Q188" s="86"/>
      <c r="R188" s="112">
        <f>'Подробный перечень'!$Q$848</f>
        <v>45308</v>
      </c>
      <c r="S188" s="112"/>
      <c r="T188" s="112">
        <f>'Подробный перечень'!$S$848</f>
        <v>14316.9</v>
      </c>
      <c r="U188" s="112">
        <f>'Подробный перечень'!$T$848</f>
        <v>30991.1</v>
      </c>
      <c r="V188" s="112">
        <f>'Подробный перечень'!$U$848</f>
        <v>0</v>
      </c>
      <c r="W188" s="86">
        <f>'Подробный перечень'!$V$848</f>
        <v>56050</v>
      </c>
      <c r="X188" s="87">
        <f>'Подробный перечень'!$W$848</f>
        <v>0</v>
      </c>
      <c r="Y188" s="165"/>
      <c r="Z188" s="402"/>
      <c r="AA188" s="99"/>
    </row>
    <row r="189" spans="1:27">
      <c r="A189" s="14" t="s">
        <v>61</v>
      </c>
      <c r="B189" s="62" t="s">
        <v>33</v>
      </c>
      <c r="C189" s="62">
        <v>176</v>
      </c>
      <c r="D189" s="317" t="s">
        <v>554</v>
      </c>
      <c r="E189" s="317" t="s">
        <v>555</v>
      </c>
      <c r="F189" s="62">
        <v>6100004040</v>
      </c>
      <c r="G189" s="62">
        <v>244</v>
      </c>
      <c r="H189" s="29" t="e">
        <f t="shared" si="29"/>
        <v>#REF!</v>
      </c>
      <c r="I189" s="29" t="e">
        <f>#REF!</f>
        <v>#REF!</v>
      </c>
      <c r="J189" s="29" t="e">
        <f>#REF!</f>
        <v>#REF!</v>
      </c>
      <c r="K189" s="29" t="e">
        <f>#REF!</f>
        <v>#REF!</v>
      </c>
      <c r="L189" s="29" t="e">
        <f>#REF!</f>
        <v>#REF!</v>
      </c>
      <c r="M189" s="86">
        <f>'Подробный перечень'!L886</f>
        <v>18527.400000000001</v>
      </c>
      <c r="N189" s="86"/>
      <c r="O189" s="86">
        <f>'Подробный перечень'!N886</f>
        <v>18527.400000000001</v>
      </c>
      <c r="P189" s="86"/>
      <c r="Q189" s="86"/>
      <c r="R189" s="112">
        <f>'Подробный перечень'!$Q$886</f>
        <v>0</v>
      </c>
      <c r="S189" s="112"/>
      <c r="T189" s="112"/>
      <c r="U189" s="112">
        <f>'Подробный перечень'!$T$886</f>
        <v>0</v>
      </c>
      <c r="V189" s="112"/>
      <c r="W189" s="86">
        <f>'Подробный перечень'!$V$886</f>
        <v>0</v>
      </c>
      <c r="X189" s="87">
        <f>'Подробный перечень'!$W$886</f>
        <v>0</v>
      </c>
      <c r="Y189" s="60"/>
      <c r="Z189" s="402"/>
    </row>
    <row r="190" spans="1:27">
      <c r="A190" s="14" t="s">
        <v>62</v>
      </c>
      <c r="B190" s="62" t="s">
        <v>33</v>
      </c>
      <c r="C190" s="62">
        <v>176</v>
      </c>
      <c r="D190" s="317" t="s">
        <v>554</v>
      </c>
      <c r="E190" s="317" t="s">
        <v>555</v>
      </c>
      <c r="F190" s="62">
        <v>6100004040</v>
      </c>
      <c r="G190" s="62">
        <v>244</v>
      </c>
      <c r="H190" s="29" t="e">
        <f t="shared" si="29"/>
        <v>#REF!</v>
      </c>
      <c r="I190" s="29" t="e">
        <f>#REF!</f>
        <v>#REF!</v>
      </c>
      <c r="J190" s="29" t="e">
        <f>#REF!</f>
        <v>#REF!</v>
      </c>
      <c r="K190" s="29" t="e">
        <f>#REF!</f>
        <v>#REF!</v>
      </c>
      <c r="L190" s="29" t="e">
        <f>#REF!</f>
        <v>#REF!</v>
      </c>
      <c r="M190" s="86">
        <f>'Подробный перечень'!L890</f>
        <v>17020.2</v>
      </c>
      <c r="N190" s="86"/>
      <c r="O190" s="86"/>
      <c r="P190" s="86">
        <f>'Подробный перечень'!O890</f>
        <v>17020.2</v>
      </c>
      <c r="Q190" s="86"/>
      <c r="R190" s="112">
        <f>'Подробный перечень'!$Q$890</f>
        <v>19299.8</v>
      </c>
      <c r="S190" s="112"/>
      <c r="T190" s="112"/>
      <c r="U190" s="112">
        <f>'Подробный перечень'!$T$890</f>
        <v>19299.8</v>
      </c>
      <c r="V190" s="112"/>
      <c r="W190" s="86"/>
      <c r="X190" s="87"/>
      <c r="Y190" s="60"/>
      <c r="Z190" s="402"/>
      <c r="AA190" s="99"/>
    </row>
    <row r="191" spans="1:27">
      <c r="A191" s="14" t="s">
        <v>63</v>
      </c>
      <c r="B191" s="62" t="s">
        <v>33</v>
      </c>
      <c r="C191" s="62">
        <v>176</v>
      </c>
      <c r="D191" s="317" t="s">
        <v>554</v>
      </c>
      <c r="E191" s="317" t="s">
        <v>555</v>
      </c>
      <c r="F191" s="62">
        <v>6100004040</v>
      </c>
      <c r="G191" s="62">
        <v>244</v>
      </c>
      <c r="H191" s="29" t="e">
        <f t="shared" si="29"/>
        <v>#REF!</v>
      </c>
      <c r="I191" s="29" t="e">
        <f>#REF!</f>
        <v>#REF!</v>
      </c>
      <c r="J191" s="29" t="e">
        <f>#REF!</f>
        <v>#REF!</v>
      </c>
      <c r="K191" s="29" t="e">
        <f>#REF!</f>
        <v>#REF!</v>
      </c>
      <c r="L191" s="29" t="e">
        <f>#REF!</f>
        <v>#REF!</v>
      </c>
      <c r="M191" s="86"/>
      <c r="N191" s="86"/>
      <c r="O191" s="86"/>
      <c r="P191" s="86"/>
      <c r="Q191" s="86"/>
      <c r="R191" s="112"/>
      <c r="S191" s="112"/>
      <c r="T191" s="112"/>
      <c r="U191" s="112"/>
      <c r="V191" s="112"/>
      <c r="W191" s="86">
        <f>'Подробный перечень'!$V$894</f>
        <v>7330.9</v>
      </c>
      <c r="X191" s="87">
        <f>'Подробный перечень'!$W$894</f>
        <v>0</v>
      </c>
      <c r="Y191" s="60"/>
      <c r="Z191" s="402"/>
    </row>
    <row r="192" spans="1:27">
      <c r="A192" s="14" t="s">
        <v>64</v>
      </c>
      <c r="B192" s="62" t="s">
        <v>33</v>
      </c>
      <c r="C192" s="62">
        <v>176</v>
      </c>
      <c r="D192" s="317" t="s">
        <v>554</v>
      </c>
      <c r="E192" s="317" t="s">
        <v>555</v>
      </c>
      <c r="F192" s="62">
        <v>6100004040</v>
      </c>
      <c r="G192" s="62">
        <v>244</v>
      </c>
      <c r="H192" s="29">
        <f t="shared" si="29"/>
        <v>0</v>
      </c>
      <c r="I192" s="29">
        <v>0</v>
      </c>
      <c r="J192" s="29"/>
      <c r="K192" s="29"/>
      <c r="L192" s="29"/>
      <c r="M192" s="86"/>
      <c r="N192" s="86"/>
      <c r="O192" s="86"/>
      <c r="P192" s="86"/>
      <c r="Q192" s="86"/>
      <c r="R192" s="112"/>
      <c r="S192" s="112"/>
      <c r="T192" s="112"/>
      <c r="U192" s="112"/>
      <c r="V192" s="112"/>
      <c r="W192" s="86"/>
      <c r="X192" s="87"/>
      <c r="Y192" s="60"/>
      <c r="Z192" s="402"/>
      <c r="AA192" s="99"/>
    </row>
    <row r="193" spans="1:27">
      <c r="A193" s="412" t="s">
        <v>65</v>
      </c>
      <c r="B193" s="62" t="s">
        <v>415</v>
      </c>
      <c r="C193" s="62">
        <v>176</v>
      </c>
      <c r="D193" s="317" t="s">
        <v>554</v>
      </c>
      <c r="E193" s="317" t="s">
        <v>555</v>
      </c>
      <c r="F193" s="62" t="s">
        <v>312</v>
      </c>
      <c r="G193" s="62">
        <v>244</v>
      </c>
      <c r="H193" s="29" t="e">
        <f t="shared" si="29"/>
        <v>#REF!</v>
      </c>
      <c r="I193" s="29" t="e">
        <f>#REF!</f>
        <v>#REF!</v>
      </c>
      <c r="J193" s="29" t="e">
        <f>#REF!</f>
        <v>#REF!</v>
      </c>
      <c r="K193" s="29" t="e">
        <f>#REF!</f>
        <v>#REF!</v>
      </c>
      <c r="L193" s="29" t="e">
        <f>#REF!</f>
        <v>#REF!</v>
      </c>
      <c r="M193" s="86">
        <f>'Подробный перечень'!L902</f>
        <v>68521.3</v>
      </c>
      <c r="N193" s="86">
        <f>'Подробный перечень'!M902</f>
        <v>45521.3</v>
      </c>
      <c r="O193" s="86"/>
      <c r="P193" s="86">
        <f>'Подробный перечень'!O902</f>
        <v>23000</v>
      </c>
      <c r="Q193" s="86"/>
      <c r="R193" s="112">
        <f>R194+R195</f>
        <v>33946.400000000001</v>
      </c>
      <c r="S193" s="112"/>
      <c r="T193" s="112"/>
      <c r="U193" s="112">
        <f>U194</f>
        <v>33946.400000000001</v>
      </c>
      <c r="V193" s="112">
        <f>V194+V195</f>
        <v>0</v>
      </c>
      <c r="W193" s="86">
        <f>W194+W195</f>
        <v>0</v>
      </c>
      <c r="X193" s="87">
        <f>'Подробный перечень'!$W$900</f>
        <v>0</v>
      </c>
      <c r="Y193" s="60"/>
      <c r="Z193" s="402"/>
      <c r="AA193" s="99"/>
    </row>
    <row r="194" spans="1:27">
      <c r="A194" s="413"/>
      <c r="B194" s="164" t="s">
        <v>414</v>
      </c>
      <c r="C194" s="164">
        <v>176</v>
      </c>
      <c r="D194" s="317" t="s">
        <v>554</v>
      </c>
      <c r="E194" s="317" t="s">
        <v>555</v>
      </c>
      <c r="F194" s="164">
        <v>6100004040</v>
      </c>
      <c r="G194" s="164">
        <v>244</v>
      </c>
      <c r="H194" s="29"/>
      <c r="I194" s="29"/>
      <c r="J194" s="29"/>
      <c r="K194" s="29"/>
      <c r="L194" s="29"/>
      <c r="M194" s="86"/>
      <c r="N194" s="86"/>
      <c r="O194" s="86"/>
      <c r="P194" s="86"/>
      <c r="Q194" s="86"/>
      <c r="R194" s="112">
        <f>'Подробный перечень'!$Q$901</f>
        <v>33946.400000000001</v>
      </c>
      <c r="S194" s="112"/>
      <c r="T194" s="112"/>
      <c r="U194" s="112">
        <f>'Подробный перечень'!$T$901</f>
        <v>33946.400000000001</v>
      </c>
      <c r="V194" s="112">
        <f>'Подробный перечень'!U901</f>
        <v>0</v>
      </c>
      <c r="W194" s="86">
        <f>'Подробный перечень'!$V$901</f>
        <v>0</v>
      </c>
      <c r="X194" s="87">
        <f>'Подробный перечень'!$W$901</f>
        <v>0</v>
      </c>
      <c r="Y194" s="165"/>
      <c r="Z194" s="402"/>
      <c r="AA194" s="99"/>
    </row>
    <row r="195" spans="1:27" ht="25.5">
      <c r="A195" s="414"/>
      <c r="B195" s="164" t="s">
        <v>427</v>
      </c>
      <c r="C195" s="164">
        <v>176</v>
      </c>
      <c r="D195" s="317" t="s">
        <v>554</v>
      </c>
      <c r="E195" s="317" t="s">
        <v>555</v>
      </c>
      <c r="F195" s="164">
        <v>6100053902</v>
      </c>
      <c r="G195" s="164">
        <v>244</v>
      </c>
      <c r="H195" s="29"/>
      <c r="I195" s="29"/>
      <c r="J195" s="29"/>
      <c r="K195" s="29"/>
      <c r="L195" s="29"/>
      <c r="M195" s="86"/>
      <c r="N195" s="86"/>
      <c r="O195" s="86"/>
      <c r="P195" s="86"/>
      <c r="Q195" s="86"/>
      <c r="R195" s="112">
        <f>'Подробный перечень'!$Q$902</f>
        <v>0</v>
      </c>
      <c r="S195" s="112"/>
      <c r="T195" s="112"/>
      <c r="U195" s="112"/>
      <c r="V195" s="112">
        <f>'Подробный перечень'!U902</f>
        <v>0</v>
      </c>
      <c r="W195" s="86">
        <f>'Подробный перечень'!$V$902</f>
        <v>0</v>
      </c>
      <c r="X195" s="87">
        <f>'Подробный перечень'!$W$902</f>
        <v>0</v>
      </c>
      <c r="Y195" s="165"/>
      <c r="Z195" s="402"/>
    </row>
    <row r="196" spans="1:27">
      <c r="A196" s="14" t="s">
        <v>66</v>
      </c>
      <c r="B196" s="62" t="s">
        <v>33</v>
      </c>
      <c r="C196" s="62">
        <v>176</v>
      </c>
      <c r="D196" s="317" t="s">
        <v>554</v>
      </c>
      <c r="E196" s="317" t="s">
        <v>555</v>
      </c>
      <c r="F196" s="62">
        <v>6100004040</v>
      </c>
      <c r="G196" s="62">
        <v>244</v>
      </c>
      <c r="H196" s="29">
        <f t="shared" si="29"/>
        <v>0</v>
      </c>
      <c r="I196" s="29"/>
      <c r="J196" s="29"/>
      <c r="K196" s="29"/>
      <c r="L196" s="29"/>
      <c r="M196" s="86"/>
      <c r="N196" s="86"/>
      <c r="O196" s="86"/>
      <c r="P196" s="86"/>
      <c r="Q196" s="86"/>
      <c r="R196" s="112"/>
      <c r="S196" s="112"/>
      <c r="T196" s="112"/>
      <c r="U196" s="112"/>
      <c r="V196" s="112"/>
      <c r="W196" s="86"/>
      <c r="X196" s="87"/>
      <c r="Y196" s="60"/>
      <c r="Z196" s="402"/>
    </row>
    <row r="197" spans="1:27">
      <c r="A197" s="14" t="s">
        <v>67</v>
      </c>
      <c r="B197" s="62" t="s">
        <v>33</v>
      </c>
      <c r="C197" s="62">
        <v>176</v>
      </c>
      <c r="D197" s="317" t="s">
        <v>554</v>
      </c>
      <c r="E197" s="317" t="s">
        <v>555</v>
      </c>
      <c r="F197" s="62">
        <v>6100004040</v>
      </c>
      <c r="G197" s="62">
        <v>244</v>
      </c>
      <c r="H197" s="29">
        <f t="shared" si="29"/>
        <v>0</v>
      </c>
      <c r="I197" s="29">
        <v>0</v>
      </c>
      <c r="J197" s="29">
        <v>0</v>
      </c>
      <c r="K197" s="29">
        <v>0</v>
      </c>
      <c r="L197" s="29">
        <v>0</v>
      </c>
      <c r="M197" s="86"/>
      <c r="N197" s="86"/>
      <c r="O197" s="86"/>
      <c r="P197" s="86"/>
      <c r="Q197" s="86"/>
      <c r="R197" s="112">
        <f>'Подробный перечень'!$Q$917</f>
        <v>29159.5</v>
      </c>
      <c r="S197" s="112"/>
      <c r="T197" s="112"/>
      <c r="U197" s="112">
        <f>'Подробный перечень'!$T$917</f>
        <v>29159.5</v>
      </c>
      <c r="V197" s="112"/>
      <c r="W197" s="86"/>
      <c r="X197" s="87"/>
      <c r="Y197" s="60"/>
      <c r="Z197" s="402"/>
      <c r="AA197" s="99"/>
    </row>
    <row r="198" spans="1:27">
      <c r="A198" s="14" t="s">
        <v>68</v>
      </c>
      <c r="B198" s="62" t="s">
        <v>33</v>
      </c>
      <c r="C198" s="62">
        <v>176</v>
      </c>
      <c r="D198" s="317" t="s">
        <v>554</v>
      </c>
      <c r="E198" s="317" t="s">
        <v>555</v>
      </c>
      <c r="F198" s="62">
        <v>6100004040</v>
      </c>
      <c r="G198" s="62">
        <v>244</v>
      </c>
      <c r="H198" s="29">
        <f t="shared" si="29"/>
        <v>0</v>
      </c>
      <c r="I198" s="29">
        <v>0</v>
      </c>
      <c r="J198" s="29">
        <v>0</v>
      </c>
      <c r="K198" s="29">
        <v>0</v>
      </c>
      <c r="L198" s="29">
        <v>0</v>
      </c>
      <c r="M198" s="86"/>
      <c r="N198" s="86"/>
      <c r="O198" s="86"/>
      <c r="P198" s="86"/>
      <c r="Q198" s="86"/>
      <c r="R198" s="112">
        <f>'Подробный перечень'!$Q$921</f>
        <v>27563.200000000001</v>
      </c>
      <c r="S198" s="112"/>
      <c r="T198" s="112"/>
      <c r="U198" s="112">
        <f>'Подробный перечень'!$T$921</f>
        <v>27563.200000000001</v>
      </c>
      <c r="V198" s="112"/>
      <c r="W198" s="86">
        <f>'Подробный перечень'!$V$921</f>
        <v>10005.9</v>
      </c>
      <c r="X198" s="87">
        <f>'Подробный перечень'!$W$921</f>
        <v>9495.2000000000007</v>
      </c>
      <c r="Y198" s="60"/>
      <c r="Z198" s="402"/>
      <c r="AA198" s="99"/>
    </row>
    <row r="199" spans="1:27">
      <c r="A199" s="14" t="s">
        <v>69</v>
      </c>
      <c r="B199" s="62" t="s">
        <v>33</v>
      </c>
      <c r="C199" s="62">
        <v>176</v>
      </c>
      <c r="D199" s="317" t="s">
        <v>554</v>
      </c>
      <c r="E199" s="317" t="s">
        <v>555</v>
      </c>
      <c r="F199" s="62">
        <v>6100004040</v>
      </c>
      <c r="G199" s="62">
        <v>244</v>
      </c>
      <c r="H199" s="29">
        <f t="shared" si="29"/>
        <v>0</v>
      </c>
      <c r="I199" s="29">
        <v>0</v>
      </c>
      <c r="J199" s="29">
        <v>0</v>
      </c>
      <c r="K199" s="29">
        <v>0</v>
      </c>
      <c r="L199" s="29">
        <v>0</v>
      </c>
      <c r="M199" s="86"/>
      <c r="N199" s="86"/>
      <c r="O199" s="86"/>
      <c r="P199" s="86"/>
      <c r="Q199" s="86"/>
      <c r="R199" s="112"/>
      <c r="S199" s="112"/>
      <c r="T199" s="112"/>
      <c r="U199" s="112"/>
      <c r="V199" s="112"/>
      <c r="W199" s="86"/>
      <c r="X199" s="87">
        <f>'Подробный перечень'!$W$925</f>
        <v>60000</v>
      </c>
      <c r="Y199" s="60"/>
      <c r="Z199" s="402"/>
    </row>
    <row r="200" spans="1:27">
      <c r="A200" s="14" t="s">
        <v>70</v>
      </c>
      <c r="B200" s="62" t="s">
        <v>33</v>
      </c>
      <c r="C200" s="62">
        <v>176</v>
      </c>
      <c r="D200" s="317" t="s">
        <v>554</v>
      </c>
      <c r="E200" s="317" t="s">
        <v>555</v>
      </c>
      <c r="F200" s="62">
        <v>6100004040</v>
      </c>
      <c r="G200" s="62">
        <v>244</v>
      </c>
      <c r="H200" s="29" t="e">
        <f t="shared" si="29"/>
        <v>#REF!</v>
      </c>
      <c r="I200" s="29" t="e">
        <f>#REF!</f>
        <v>#REF!</v>
      </c>
      <c r="J200" s="29" t="e">
        <f>#REF!</f>
        <v>#REF!</v>
      </c>
      <c r="K200" s="29" t="e">
        <f>#REF!</f>
        <v>#REF!</v>
      </c>
      <c r="L200" s="29" t="e">
        <f>#REF!</f>
        <v>#REF!</v>
      </c>
      <c r="M200" s="86"/>
      <c r="N200" s="86"/>
      <c r="O200" s="86"/>
      <c r="P200" s="86"/>
      <c r="Q200" s="86"/>
      <c r="R200" s="112"/>
      <c r="S200" s="112"/>
      <c r="T200" s="112"/>
      <c r="U200" s="112"/>
      <c r="V200" s="112"/>
      <c r="W200" s="86"/>
      <c r="X200" s="87"/>
      <c r="Y200" s="60"/>
      <c r="Z200" s="402"/>
    </row>
    <row r="201" spans="1:27">
      <c r="A201" s="14" t="s">
        <v>71</v>
      </c>
      <c r="B201" s="62" t="s">
        <v>33</v>
      </c>
      <c r="C201" s="62">
        <v>176</v>
      </c>
      <c r="D201" s="317" t="s">
        <v>554</v>
      </c>
      <c r="E201" s="317" t="s">
        <v>555</v>
      </c>
      <c r="F201" s="62">
        <v>6100004040</v>
      </c>
      <c r="G201" s="62">
        <v>244</v>
      </c>
      <c r="H201" s="29" t="e">
        <f t="shared" si="29"/>
        <v>#REF!</v>
      </c>
      <c r="I201" s="29" t="e">
        <f>#REF!</f>
        <v>#REF!</v>
      </c>
      <c r="J201" s="29" t="e">
        <f>#REF!</f>
        <v>#REF!</v>
      </c>
      <c r="K201" s="29" t="e">
        <f>#REF!</f>
        <v>#REF!</v>
      </c>
      <c r="L201" s="29" t="e">
        <f>#REF!</f>
        <v>#REF!</v>
      </c>
      <c r="M201" s="86"/>
      <c r="N201" s="86"/>
      <c r="O201" s="86"/>
      <c r="P201" s="86"/>
      <c r="Q201" s="86"/>
      <c r="R201" s="112"/>
      <c r="S201" s="112"/>
      <c r="T201" s="112"/>
      <c r="U201" s="112"/>
      <c r="V201" s="112"/>
      <c r="W201" s="86"/>
      <c r="X201" s="87"/>
      <c r="Y201" s="60"/>
      <c r="Z201" s="402"/>
      <c r="AA201" s="99"/>
    </row>
    <row r="202" spans="1:27" ht="17.45" customHeight="1">
      <c r="A202" s="68" t="s">
        <v>32</v>
      </c>
      <c r="B202" s="62" t="s">
        <v>33</v>
      </c>
      <c r="C202" s="62">
        <v>176</v>
      </c>
      <c r="D202" s="317" t="s">
        <v>554</v>
      </c>
      <c r="E202" s="317" t="s">
        <v>555</v>
      </c>
      <c r="F202" s="62">
        <v>6100004040</v>
      </c>
      <c r="G202" s="62">
        <v>244</v>
      </c>
      <c r="H202" s="29" t="e">
        <f t="shared" si="29"/>
        <v>#REF!</v>
      </c>
      <c r="I202" s="29" t="e">
        <f>#REF!</f>
        <v>#REF!</v>
      </c>
      <c r="J202" s="29" t="e">
        <f>#REF!</f>
        <v>#REF!</v>
      </c>
      <c r="K202" s="29" t="e">
        <f>#REF!</f>
        <v>#REF!</v>
      </c>
      <c r="L202" s="29" t="e">
        <f>#REF!</f>
        <v>#REF!</v>
      </c>
      <c r="M202" s="86">
        <f>'Подробный перечень'!L928</f>
        <v>500</v>
      </c>
      <c r="N202" s="86"/>
      <c r="O202" s="86"/>
      <c r="P202" s="86"/>
      <c r="Q202" s="86">
        <f>'Подробный перечень'!P928</f>
        <v>500</v>
      </c>
      <c r="R202" s="112">
        <f>'Подробный перечень'!$Q$928</f>
        <v>887</v>
      </c>
      <c r="S202" s="112"/>
      <c r="T202" s="112"/>
      <c r="U202" s="112">
        <f>'Подробный перечень'!$T$928</f>
        <v>887</v>
      </c>
      <c r="V202" s="112"/>
      <c r="W202" s="86">
        <f>'Подробный перечень'!$V$928</f>
        <v>3500</v>
      </c>
      <c r="X202" s="87">
        <f>'Подробный перечень'!$W$928</f>
        <v>2000</v>
      </c>
      <c r="Y202" s="60"/>
      <c r="Z202" s="405"/>
      <c r="AA202" s="99"/>
    </row>
    <row r="203" spans="1:27" ht="71.45" hidden="1" customHeight="1">
      <c r="A203" s="265" t="s">
        <v>238</v>
      </c>
      <c r="B203" s="62" t="s">
        <v>33</v>
      </c>
      <c r="C203" s="62">
        <v>176</v>
      </c>
      <c r="D203" s="317" t="s">
        <v>15</v>
      </c>
      <c r="E203" s="317" t="s">
        <v>15</v>
      </c>
      <c r="F203" s="62">
        <v>6100004040</v>
      </c>
      <c r="G203" s="62">
        <v>244</v>
      </c>
      <c r="H203" s="29" t="e">
        <f>#REF!</f>
        <v>#REF!</v>
      </c>
      <c r="I203" s="29" t="e">
        <f>#REF!</f>
        <v>#REF!</v>
      </c>
      <c r="J203" s="29"/>
      <c r="K203" s="29"/>
      <c r="L203" s="29"/>
      <c r="M203" s="86"/>
      <c r="N203" s="86"/>
      <c r="O203" s="86"/>
      <c r="P203" s="86"/>
      <c r="Q203" s="86"/>
      <c r="R203" s="112"/>
      <c r="S203" s="244"/>
      <c r="T203" s="244"/>
      <c r="U203" s="244"/>
      <c r="V203" s="244"/>
      <c r="W203" s="87"/>
      <c r="X203" s="87"/>
      <c r="Y203" s="60"/>
      <c r="Z203" s="263" t="s">
        <v>479</v>
      </c>
    </row>
    <row r="204" spans="1:27" ht="0.6" customHeight="1">
      <c r="A204" s="267" t="s">
        <v>479</v>
      </c>
      <c r="B204" s="62" t="s">
        <v>33</v>
      </c>
      <c r="C204" s="62">
        <v>176</v>
      </c>
      <c r="D204" s="317" t="s">
        <v>15</v>
      </c>
      <c r="E204" s="317" t="s">
        <v>15</v>
      </c>
      <c r="F204" s="62">
        <v>6100004040</v>
      </c>
      <c r="G204" s="62">
        <v>244</v>
      </c>
      <c r="H204" s="31"/>
      <c r="I204" s="31"/>
      <c r="J204" s="31"/>
      <c r="K204" s="31"/>
      <c r="L204" s="31"/>
      <c r="M204" s="86"/>
      <c r="N204" s="86"/>
      <c r="O204" s="86"/>
      <c r="P204" s="86"/>
      <c r="Q204" s="86"/>
      <c r="R204" s="112"/>
      <c r="S204" s="112"/>
      <c r="T204" s="112"/>
      <c r="U204" s="112"/>
      <c r="V204" s="112"/>
      <c r="W204" s="86"/>
      <c r="X204" s="86"/>
      <c r="Y204" s="62"/>
      <c r="Z204" s="62"/>
      <c r="AA204" s="99">
        <f>S203+S204</f>
        <v>0</v>
      </c>
    </row>
    <row r="205" spans="1:27" ht="30.75" customHeight="1">
      <c r="A205" s="397" t="s">
        <v>217</v>
      </c>
      <c r="B205" s="12" t="s">
        <v>91</v>
      </c>
      <c r="C205" s="12"/>
      <c r="D205" s="178"/>
      <c r="E205" s="178"/>
      <c r="F205" s="12"/>
      <c r="G205" s="12"/>
      <c r="H205" s="40">
        <v>12785.95</v>
      </c>
      <c r="I205" s="40">
        <v>12785.95</v>
      </c>
      <c r="J205" s="40">
        <v>12785.95</v>
      </c>
      <c r="K205" s="40">
        <v>12785.95</v>
      </c>
      <c r="L205" s="40">
        <v>12785.95</v>
      </c>
      <c r="M205" s="59">
        <v>12777.4</v>
      </c>
      <c r="N205" s="59"/>
      <c r="O205" s="59"/>
      <c r="P205" s="59"/>
      <c r="Q205" s="59"/>
      <c r="R205" s="111">
        <v>12732.897000000001</v>
      </c>
      <c r="S205" s="118"/>
      <c r="T205" s="118"/>
      <c r="U205" s="118"/>
      <c r="V205" s="118"/>
      <c r="W205" s="111">
        <v>12732.897000000001</v>
      </c>
      <c r="X205" s="111">
        <v>12732.897000000001</v>
      </c>
      <c r="Y205" s="401" t="s">
        <v>26</v>
      </c>
      <c r="Z205" s="401" t="s">
        <v>271</v>
      </c>
    </row>
    <row r="206" spans="1:27" ht="29.25" customHeight="1">
      <c r="A206" s="398"/>
      <c r="B206" s="12" t="s">
        <v>24</v>
      </c>
      <c r="C206" s="12"/>
      <c r="D206" s="178"/>
      <c r="E206" s="178"/>
      <c r="F206" s="12"/>
      <c r="G206" s="12"/>
      <c r="H206" s="13">
        <f>H207/H205</f>
        <v>201.46654546592157</v>
      </c>
      <c r="I206" s="13">
        <f t="shared" ref="I206:R206" si="30">I207/I205</f>
        <v>51.134980193102592</v>
      </c>
      <c r="J206" s="13">
        <f t="shared" si="30"/>
        <v>54.896388144799573</v>
      </c>
      <c r="K206" s="13">
        <f t="shared" si="30"/>
        <v>63.038637723438612</v>
      </c>
      <c r="L206" s="13">
        <f t="shared" si="30"/>
        <v>34.650338644695182</v>
      </c>
      <c r="M206" s="59">
        <f t="shared" si="30"/>
        <v>232.23656612456372</v>
      </c>
      <c r="N206" s="59"/>
      <c r="O206" s="59"/>
      <c r="P206" s="59"/>
      <c r="Q206" s="59"/>
      <c r="R206" s="111">
        <f t="shared" si="30"/>
        <v>259.20854460693425</v>
      </c>
      <c r="S206" s="111"/>
      <c r="T206" s="111"/>
      <c r="U206" s="111"/>
      <c r="V206" s="111"/>
      <c r="W206" s="59">
        <f>W207/W205</f>
        <v>269.04896034264624</v>
      </c>
      <c r="X206" s="59">
        <f>X207/X205</f>
        <v>291.93384663364509</v>
      </c>
      <c r="Y206" s="402"/>
      <c r="Z206" s="402"/>
    </row>
    <row r="207" spans="1:27" ht="31.5" customHeight="1">
      <c r="A207" s="398"/>
      <c r="B207" s="12" t="s">
        <v>25</v>
      </c>
      <c r="C207" s="12">
        <v>176</v>
      </c>
      <c r="D207" s="178" t="s">
        <v>554</v>
      </c>
      <c r="E207" s="178" t="s">
        <v>555</v>
      </c>
      <c r="F207" s="12">
        <v>6100004040</v>
      </c>
      <c r="G207" s="12" t="s">
        <v>28</v>
      </c>
      <c r="H207" s="13">
        <f>H209+H210</f>
        <v>2575941.1770000001</v>
      </c>
      <c r="I207" s="13">
        <f t="shared" ref="I207:V207" si="31">I209+I210</f>
        <v>653809.30000000016</v>
      </c>
      <c r="J207" s="13">
        <f t="shared" si="31"/>
        <v>701902.47400000016</v>
      </c>
      <c r="K207" s="13">
        <f>K209+K210</f>
        <v>806008.87</v>
      </c>
      <c r="L207" s="13">
        <f t="shared" si="31"/>
        <v>443037.4973941404</v>
      </c>
      <c r="M207" s="59">
        <f t="shared" si="31"/>
        <v>2967379.5000000005</v>
      </c>
      <c r="N207" s="59">
        <f t="shared" si="31"/>
        <v>669566.54070272553</v>
      </c>
      <c r="O207" s="59">
        <f t="shared" si="31"/>
        <v>1066645.7731093422</v>
      </c>
      <c r="P207" s="59">
        <f t="shared" si="31"/>
        <v>586467.85303846118</v>
      </c>
      <c r="Q207" s="59">
        <f t="shared" si="31"/>
        <v>644699.31414947077</v>
      </c>
      <c r="R207" s="111">
        <f t="shared" si="31"/>
        <v>3300475.6999999997</v>
      </c>
      <c r="S207" s="111">
        <f t="shared" si="31"/>
        <v>530477.56700000004</v>
      </c>
      <c r="T207" s="111">
        <f t="shared" si="31"/>
        <v>653239.79799999995</v>
      </c>
      <c r="U207" s="111">
        <f t="shared" si="31"/>
        <v>1478145.0179999999</v>
      </c>
      <c r="V207" s="111">
        <f t="shared" si="31"/>
        <v>638613.31699999957</v>
      </c>
      <c r="W207" s="59">
        <f>W209+W210</f>
        <v>3425772.6999999997</v>
      </c>
      <c r="X207" s="59">
        <f>X209+X210</f>
        <v>3717163.6</v>
      </c>
      <c r="Y207" s="402"/>
      <c r="Z207" s="402"/>
    </row>
    <row r="208" spans="1:27" ht="19.5" customHeight="1">
      <c r="A208" s="398"/>
      <c r="B208" s="12" t="s">
        <v>9</v>
      </c>
      <c r="C208" s="12"/>
      <c r="D208" s="178"/>
      <c r="E208" s="178"/>
      <c r="F208" s="12"/>
      <c r="G208" s="12"/>
      <c r="H208" s="13"/>
      <c r="I208" s="13"/>
      <c r="J208" s="13"/>
      <c r="K208" s="13"/>
      <c r="L208" s="13"/>
      <c r="M208" s="59"/>
      <c r="N208" s="59"/>
      <c r="O208" s="59"/>
      <c r="P208" s="59"/>
      <c r="Q208" s="59"/>
      <c r="R208" s="111"/>
      <c r="S208" s="111"/>
      <c r="T208" s="111"/>
      <c r="U208" s="111"/>
      <c r="V208" s="111"/>
      <c r="W208" s="59"/>
      <c r="X208" s="59"/>
      <c r="Y208" s="402"/>
      <c r="Z208" s="402"/>
    </row>
    <row r="209" spans="1:28" ht="42" customHeight="1">
      <c r="A209" s="41"/>
      <c r="B209" s="12" t="s">
        <v>10</v>
      </c>
      <c r="C209" s="12">
        <v>176</v>
      </c>
      <c r="D209" s="178" t="s">
        <v>554</v>
      </c>
      <c r="E209" s="178" t="s">
        <v>555</v>
      </c>
      <c r="F209" s="12">
        <v>6100004040</v>
      </c>
      <c r="G209" s="12" t="s">
        <v>28</v>
      </c>
      <c r="H209" s="13">
        <f>SUM(H218:H250)-H210</f>
        <v>2164312.577</v>
      </c>
      <c r="I209" s="13">
        <f>SUM(I218:I250)</f>
        <v>653809.30000000016</v>
      </c>
      <c r="J209" s="13">
        <f>SUM(J218:J249)</f>
        <v>701902.47400000016</v>
      </c>
      <c r="K209" s="13">
        <f>SUM(K218:K249)</f>
        <v>394380.27</v>
      </c>
      <c r="L209" s="13">
        <f>SUM(L218:L249)</f>
        <v>443037.4973941404</v>
      </c>
      <c r="M209" s="59">
        <f>SUM(M218:M250)</f>
        <v>2967379.5000000005</v>
      </c>
      <c r="N209" s="59">
        <f>SUM(N218:N250)</f>
        <v>669566.54070272553</v>
      </c>
      <c r="O209" s="59">
        <f>SUM(O218:O249)</f>
        <v>1066645.7731093422</v>
      </c>
      <c r="P209" s="59">
        <f>SUM(P218:P249)</f>
        <v>586467.85303846118</v>
      </c>
      <c r="Q209" s="59">
        <f>SUM(Q218:Q249)</f>
        <v>644699.31414947077</v>
      </c>
      <c r="R209" s="111">
        <f>R215+R254</f>
        <v>3300475.6999999997</v>
      </c>
      <c r="S209" s="59">
        <v>530477.56700000004</v>
      </c>
      <c r="T209" s="59">
        <v>653239.79799999995</v>
      </c>
      <c r="U209" s="59">
        <v>1478145.0179999999</v>
      </c>
      <c r="V209" s="59">
        <f>R209-S209-T209-U209</f>
        <v>638613.31699999957</v>
      </c>
      <c r="W209" s="59">
        <f>SUM(W218:W249)</f>
        <v>3425772.6999999997</v>
      </c>
      <c r="X209" s="59">
        <f>SUM(X218:X249)</f>
        <v>3717163.6</v>
      </c>
      <c r="Y209" s="402"/>
      <c r="Z209" s="402"/>
      <c r="AA209" s="81"/>
    </row>
    <row r="210" spans="1:28" ht="29.25" customHeight="1">
      <c r="A210" s="41"/>
      <c r="B210" s="12" t="s">
        <v>463</v>
      </c>
      <c r="C210" s="12">
        <v>176</v>
      </c>
      <c r="D210" s="178" t="s">
        <v>554</v>
      </c>
      <c r="E210" s="178" t="s">
        <v>555</v>
      </c>
      <c r="F210" s="12" t="s">
        <v>313</v>
      </c>
      <c r="G210" s="12">
        <v>244</v>
      </c>
      <c r="H210" s="13">
        <v>411628.6</v>
      </c>
      <c r="I210" s="13">
        <v>0</v>
      </c>
      <c r="J210" s="13"/>
      <c r="K210" s="13">
        <v>411628.6</v>
      </c>
      <c r="L210" s="13">
        <v>0</v>
      </c>
      <c r="M210" s="59"/>
      <c r="N210" s="59"/>
      <c r="O210" s="59"/>
      <c r="P210" s="59"/>
      <c r="Q210" s="59"/>
      <c r="R210" s="111"/>
      <c r="S210" s="111"/>
      <c r="T210" s="111"/>
      <c r="U210" s="111"/>
      <c r="V210" s="111"/>
      <c r="W210" s="59"/>
      <c r="X210" s="59"/>
      <c r="Y210" s="402"/>
      <c r="Z210" s="402"/>
    </row>
    <row r="211" spans="1:28" ht="22.5" customHeight="1">
      <c r="A211" s="41"/>
      <c r="B211" s="12" t="s">
        <v>462</v>
      </c>
      <c r="C211" s="12"/>
      <c r="D211" s="178"/>
      <c r="E211" s="178"/>
      <c r="F211" s="12"/>
      <c r="G211" s="12"/>
      <c r="H211" s="13">
        <v>0</v>
      </c>
      <c r="I211" s="13">
        <v>0</v>
      </c>
      <c r="J211" s="13"/>
      <c r="K211" s="13"/>
      <c r="L211" s="13"/>
      <c r="M211" s="59"/>
      <c r="N211" s="59"/>
      <c r="O211" s="59"/>
      <c r="P211" s="59"/>
      <c r="Q211" s="59"/>
      <c r="R211" s="111"/>
      <c r="S211" s="111"/>
      <c r="T211" s="111"/>
      <c r="U211" s="111"/>
      <c r="V211" s="111"/>
      <c r="W211" s="59"/>
      <c r="X211" s="59"/>
      <c r="Y211" s="402"/>
      <c r="Z211" s="402"/>
    </row>
    <row r="212" spans="1:28" ht="33" customHeight="1">
      <c r="A212" s="50"/>
      <c r="B212" s="12" t="s">
        <v>484</v>
      </c>
      <c r="C212" s="12"/>
      <c r="D212" s="178"/>
      <c r="E212" s="178"/>
      <c r="F212" s="12"/>
      <c r="G212" s="12"/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59"/>
      <c r="N212" s="59"/>
      <c r="O212" s="59"/>
      <c r="P212" s="59"/>
      <c r="Q212" s="59"/>
      <c r="R212" s="111"/>
      <c r="S212" s="111"/>
      <c r="T212" s="111"/>
      <c r="U212" s="111"/>
      <c r="V212" s="111"/>
      <c r="W212" s="59"/>
      <c r="X212" s="59"/>
      <c r="Y212" s="405"/>
      <c r="Z212" s="405"/>
      <c r="AA212" s="99"/>
    </row>
    <row r="213" spans="1:28" ht="25.5" customHeight="1">
      <c r="A213" s="397" t="s">
        <v>566</v>
      </c>
      <c r="B213" s="62" t="s">
        <v>91</v>
      </c>
      <c r="C213" s="62"/>
      <c r="D213" s="317"/>
      <c r="E213" s="317"/>
      <c r="F213" s="62"/>
      <c r="G213" s="62"/>
      <c r="H213" s="31"/>
      <c r="I213" s="31"/>
      <c r="J213" s="31"/>
      <c r="K213" s="31"/>
      <c r="L213" s="31"/>
      <c r="M213" s="86"/>
      <c r="N213" s="86"/>
      <c r="O213" s="86"/>
      <c r="P213" s="86"/>
      <c r="Q213" s="86"/>
      <c r="R213" s="86">
        <v>12732.897000000001</v>
      </c>
      <c r="S213" s="86"/>
      <c r="T213" s="86"/>
      <c r="U213" s="86"/>
      <c r="V213" s="86"/>
      <c r="W213" s="86">
        <v>12732.897000000001</v>
      </c>
      <c r="X213" s="86">
        <v>12732.897000000001</v>
      </c>
      <c r="Y213" s="62"/>
      <c r="Z213" s="395" t="s">
        <v>574</v>
      </c>
      <c r="AA213" s="99">
        <f>T209-T248-T249</f>
        <v>611462.62299999991</v>
      </c>
    </row>
    <row r="214" spans="1:28" ht="25.5" customHeight="1">
      <c r="A214" s="398"/>
      <c r="B214" s="375" t="s">
        <v>24</v>
      </c>
      <c r="C214" s="375"/>
      <c r="D214" s="317"/>
      <c r="E214" s="317"/>
      <c r="F214" s="375"/>
      <c r="G214" s="375"/>
      <c r="H214" s="31"/>
      <c r="I214" s="31"/>
      <c r="J214" s="31"/>
      <c r="K214" s="31"/>
      <c r="L214" s="31"/>
      <c r="M214" s="86"/>
      <c r="N214" s="86"/>
      <c r="O214" s="86"/>
      <c r="P214" s="86"/>
      <c r="Q214" s="86"/>
      <c r="R214" s="86">
        <f>R215/R213</f>
        <v>259.08236750835255</v>
      </c>
      <c r="S214" s="86"/>
      <c r="T214" s="86"/>
      <c r="U214" s="86"/>
      <c r="V214" s="86"/>
      <c r="W214" s="86">
        <f>W215/W213</f>
        <v>269.04896034264624</v>
      </c>
      <c r="X214" s="86">
        <f>X215/X213</f>
        <v>291.93384663364509</v>
      </c>
      <c r="Y214" s="375"/>
      <c r="Z214" s="396"/>
      <c r="AA214" s="99"/>
    </row>
    <row r="215" spans="1:28" ht="38.25" hidden="1" customHeight="1">
      <c r="A215" s="398"/>
      <c r="B215" s="326" t="s">
        <v>24</v>
      </c>
      <c r="C215" s="335"/>
      <c r="D215" s="317"/>
      <c r="E215" s="317"/>
      <c r="F215" s="335"/>
      <c r="G215" s="335"/>
      <c r="H215" s="31"/>
      <c r="I215" s="31"/>
      <c r="J215" s="31"/>
      <c r="K215" s="31"/>
      <c r="L215" s="31"/>
      <c r="M215" s="86"/>
      <c r="N215" s="86"/>
      <c r="O215" s="86"/>
      <c r="P215" s="86"/>
      <c r="Q215" s="86"/>
      <c r="R215" s="376">
        <f>R217</f>
        <v>3298869.0999999996</v>
      </c>
      <c r="S215" s="376">
        <f t="shared" ref="S215:X215" si="32">S217</f>
        <v>529223.76699999999</v>
      </c>
      <c r="T215" s="376">
        <f t="shared" si="32"/>
        <v>653239.79800000018</v>
      </c>
      <c r="U215" s="376">
        <f t="shared" si="32"/>
        <v>1478145.0180000004</v>
      </c>
      <c r="V215" s="376">
        <f t="shared" si="32"/>
        <v>638260.51699999988</v>
      </c>
      <c r="W215" s="376">
        <f t="shared" si="32"/>
        <v>3425772.6999999997</v>
      </c>
      <c r="X215" s="376">
        <f t="shared" si="32"/>
        <v>3717163.6</v>
      </c>
      <c r="Y215" s="326"/>
      <c r="Z215" s="396"/>
      <c r="AA215" s="99">
        <f>AA213+T248+T249</f>
        <v>653239.79799999995</v>
      </c>
    </row>
    <row r="216" spans="1:28" ht="30.75" customHeight="1">
      <c r="A216" s="398"/>
      <c r="B216" s="326" t="s">
        <v>25</v>
      </c>
      <c r="C216" s="326">
        <f>C217</f>
        <v>176</v>
      </c>
      <c r="D216" s="330" t="str">
        <f t="shared" ref="D216:X216" si="33">D217</f>
        <v>04</v>
      </c>
      <c r="E216" s="330" t="str">
        <f t="shared" si="33"/>
        <v>09</v>
      </c>
      <c r="F216" s="330">
        <f t="shared" si="33"/>
        <v>6100004040</v>
      </c>
      <c r="G216" s="330" t="str">
        <f t="shared" si="33"/>
        <v>ХХХ</v>
      </c>
      <c r="H216" s="330">
        <f t="shared" si="33"/>
        <v>0</v>
      </c>
      <c r="I216" s="330">
        <f t="shared" si="33"/>
        <v>0</v>
      </c>
      <c r="J216" s="330">
        <f t="shared" si="33"/>
        <v>0</v>
      </c>
      <c r="K216" s="330">
        <f t="shared" si="33"/>
        <v>0</v>
      </c>
      <c r="L216" s="330">
        <f t="shared" si="33"/>
        <v>0</v>
      </c>
      <c r="M216" s="330">
        <f t="shared" si="33"/>
        <v>0</v>
      </c>
      <c r="N216" s="330">
        <f t="shared" si="33"/>
        <v>0</v>
      </c>
      <c r="O216" s="330">
        <f t="shared" si="33"/>
        <v>0</v>
      </c>
      <c r="P216" s="330">
        <f t="shared" si="33"/>
        <v>0</v>
      </c>
      <c r="Q216" s="330">
        <f t="shared" si="33"/>
        <v>0</v>
      </c>
      <c r="R216" s="208">
        <f>R217</f>
        <v>3298869.0999999996</v>
      </c>
      <c r="S216" s="208">
        <f t="shared" ref="S216:V216" si="34">S217</f>
        <v>529223.76699999999</v>
      </c>
      <c r="T216" s="208">
        <f t="shared" si="34"/>
        <v>653239.79800000018</v>
      </c>
      <c r="U216" s="208">
        <f t="shared" si="34"/>
        <v>1478145.0180000004</v>
      </c>
      <c r="V216" s="208">
        <f t="shared" si="34"/>
        <v>638260.51699999988</v>
      </c>
      <c r="W216" s="208">
        <f t="shared" si="33"/>
        <v>3425772.6999999997</v>
      </c>
      <c r="X216" s="208">
        <f t="shared" si="33"/>
        <v>3717163.6</v>
      </c>
      <c r="Y216" s="326"/>
      <c r="Z216" s="396"/>
    </row>
    <row r="217" spans="1:28" ht="26.25" customHeight="1">
      <c r="A217" s="418"/>
      <c r="B217" s="326" t="s">
        <v>10</v>
      </c>
      <c r="C217" s="326">
        <v>176</v>
      </c>
      <c r="D217" s="317" t="s">
        <v>554</v>
      </c>
      <c r="E217" s="317" t="s">
        <v>555</v>
      </c>
      <c r="F217" s="326">
        <v>6100004040</v>
      </c>
      <c r="G217" s="326" t="s">
        <v>28</v>
      </c>
      <c r="H217" s="31"/>
      <c r="I217" s="31"/>
      <c r="J217" s="31"/>
      <c r="K217" s="31"/>
      <c r="L217" s="31"/>
      <c r="M217" s="86"/>
      <c r="N217" s="86"/>
      <c r="O217" s="86"/>
      <c r="P217" s="86"/>
      <c r="Q217" s="86"/>
      <c r="R217" s="112">
        <f t="shared" ref="R217:X217" si="35">SUM(R218:R249)</f>
        <v>3298869.0999999996</v>
      </c>
      <c r="S217" s="112">
        <f t="shared" si="35"/>
        <v>529223.76699999999</v>
      </c>
      <c r="T217" s="112">
        <f t="shared" si="35"/>
        <v>653239.79800000018</v>
      </c>
      <c r="U217" s="112">
        <f t="shared" si="35"/>
        <v>1478145.0180000004</v>
      </c>
      <c r="V217" s="112">
        <f t="shared" si="35"/>
        <v>638260.51699999988</v>
      </c>
      <c r="W217" s="112">
        <f t="shared" si="35"/>
        <v>3425772.6999999997</v>
      </c>
      <c r="X217" s="112">
        <f t="shared" si="35"/>
        <v>3717163.6</v>
      </c>
      <c r="Y217" s="326"/>
      <c r="Z217" s="396"/>
    </row>
    <row r="218" spans="1:28">
      <c r="A218" s="22" t="s">
        <v>42</v>
      </c>
      <c r="B218" s="62" t="s">
        <v>33</v>
      </c>
      <c r="C218" s="62">
        <v>176</v>
      </c>
      <c r="D218" s="317" t="s">
        <v>554</v>
      </c>
      <c r="E218" s="317" t="s">
        <v>555</v>
      </c>
      <c r="F218" s="62">
        <v>6100004040</v>
      </c>
      <c r="G218" s="62">
        <v>244</v>
      </c>
      <c r="H218" s="6">
        <f>58568.7</f>
        <v>58568.7</v>
      </c>
      <c r="I218" s="6">
        <v>10739.636448044155</v>
      </c>
      <c r="J218" s="6">
        <v>17903.579744408849</v>
      </c>
      <c r="K218" s="6">
        <v>9584.5756239441216</v>
      </c>
      <c r="L218" s="6">
        <f>H218*439151.4/2320351.3</f>
        <v>11084.755399400083</v>
      </c>
      <c r="M218" s="93">
        <f>73898.9-16.2</f>
        <v>73882.7</v>
      </c>
      <c r="N218" s="93">
        <f>M218*653500.912/2819770</f>
        <v>17122.819177103949</v>
      </c>
      <c r="O218" s="93">
        <f>M218*1015888/2819770</f>
        <v>26617.968251878698</v>
      </c>
      <c r="P218" s="93">
        <f>M218*564225.128/2819770</f>
        <v>14783.644008016825</v>
      </c>
      <c r="Q218" s="93">
        <f>M218*586155.958/2819770</f>
        <v>15358.268510597174</v>
      </c>
      <c r="R218" s="116">
        <f>82159.4</f>
        <v>82159.399999999994</v>
      </c>
      <c r="S218" s="116">
        <f>R218*$AA$247/$AA$246</f>
        <v>13698.880458268915</v>
      </c>
      <c r="T218" s="116">
        <f>R218*$AA$248/$AA$246</f>
        <v>15956.920663875509</v>
      </c>
      <c r="U218" s="116">
        <f t="shared" ref="U218:U247" si="36">R218*$AA$249/$AA$246</f>
        <v>37382.398893846541</v>
      </c>
      <c r="V218" s="116">
        <f>R218-S218-T218-U218</f>
        <v>15121.199984009021</v>
      </c>
      <c r="W218" s="94">
        <f>84311.2-4500</f>
        <v>79811.199999999997</v>
      </c>
      <c r="X218" s="94">
        <v>90397.6</v>
      </c>
      <c r="Y218" s="62"/>
      <c r="Z218" s="396"/>
    </row>
    <row r="219" spans="1:28">
      <c r="A219" s="22" t="s">
        <v>43</v>
      </c>
      <c r="B219" s="62" t="s">
        <v>33</v>
      </c>
      <c r="C219" s="62">
        <v>176</v>
      </c>
      <c r="D219" s="317" t="s">
        <v>554</v>
      </c>
      <c r="E219" s="317" t="s">
        <v>555</v>
      </c>
      <c r="F219" s="62">
        <v>6100004040</v>
      </c>
      <c r="G219" s="62">
        <v>244</v>
      </c>
      <c r="H219" s="6">
        <f>66094.6</f>
        <v>66094.600000000006</v>
      </c>
      <c r="I219" s="6">
        <v>12119.647101248607</v>
      </c>
      <c r="J219" s="6">
        <v>20204.135344899329</v>
      </c>
      <c r="K219" s="6">
        <v>10816.164470687196</v>
      </c>
      <c r="L219" s="6">
        <f t="shared" ref="L219:L247" si="37">H219*439151.4/2320351.3</f>
        <v>12509.112789274626</v>
      </c>
      <c r="M219" s="93">
        <v>85203.4</v>
      </c>
      <c r="N219" s="93">
        <f t="shared" ref="N219:N246" si="38">M219*653500.912/2819770</f>
        <v>19746.468543711293</v>
      </c>
      <c r="O219" s="93">
        <f t="shared" ref="O219:O247" si="39">M219*1015888/2819770</f>
        <v>30696.514828939948</v>
      </c>
      <c r="P219" s="93">
        <f t="shared" ref="P219:P247" si="40">M219*564225.128/2819770</f>
        <v>17048.872521884834</v>
      </c>
      <c r="Q219" s="93">
        <f t="shared" ref="Q219:Q247" si="41">M219*586155.958/2819770</f>
        <v>17711.544045031045</v>
      </c>
      <c r="R219" s="116">
        <f>92577.2</f>
        <v>92577.2</v>
      </c>
      <c r="S219" s="116">
        <f t="shared" ref="S219:S247" si="42">R219*$AA$247/$AA$246</f>
        <v>15435.896512891441</v>
      </c>
      <c r="T219" s="116">
        <f t="shared" ref="T219:T247" si="43">R219*$AA$248/$AA$246</f>
        <v>17980.255888963842</v>
      </c>
      <c r="U219" s="116">
        <f t="shared" si="36"/>
        <v>42122.481650004869</v>
      </c>
      <c r="V219" s="116">
        <f t="shared" ref="V219:V247" si="44">R219-S219-T219-U219</f>
        <v>17038.56594813984</v>
      </c>
      <c r="W219" s="94">
        <f>97730.6-4500</f>
        <v>93230.6</v>
      </c>
      <c r="X219" s="94">
        <v>104676.8</v>
      </c>
      <c r="Y219" s="276">
        <f>R209-470</f>
        <v>3300005.6999999997</v>
      </c>
      <c r="Z219" s="396"/>
      <c r="AA219" s="39"/>
      <c r="AB219" s="39"/>
    </row>
    <row r="220" spans="1:28">
      <c r="A220" s="22" t="s">
        <v>44</v>
      </c>
      <c r="B220" s="62" t="s">
        <v>33</v>
      </c>
      <c r="C220" s="62">
        <v>176</v>
      </c>
      <c r="D220" s="317" t="s">
        <v>554</v>
      </c>
      <c r="E220" s="317" t="s">
        <v>555</v>
      </c>
      <c r="F220" s="62">
        <v>6100004040</v>
      </c>
      <c r="G220" s="62">
        <v>244</v>
      </c>
      <c r="H220" s="6">
        <f>42869.4</f>
        <v>42869.4</v>
      </c>
      <c r="I220" s="6">
        <v>7860.8842392913648</v>
      </c>
      <c r="J220" s="6">
        <v>13104.537432023602</v>
      </c>
      <c r="K220" s="6">
        <v>7015.4366795423175</v>
      </c>
      <c r="L220" s="6">
        <f t="shared" si="37"/>
        <v>8113.4942916445461</v>
      </c>
      <c r="M220" s="93">
        <f>57323.8+66.4</f>
        <v>57390.200000000004</v>
      </c>
      <c r="N220" s="93">
        <f t="shared" si="38"/>
        <v>13300.56991877437</v>
      </c>
      <c r="O220" s="93">
        <f t="shared" si="39"/>
        <v>20676.159934179032</v>
      </c>
      <c r="P220" s="93">
        <f t="shared" si="40"/>
        <v>11483.558212529959</v>
      </c>
      <c r="Q220" s="93">
        <f t="shared" si="41"/>
        <v>11929.911893811057</v>
      </c>
      <c r="R220" s="116">
        <f>59290.8</f>
        <v>59290.8</v>
      </c>
      <c r="S220" s="116">
        <f t="shared" si="42"/>
        <v>9885.8752799452122</v>
      </c>
      <c r="T220" s="116">
        <f t="shared" si="43"/>
        <v>11515.402883878292</v>
      </c>
      <c r="U220" s="116">
        <f t="shared" si="36"/>
        <v>26977.221551463092</v>
      </c>
      <c r="V220" s="116">
        <f t="shared" si="44"/>
        <v>10912.300284713408</v>
      </c>
      <c r="W220" s="94">
        <f>64376.6-4500</f>
        <v>59876.6</v>
      </c>
      <c r="X220" s="94">
        <v>66890.3</v>
      </c>
      <c r="Y220" s="62"/>
      <c r="Z220" s="396"/>
      <c r="AA220" s="39"/>
    </row>
    <row r="221" spans="1:28">
      <c r="A221" s="22" t="s">
        <v>45</v>
      </c>
      <c r="B221" s="62" t="s">
        <v>33</v>
      </c>
      <c r="C221" s="62">
        <v>176</v>
      </c>
      <c r="D221" s="317" t="s">
        <v>554</v>
      </c>
      <c r="E221" s="317" t="s">
        <v>555</v>
      </c>
      <c r="F221" s="62">
        <v>6100004040</v>
      </c>
      <c r="G221" s="62">
        <v>244</v>
      </c>
      <c r="H221" s="6">
        <f>63557.4</f>
        <v>63557.4</v>
      </c>
      <c r="I221" s="6">
        <v>11654.405332249506</v>
      </c>
      <c r="J221" s="6">
        <v>19428.551073308627</v>
      </c>
      <c r="K221" s="6">
        <v>10400.960013817383</v>
      </c>
      <c r="L221" s="6">
        <f t="shared" si="37"/>
        <v>12028.920444227562</v>
      </c>
      <c r="M221" s="93">
        <v>76275.199999999997</v>
      </c>
      <c r="N221" s="93">
        <f t="shared" si="38"/>
        <v>17677.297355097187</v>
      </c>
      <c r="O221" s="93">
        <f t="shared" si="39"/>
        <v>27479.922255219393</v>
      </c>
      <c r="P221" s="93">
        <f t="shared" si="40"/>
        <v>15262.37405292829</v>
      </c>
      <c r="Q221" s="93">
        <f t="shared" si="41"/>
        <v>15855.606282654824</v>
      </c>
      <c r="R221" s="116">
        <f>85941.6</f>
        <v>85941.6</v>
      </c>
      <c r="S221" s="116">
        <f t="shared" si="42"/>
        <v>14329.507089783567</v>
      </c>
      <c r="T221" s="116">
        <f t="shared" si="43"/>
        <v>16691.495956963216</v>
      </c>
      <c r="U221" s="116">
        <f t="shared" si="36"/>
        <v>39103.293996492219</v>
      </c>
      <c r="V221" s="116">
        <f t="shared" si="44"/>
        <v>15817.302956760999</v>
      </c>
      <c r="W221" s="94">
        <f>96150.8-4500</f>
        <v>91650.8</v>
      </c>
      <c r="X221" s="94">
        <v>99075.7</v>
      </c>
      <c r="Y221" s="62"/>
      <c r="Z221" s="396"/>
      <c r="AA221" s="39"/>
    </row>
    <row r="222" spans="1:28">
      <c r="A222" s="22" t="s">
        <v>46</v>
      </c>
      <c r="B222" s="62" t="s">
        <v>33</v>
      </c>
      <c r="C222" s="62">
        <v>176</v>
      </c>
      <c r="D222" s="317" t="s">
        <v>554</v>
      </c>
      <c r="E222" s="317" t="s">
        <v>555</v>
      </c>
      <c r="F222" s="62">
        <v>6100004040</v>
      </c>
      <c r="G222" s="62">
        <v>244</v>
      </c>
      <c r="H222" s="6">
        <f>55763.2</f>
        <v>55763.199999999997</v>
      </c>
      <c r="I222" s="6">
        <v>10288.459019137374</v>
      </c>
      <c r="J222" s="6">
        <v>17151.441521072527</v>
      </c>
      <c r="K222" s="6">
        <v>9181.9228704646266</v>
      </c>
      <c r="L222" s="6">
        <f t="shared" si="37"/>
        <v>10553.784398284864</v>
      </c>
      <c r="M222" s="93">
        <f>73007.9-2.1</f>
        <v>73005.799999999988</v>
      </c>
      <c r="N222" s="93">
        <f t="shared" si="38"/>
        <v>16919.59162672473</v>
      </c>
      <c r="O222" s="93">
        <f t="shared" si="39"/>
        <v>26302.044546328245</v>
      </c>
      <c r="P222" s="93">
        <f t="shared" si="40"/>
        <v>14608.179691869334</v>
      </c>
      <c r="Q222" s="93">
        <f t="shared" si="41"/>
        <v>15175.984083296293</v>
      </c>
      <c r="R222" s="116">
        <f>79941.2</f>
        <v>79941.2</v>
      </c>
      <c r="S222" s="116">
        <f t="shared" si="42"/>
        <v>13329.027993030219</v>
      </c>
      <c r="T222" s="116">
        <f t="shared" si="43"/>
        <v>15526.103965888324</v>
      </c>
      <c r="U222" s="116">
        <f t="shared" si="36"/>
        <v>36373.121352550836</v>
      </c>
      <c r="V222" s="116">
        <f t="shared" si="44"/>
        <v>14712.946688530617</v>
      </c>
      <c r="W222" s="94">
        <f>82476.8-4500</f>
        <v>77976.800000000003</v>
      </c>
      <c r="X222" s="94">
        <v>88188.099999999991</v>
      </c>
      <c r="Y222" s="62"/>
      <c r="Z222" s="396"/>
    </row>
    <row r="223" spans="1:28">
      <c r="A223" s="22" t="s">
        <v>47</v>
      </c>
      <c r="B223" s="62" t="s">
        <v>33</v>
      </c>
      <c r="C223" s="62">
        <v>176</v>
      </c>
      <c r="D223" s="317" t="s">
        <v>554</v>
      </c>
      <c r="E223" s="317" t="s">
        <v>555</v>
      </c>
      <c r="F223" s="62">
        <v>6100004040</v>
      </c>
      <c r="G223" s="62">
        <v>244</v>
      </c>
      <c r="H223" s="6">
        <f>69227.1+3000</f>
        <v>72227.100000000006</v>
      </c>
      <c r="I223" s="6">
        <v>12694.047953128507</v>
      </c>
      <c r="J223" s="6">
        <v>21161.693964936323</v>
      </c>
      <c r="K223" s="6">
        <v>11328.78781971159</v>
      </c>
      <c r="L223" s="6">
        <f t="shared" si="37"/>
        <v>13669.754266494045</v>
      </c>
      <c r="M223" s="93">
        <f>87538-10</f>
        <v>87528</v>
      </c>
      <c r="N223" s="93">
        <f t="shared" si="38"/>
        <v>20285.210434019798</v>
      </c>
      <c r="O223" s="93">
        <f t="shared" si="39"/>
        <v>31534.006271433485</v>
      </c>
      <c r="P223" s="93">
        <f t="shared" si="40"/>
        <v>17514.016038039983</v>
      </c>
      <c r="Q223" s="93">
        <f t="shared" si="41"/>
        <v>18194.767194425076</v>
      </c>
      <c r="R223" s="116">
        <f>114821.1</f>
        <v>114821.1</v>
      </c>
      <c r="S223" s="116">
        <f t="shared" si="42"/>
        <v>19144.742086565151</v>
      </c>
      <c r="T223" s="116">
        <f t="shared" si="43"/>
        <v>22300.445028066373</v>
      </c>
      <c r="U223" s="116">
        <f t="shared" si="36"/>
        <v>52243.421466445034</v>
      </c>
      <c r="V223" s="116">
        <f t="shared" si="44"/>
        <v>21132.491418923448</v>
      </c>
      <c r="W223" s="94">
        <f>101988.9-4500</f>
        <v>97488.9</v>
      </c>
      <c r="X223" s="94">
        <v>107602.5</v>
      </c>
      <c r="Y223" s="62"/>
      <c r="Z223" s="396"/>
    </row>
    <row r="224" spans="1:28">
      <c r="A224" s="22" t="s">
        <v>48</v>
      </c>
      <c r="B224" s="62" t="s">
        <v>33</v>
      </c>
      <c r="C224" s="62">
        <v>176</v>
      </c>
      <c r="D224" s="317" t="s">
        <v>554</v>
      </c>
      <c r="E224" s="317" t="s">
        <v>555</v>
      </c>
      <c r="F224" s="62">
        <v>6100004040</v>
      </c>
      <c r="G224" s="62">
        <v>244</v>
      </c>
      <c r="H224" s="6">
        <v>89482.4</v>
      </c>
      <c r="I224" s="6">
        <v>16408.225630728808</v>
      </c>
      <c r="J224" s="6">
        <v>27353.437657333874</v>
      </c>
      <c r="K224" s="6">
        <v>14643.50121843267</v>
      </c>
      <c r="L224" s="6">
        <f t="shared" si="37"/>
        <v>16935.505082941538</v>
      </c>
      <c r="M224" s="93">
        <f>120053.8-920.9</f>
        <v>119132.90000000001</v>
      </c>
      <c r="N224" s="93">
        <f t="shared" si="38"/>
        <v>27609.86137139015</v>
      </c>
      <c r="O224" s="93">
        <f t="shared" si="39"/>
        <v>42920.409648730223</v>
      </c>
      <c r="P224" s="93">
        <f t="shared" si="40"/>
        <v>23838.034928916615</v>
      </c>
      <c r="Q224" s="93">
        <f t="shared" si="41"/>
        <v>24764.593966464716</v>
      </c>
      <c r="R224" s="116">
        <f>123309.6</f>
        <v>123309.6</v>
      </c>
      <c r="S224" s="116">
        <f t="shared" si="42"/>
        <v>20560.075533133844</v>
      </c>
      <c r="T224" s="116">
        <f t="shared" si="43"/>
        <v>23949.073438878862</v>
      </c>
      <c r="U224" s="116">
        <f t="shared" si="36"/>
        <v>56105.675730843468</v>
      </c>
      <c r="V224" s="116">
        <f t="shared" si="44"/>
        <v>22694.775297143824</v>
      </c>
      <c r="W224" s="94">
        <f>133949.3-4500</f>
        <v>129449.29999999999</v>
      </c>
      <c r="X224" s="94">
        <v>139735.4</v>
      </c>
      <c r="Y224" s="62"/>
      <c r="Z224" s="396"/>
    </row>
    <row r="225" spans="1:27">
      <c r="A225" s="22" t="s">
        <v>49</v>
      </c>
      <c r="B225" s="62" t="s">
        <v>33</v>
      </c>
      <c r="C225" s="62">
        <v>176</v>
      </c>
      <c r="D225" s="317" t="s">
        <v>554</v>
      </c>
      <c r="E225" s="317" t="s">
        <v>555</v>
      </c>
      <c r="F225" s="62">
        <v>6100004040</v>
      </c>
      <c r="G225" s="62">
        <v>244</v>
      </c>
      <c r="H225" s="6">
        <f>92069.9+3000</f>
        <v>95069.9</v>
      </c>
      <c r="I225" s="6">
        <v>16882.690819632</v>
      </c>
      <c r="J225" s="6">
        <v>28144.397890165706</v>
      </c>
      <c r="K225" s="6">
        <v>15066.937105296392</v>
      </c>
      <c r="L225" s="6">
        <f t="shared" si="37"/>
        <v>17992.99945782348</v>
      </c>
      <c r="M225" s="93">
        <f>112892.8+2645.3</f>
        <v>115538.1</v>
      </c>
      <c r="N225" s="93">
        <f t="shared" si="38"/>
        <v>26776.741975674329</v>
      </c>
      <c r="O225" s="93">
        <f t="shared" si="39"/>
        <v>41625.298989917617</v>
      </c>
      <c r="P225" s="93">
        <f t="shared" si="40"/>
        <v>23118.729279826657</v>
      </c>
      <c r="Q225" s="93">
        <f t="shared" si="41"/>
        <v>24017.329672632804</v>
      </c>
      <c r="R225" s="116">
        <f>127584.8</f>
        <v>127584.8</v>
      </c>
      <c r="S225" s="116">
        <f t="shared" si="42"/>
        <v>21272.902717061566</v>
      </c>
      <c r="T225" s="116">
        <f t="shared" si="43"/>
        <v>24779.398723900424</v>
      </c>
      <c r="U225" s="116">
        <f t="shared" si="36"/>
        <v>58050.885064784219</v>
      </c>
      <c r="V225" s="116">
        <f t="shared" si="44"/>
        <v>23481.613494253805</v>
      </c>
      <c r="W225" s="94">
        <f>137404.9-4500</f>
        <v>132904.9</v>
      </c>
      <c r="X225" s="94">
        <v>143975.4</v>
      </c>
      <c r="Y225" s="62"/>
      <c r="Z225" s="396"/>
      <c r="AA225" s="99"/>
    </row>
    <row r="226" spans="1:27">
      <c r="A226" s="22" t="s">
        <v>50</v>
      </c>
      <c r="B226" s="62" t="s">
        <v>33</v>
      </c>
      <c r="C226" s="62">
        <v>176</v>
      </c>
      <c r="D226" s="317" t="s">
        <v>554</v>
      </c>
      <c r="E226" s="317" t="s">
        <v>555</v>
      </c>
      <c r="F226" s="62">
        <v>6100004040</v>
      </c>
      <c r="G226" s="62">
        <v>244</v>
      </c>
      <c r="H226" s="6">
        <f>62410+17000</f>
        <v>79410</v>
      </c>
      <c r="I226" s="6">
        <v>10504.063335702542</v>
      </c>
      <c r="J226" s="6">
        <v>17510.866078275882</v>
      </c>
      <c r="K226" s="6">
        <v>9374.3386833242857</v>
      </c>
      <c r="L226" s="6">
        <f t="shared" si="37"/>
        <v>15029.195223154356</v>
      </c>
      <c r="M226" s="93">
        <f>66959.2</f>
        <v>66959.199999999997</v>
      </c>
      <c r="N226" s="93">
        <f t="shared" si="38"/>
        <v>15518.250873933121</v>
      </c>
      <c r="O226" s="93">
        <f t="shared" si="39"/>
        <v>24123.615674186192</v>
      </c>
      <c r="P226" s="93">
        <f t="shared" si="40"/>
        <v>13398.278296023294</v>
      </c>
      <c r="Q226" s="93">
        <f t="shared" si="41"/>
        <v>13919.055108364724</v>
      </c>
      <c r="R226" s="116">
        <f>75424.8</f>
        <v>75424.800000000003</v>
      </c>
      <c r="S226" s="116">
        <f t="shared" si="42"/>
        <v>12575.984230518254</v>
      </c>
      <c r="T226" s="116">
        <f t="shared" si="43"/>
        <v>14648.933045867883</v>
      </c>
      <c r="U226" s="116">
        <f t="shared" si="36"/>
        <v>34318.166394698565</v>
      </c>
      <c r="V226" s="116">
        <f t="shared" si="44"/>
        <v>13881.716328915303</v>
      </c>
      <c r="W226" s="94">
        <f>81293.9-4500</f>
        <v>76793.899999999994</v>
      </c>
      <c r="X226" s="94">
        <v>85156.900000000009</v>
      </c>
      <c r="Y226" s="62"/>
      <c r="Z226" s="396"/>
    </row>
    <row r="227" spans="1:27">
      <c r="A227" s="22" t="s">
        <v>51</v>
      </c>
      <c r="B227" s="62" t="s">
        <v>33</v>
      </c>
      <c r="C227" s="62">
        <v>176</v>
      </c>
      <c r="D227" s="317" t="s">
        <v>554</v>
      </c>
      <c r="E227" s="317" t="s">
        <v>555</v>
      </c>
      <c r="F227" s="62">
        <v>6100004040</v>
      </c>
      <c r="G227" s="62">
        <v>244</v>
      </c>
      <c r="H227" s="6">
        <f>76064.5</f>
        <v>76064.5</v>
      </c>
      <c r="I227" s="6">
        <v>14022.623829333019</v>
      </c>
      <c r="J227" s="6">
        <v>23376.504890911117</v>
      </c>
      <c r="K227" s="6">
        <v>12514.473761617841</v>
      </c>
      <c r="L227" s="6">
        <f t="shared" si="37"/>
        <v>14396.023423392831</v>
      </c>
      <c r="M227" s="93">
        <f>96070.3+1580.9</f>
        <v>97651.199999999997</v>
      </c>
      <c r="N227" s="93">
        <f t="shared" si="38"/>
        <v>22631.331015612763</v>
      </c>
      <c r="O227" s="93">
        <f t="shared" si="39"/>
        <v>35181.12550512985</v>
      </c>
      <c r="P227" s="93">
        <f t="shared" si="40"/>
        <v>19539.629409261608</v>
      </c>
      <c r="Q227" s="93">
        <f t="shared" si="41"/>
        <v>20299.11400073396</v>
      </c>
      <c r="R227" s="116">
        <f>102560.8</f>
        <v>102560.8</v>
      </c>
      <c r="S227" s="116">
        <f t="shared" si="42"/>
        <v>17100.516056646306</v>
      </c>
      <c r="T227" s="116">
        <f t="shared" si="43"/>
        <v>19919.261202292175</v>
      </c>
      <c r="U227" s="116">
        <f t="shared" si="36"/>
        <v>46665.004083184846</v>
      </c>
      <c r="V227" s="116">
        <f t="shared" si="44"/>
        <v>18876.018657876673</v>
      </c>
      <c r="W227" s="94">
        <f>116819.5-4500</f>
        <v>112319.5</v>
      </c>
      <c r="X227" s="94">
        <v>119325.40000000001</v>
      </c>
      <c r="Y227" s="62"/>
      <c r="Z227" s="396"/>
    </row>
    <row r="228" spans="1:27">
      <c r="A228" s="22" t="s">
        <v>52</v>
      </c>
      <c r="B228" s="62" t="s">
        <v>33</v>
      </c>
      <c r="C228" s="62">
        <v>176</v>
      </c>
      <c r="D228" s="317" t="s">
        <v>554</v>
      </c>
      <c r="E228" s="317" t="s">
        <v>555</v>
      </c>
      <c r="F228" s="62">
        <v>6100004040</v>
      </c>
      <c r="G228" s="62">
        <v>244</v>
      </c>
      <c r="H228" s="6">
        <f>42387.9</f>
        <v>42387.9</v>
      </c>
      <c r="I228" s="6">
        <v>7916.9032210150081</v>
      </c>
      <c r="J228" s="6">
        <v>13197.924234392733</v>
      </c>
      <c r="K228" s="6">
        <v>7065.4307523681609</v>
      </c>
      <c r="L228" s="6">
        <f t="shared" si="37"/>
        <v>8022.3652461849215</v>
      </c>
      <c r="M228" s="93">
        <f>53249.1-249.5</f>
        <v>52999.6</v>
      </c>
      <c r="N228" s="93">
        <f t="shared" si="38"/>
        <v>12283.018450311622</v>
      </c>
      <c r="O228" s="93">
        <f t="shared" si="39"/>
        <v>19094.343738957432</v>
      </c>
      <c r="P228" s="93">
        <f t="shared" si="40"/>
        <v>10605.016045262131</v>
      </c>
      <c r="Q228" s="93">
        <f t="shared" si="41"/>
        <v>11017.221727877379</v>
      </c>
      <c r="R228" s="116">
        <f>57117.2</f>
        <v>57117.2</v>
      </c>
      <c r="S228" s="116">
        <f t="shared" si="42"/>
        <v>9523.4592135657913</v>
      </c>
      <c r="T228" s="116">
        <f t="shared" si="43"/>
        <v>11093.248355546784</v>
      </c>
      <c r="U228" s="116">
        <f t="shared" si="36"/>
        <v>25988.236940625316</v>
      </c>
      <c r="V228" s="116">
        <f t="shared" si="44"/>
        <v>10512.255490262109</v>
      </c>
      <c r="W228" s="94">
        <f>63585.9-4500</f>
        <v>59085.9</v>
      </c>
      <c r="X228" s="94">
        <v>65391</v>
      </c>
      <c r="Y228" s="62"/>
      <c r="Z228" s="396"/>
    </row>
    <row r="229" spans="1:27">
      <c r="A229" s="22" t="s">
        <v>53</v>
      </c>
      <c r="B229" s="62" t="s">
        <v>33</v>
      </c>
      <c r="C229" s="62">
        <v>176</v>
      </c>
      <c r="D229" s="317" t="s">
        <v>554</v>
      </c>
      <c r="E229" s="317" t="s">
        <v>555</v>
      </c>
      <c r="F229" s="62">
        <v>6100004040</v>
      </c>
      <c r="G229" s="62">
        <v>244</v>
      </c>
      <c r="H229" s="6">
        <f>53794.4</f>
        <v>53794.400000000001</v>
      </c>
      <c r="I229" s="6">
        <v>9913.5077463763155</v>
      </c>
      <c r="J229" s="6">
        <v>16526.376599683335</v>
      </c>
      <c r="K229" s="6">
        <v>8847.2980583065801</v>
      </c>
      <c r="L229" s="6">
        <f t="shared" si="37"/>
        <v>10181.167856849954</v>
      </c>
      <c r="M229" s="93">
        <f>68743.2-390.7</f>
        <v>68352.5</v>
      </c>
      <c r="N229" s="93">
        <f t="shared" si="38"/>
        <v>15841.157643169479</v>
      </c>
      <c r="O229" s="93">
        <f t="shared" si="39"/>
        <v>24625.584540583099</v>
      </c>
      <c r="P229" s="93">
        <f t="shared" si="40"/>
        <v>13677.072265333698</v>
      </c>
      <c r="Q229" s="93">
        <f t="shared" si="41"/>
        <v>14208.685502432822</v>
      </c>
      <c r="R229" s="116">
        <f>74730.2</f>
        <v>74730.2</v>
      </c>
      <c r="S229" s="116">
        <f t="shared" si="42"/>
        <v>12460.169821378049</v>
      </c>
      <c r="T229" s="116">
        <f t="shared" si="43"/>
        <v>14514.028493337946</v>
      </c>
      <c r="U229" s="116">
        <f t="shared" si="36"/>
        <v>34002.124477746074</v>
      </c>
      <c r="V229" s="116">
        <f t="shared" si="44"/>
        <v>13753.877207537931</v>
      </c>
      <c r="W229" s="94">
        <f>79050.8-4500</f>
        <v>74550.8</v>
      </c>
      <c r="X229" s="94">
        <v>83276.3</v>
      </c>
      <c r="Y229" s="62"/>
      <c r="Z229" s="396"/>
    </row>
    <row r="230" spans="1:27">
      <c r="A230" s="22" t="s">
        <v>54</v>
      </c>
      <c r="B230" s="62" t="s">
        <v>33</v>
      </c>
      <c r="C230" s="62">
        <v>176</v>
      </c>
      <c r="D230" s="317" t="s">
        <v>554</v>
      </c>
      <c r="E230" s="317" t="s">
        <v>555</v>
      </c>
      <c r="F230" s="62">
        <v>6100004040</v>
      </c>
      <c r="G230" s="62">
        <v>244</v>
      </c>
      <c r="H230" s="6">
        <f>71918.3+4000</f>
        <v>75918.3</v>
      </c>
      <c r="I230" s="6">
        <v>13187.528423225614</v>
      </c>
      <c r="J230" s="6">
        <v>21984.353744104257</v>
      </c>
      <c r="K230" s="6">
        <v>11769.193871393776</v>
      </c>
      <c r="L230" s="6">
        <f t="shared" si="37"/>
        <v>14368.353503463033</v>
      </c>
      <c r="M230" s="93">
        <v>91165.1</v>
      </c>
      <c r="N230" s="93">
        <f t="shared" si="38"/>
        <v>21128.133142976629</v>
      </c>
      <c r="O230" s="93">
        <f t="shared" si="39"/>
        <v>32844.35649318916</v>
      </c>
      <c r="P230" s="93">
        <f t="shared" si="40"/>
        <v>18241.785754381672</v>
      </c>
      <c r="Q230" s="93">
        <f t="shared" si="41"/>
        <v>18950.824544791172</v>
      </c>
      <c r="R230" s="116">
        <f>114656.5</f>
        <v>114656.5</v>
      </c>
      <c r="S230" s="116">
        <f t="shared" si="42"/>
        <v>19117.297439654016</v>
      </c>
      <c r="T230" s="116">
        <f t="shared" si="43"/>
        <v>22268.476572341606</v>
      </c>
      <c r="U230" s="116">
        <f t="shared" si="36"/>
        <v>52168.528723095798</v>
      </c>
      <c r="V230" s="116">
        <f t="shared" si="44"/>
        <v>21102.197264908587</v>
      </c>
      <c r="W230" s="94">
        <f>104362.7-4500</f>
        <v>99862.7</v>
      </c>
      <c r="X230" s="94">
        <v>110476.7</v>
      </c>
      <c r="Y230" s="62"/>
      <c r="Z230" s="396"/>
    </row>
    <row r="231" spans="1:27">
      <c r="A231" s="22" t="s">
        <v>55</v>
      </c>
      <c r="B231" s="62" t="s">
        <v>33</v>
      </c>
      <c r="C231" s="62">
        <v>176</v>
      </c>
      <c r="D231" s="317" t="s">
        <v>554</v>
      </c>
      <c r="E231" s="317" t="s">
        <v>555</v>
      </c>
      <c r="F231" s="62">
        <v>6100004040</v>
      </c>
      <c r="G231" s="62">
        <v>244</v>
      </c>
      <c r="H231" s="6">
        <f>85733.7</f>
        <v>85733.7</v>
      </c>
      <c r="I231" s="6">
        <v>15756.590097663971</v>
      </c>
      <c r="J231" s="6">
        <v>26267.124467221991</v>
      </c>
      <c r="K231" s="6">
        <v>14061.949871129242</v>
      </c>
      <c r="L231" s="6">
        <f t="shared" si="37"/>
        <v>16226.023353524099</v>
      </c>
      <c r="M231" s="93">
        <v>105640</v>
      </c>
      <c r="N231" s="93">
        <f t="shared" si="38"/>
        <v>24482.789852959642</v>
      </c>
      <c r="O231" s="93">
        <f t="shared" si="39"/>
        <v>38059.277288573183</v>
      </c>
      <c r="P231" s="93">
        <f t="shared" si="40"/>
        <v>21138.157552537974</v>
      </c>
      <c r="Q231" s="93">
        <f t="shared" si="41"/>
        <v>21959.775231001109</v>
      </c>
      <c r="R231" s="116">
        <f>119246.4</f>
        <v>119246.39999999999</v>
      </c>
      <c r="S231" s="116">
        <f t="shared" si="42"/>
        <v>19882.596254097745</v>
      </c>
      <c r="T231" s="116">
        <f t="shared" si="43"/>
        <v>23159.922592579362</v>
      </c>
      <c r="U231" s="116">
        <f t="shared" si="36"/>
        <v>54256.926066343993</v>
      </c>
      <c r="V231" s="116">
        <f t="shared" si="44"/>
        <v>21946.955086978895</v>
      </c>
      <c r="W231" s="94">
        <f>128558.9-4500</f>
        <v>124058.9</v>
      </c>
      <c r="X231" s="94">
        <v>135285.79999999999</v>
      </c>
      <c r="Y231" s="62"/>
      <c r="Z231" s="396"/>
    </row>
    <row r="232" spans="1:27">
      <c r="A232" s="22" t="s">
        <v>56</v>
      </c>
      <c r="B232" s="62" t="s">
        <v>33</v>
      </c>
      <c r="C232" s="62">
        <v>176</v>
      </c>
      <c r="D232" s="317" t="s">
        <v>554</v>
      </c>
      <c r="E232" s="317" t="s">
        <v>555</v>
      </c>
      <c r="F232" s="62">
        <v>6100004040</v>
      </c>
      <c r="G232" s="62">
        <v>244</v>
      </c>
      <c r="H232" s="6">
        <f>75319.9</f>
        <v>75319.899999999994</v>
      </c>
      <c r="I232" s="6">
        <v>13811.273654751447</v>
      </c>
      <c r="J232" s="6">
        <v>23024.172228355761</v>
      </c>
      <c r="K232" s="6">
        <v>12325.854552651994</v>
      </c>
      <c r="L232" s="6">
        <f t="shared" si="37"/>
        <v>14255.099877703864</v>
      </c>
      <c r="M232" s="93">
        <v>90513.3</v>
      </c>
      <c r="N232" s="93">
        <f t="shared" si="38"/>
        <v>20977.074051475687</v>
      </c>
      <c r="O232" s="93">
        <f t="shared" si="39"/>
        <v>32609.530319990641</v>
      </c>
      <c r="P232" s="93">
        <f t="shared" si="40"/>
        <v>18111.363082167129</v>
      </c>
      <c r="Q232" s="93">
        <f t="shared" si="41"/>
        <v>18815.332482167483</v>
      </c>
      <c r="R232" s="116">
        <f>105690.345</f>
        <v>105690.345</v>
      </c>
      <c r="S232" s="116">
        <f t="shared" si="42"/>
        <v>17622.321995391882</v>
      </c>
      <c r="T232" s="116">
        <f t="shared" si="43"/>
        <v>20527.078460926343</v>
      </c>
      <c r="U232" s="116">
        <f t="shared" si="36"/>
        <v>48088.942178475743</v>
      </c>
      <c r="V232" s="116">
        <f t="shared" si="44"/>
        <v>19452.002365206034</v>
      </c>
      <c r="W232" s="94">
        <f>111507.8-4500</f>
        <v>107007.8</v>
      </c>
      <c r="X232" s="94">
        <v>118355.9</v>
      </c>
      <c r="Y232" s="62"/>
      <c r="Z232" s="396"/>
    </row>
    <row r="233" spans="1:27">
      <c r="A233" s="22" t="s">
        <v>57</v>
      </c>
      <c r="B233" s="62" t="s">
        <v>33</v>
      </c>
      <c r="C233" s="62">
        <v>176</v>
      </c>
      <c r="D233" s="317" t="s">
        <v>554</v>
      </c>
      <c r="E233" s="317" t="s">
        <v>555</v>
      </c>
      <c r="F233" s="62">
        <v>6100004040</v>
      </c>
      <c r="G233" s="62">
        <v>244</v>
      </c>
      <c r="H233" s="6">
        <f>68239.8</f>
        <v>68239.8</v>
      </c>
      <c r="I233" s="6">
        <v>12537.029772932256</v>
      </c>
      <c r="J233" s="6">
        <v>20899.93580170003</v>
      </c>
      <c r="K233" s="6">
        <v>11188.657133751625</v>
      </c>
      <c r="L233" s="6">
        <f t="shared" si="37"/>
        <v>12915.114924933998</v>
      </c>
      <c r="M233" s="93">
        <v>72224</v>
      </c>
      <c r="N233" s="93">
        <f t="shared" si="38"/>
        <v>16738.404149376722</v>
      </c>
      <c r="O233" s="93">
        <f t="shared" si="39"/>
        <v>26020.382836898047</v>
      </c>
      <c r="P233" s="93">
        <f t="shared" si="40"/>
        <v>14451.744519826796</v>
      </c>
      <c r="Q233" s="93">
        <f t="shared" si="41"/>
        <v>15013.468442671563</v>
      </c>
      <c r="R233" s="116">
        <f>82773.9</f>
        <v>82773.899999999994</v>
      </c>
      <c r="S233" s="116">
        <f t="shared" si="42"/>
        <v>13801.3393618345</v>
      </c>
      <c r="T233" s="116">
        <f t="shared" si="43"/>
        <v>16076.268270454326</v>
      </c>
      <c r="U233" s="116">
        <f t="shared" si="36"/>
        <v>37661.99543569408</v>
      </c>
      <c r="V233" s="116">
        <f t="shared" si="44"/>
        <v>15234.296932017089</v>
      </c>
      <c r="W233" s="94">
        <f>91391.5-4500</f>
        <v>86891.5</v>
      </c>
      <c r="X233" s="94">
        <v>94206.2</v>
      </c>
      <c r="Y233" s="62"/>
      <c r="Z233" s="396"/>
    </row>
    <row r="234" spans="1:27">
      <c r="A234" s="22" t="s">
        <v>58</v>
      </c>
      <c r="B234" s="62" t="s">
        <v>33</v>
      </c>
      <c r="C234" s="62">
        <v>176</v>
      </c>
      <c r="D234" s="317" t="s">
        <v>554</v>
      </c>
      <c r="E234" s="317" t="s">
        <v>555</v>
      </c>
      <c r="F234" s="62">
        <v>6100004040</v>
      </c>
      <c r="G234" s="62">
        <v>244</v>
      </c>
      <c r="H234" s="6">
        <f>82221.6+2500+1500</f>
        <v>86221.6</v>
      </c>
      <c r="I234" s="6">
        <v>15110.198894803052</v>
      </c>
      <c r="J234" s="6">
        <v>25189.553871374457</v>
      </c>
      <c r="K234" s="6">
        <v>13485.078820005258</v>
      </c>
      <c r="L234" s="6">
        <f t="shared" si="37"/>
        <v>16318.363667708423</v>
      </c>
      <c r="M234" s="93">
        <v>104013.8</v>
      </c>
      <c r="N234" s="93">
        <f t="shared" si="38"/>
        <v>24105.906921694183</v>
      </c>
      <c r="O234" s="93">
        <f t="shared" si="39"/>
        <v>37473.400757650452</v>
      </c>
      <c r="P234" s="93">
        <f t="shared" si="40"/>
        <v>20812.761189304943</v>
      </c>
      <c r="Q234" s="93">
        <f t="shared" si="41"/>
        <v>21621.731057575758</v>
      </c>
      <c r="R234" s="116">
        <f>118467.4</f>
        <v>118467.4</v>
      </c>
      <c r="S234" s="116">
        <f t="shared" si="42"/>
        <v>19752.709377161067</v>
      </c>
      <c r="T234" s="116">
        <f t="shared" si="43"/>
        <v>23008.625952180832</v>
      </c>
      <c r="U234" s="116">
        <f t="shared" si="36"/>
        <v>53902.482280991288</v>
      </c>
      <c r="V234" s="116">
        <f t="shared" si="44"/>
        <v>21803.582389666801</v>
      </c>
      <c r="W234" s="94">
        <f>129202.7-4500</f>
        <v>124702.7</v>
      </c>
      <c r="X234" s="94">
        <v>126476.40000000001</v>
      </c>
      <c r="Y234" s="62"/>
      <c r="Z234" s="396"/>
    </row>
    <row r="235" spans="1:27">
      <c r="A235" s="22" t="s">
        <v>59</v>
      </c>
      <c r="B235" s="62" t="s">
        <v>33</v>
      </c>
      <c r="C235" s="62">
        <v>176</v>
      </c>
      <c r="D235" s="317" t="s">
        <v>554</v>
      </c>
      <c r="E235" s="317" t="s">
        <v>555</v>
      </c>
      <c r="F235" s="62">
        <v>6100004040</v>
      </c>
      <c r="G235" s="62">
        <v>244</v>
      </c>
      <c r="H235" s="6">
        <v>54652.5</v>
      </c>
      <c r="I235" s="6">
        <v>10021.529946485636</v>
      </c>
      <c r="J235" s="6">
        <v>16706.455700421979</v>
      </c>
      <c r="K235" s="6">
        <v>8943.702340799884</v>
      </c>
      <c r="L235" s="6">
        <f t="shared" si="37"/>
        <v>10343.572496328467</v>
      </c>
      <c r="M235" s="93">
        <v>69109.7</v>
      </c>
      <c r="N235" s="93">
        <f t="shared" si="38"/>
        <v>16016.643902887967</v>
      </c>
      <c r="O235" s="93">
        <f t="shared" si="39"/>
        <v>24898.38352546484</v>
      </c>
      <c r="P235" s="93">
        <f t="shared" si="40"/>
        <v>13828.585072024172</v>
      </c>
      <c r="Q235" s="93">
        <f t="shared" si="41"/>
        <v>14366.08745060505</v>
      </c>
      <c r="R235" s="116">
        <f>76078.3</f>
        <v>76078.3</v>
      </c>
      <c r="S235" s="116">
        <f t="shared" si="42"/>
        <v>12684.945814700694</v>
      </c>
      <c r="T235" s="116">
        <f t="shared" si="43"/>
        <v>14775.855195419153</v>
      </c>
      <c r="U235" s="116">
        <f t="shared" si="36"/>
        <v>34615.507875735777</v>
      </c>
      <c r="V235" s="116">
        <f t="shared" si="44"/>
        <v>14001.991114144381</v>
      </c>
      <c r="W235" s="94">
        <f>79519.6-4500</f>
        <v>75019.600000000006</v>
      </c>
      <c r="X235" s="94">
        <v>84391</v>
      </c>
      <c r="Y235" s="62"/>
      <c r="Z235" s="396"/>
    </row>
    <row r="236" spans="1:27">
      <c r="A236" s="22" t="s">
        <v>60</v>
      </c>
      <c r="B236" s="62" t="s">
        <v>33</v>
      </c>
      <c r="C236" s="62">
        <v>176</v>
      </c>
      <c r="D236" s="317" t="s">
        <v>554</v>
      </c>
      <c r="E236" s="317" t="s">
        <v>555</v>
      </c>
      <c r="F236" s="62">
        <v>6100004040</v>
      </c>
      <c r="G236" s="62">
        <v>244</v>
      </c>
      <c r="H236" s="6">
        <f>145550.2</f>
        <v>145550.20000000001</v>
      </c>
      <c r="I236" s="6">
        <v>27037.67613403406</v>
      </c>
      <c r="J236" s="6">
        <v>45073.331216657258</v>
      </c>
      <c r="K236" s="6">
        <v>24129.741528592673</v>
      </c>
      <c r="L236" s="6">
        <f t="shared" si="37"/>
        <v>27546.938302092451</v>
      </c>
      <c r="M236" s="93">
        <v>206408.7</v>
      </c>
      <c r="N236" s="93">
        <f t="shared" si="38"/>
        <v>47836.622736866622</v>
      </c>
      <c r="O236" s="93">
        <f t="shared" si="39"/>
        <v>74363.554979874243</v>
      </c>
      <c r="P236" s="93">
        <f t="shared" si="40"/>
        <v>41301.58671729028</v>
      </c>
      <c r="Q236" s="93">
        <f t="shared" si="41"/>
        <v>42906.935419567766</v>
      </c>
      <c r="R236" s="116">
        <f>207573.4</f>
        <v>207573.4</v>
      </c>
      <c r="S236" s="116">
        <f t="shared" si="42"/>
        <v>34609.833968072271</v>
      </c>
      <c r="T236" s="116">
        <f t="shared" si="43"/>
        <v>40314.708672786037</v>
      </c>
      <c r="U236" s="116">
        <f t="shared" si="36"/>
        <v>94445.573343427124</v>
      </c>
      <c r="V236" s="116">
        <f t="shared" si="44"/>
        <v>38203.28401571454</v>
      </c>
      <c r="W236" s="94">
        <f>276957-4500</f>
        <v>272457</v>
      </c>
      <c r="X236" s="94">
        <v>283331.59999999998</v>
      </c>
      <c r="Y236" s="62"/>
      <c r="Z236" s="396"/>
    </row>
    <row r="237" spans="1:27">
      <c r="A237" s="22" t="s">
        <v>61</v>
      </c>
      <c r="B237" s="62" t="s">
        <v>33</v>
      </c>
      <c r="C237" s="62">
        <v>176</v>
      </c>
      <c r="D237" s="317" t="s">
        <v>554</v>
      </c>
      <c r="E237" s="317" t="s">
        <v>555</v>
      </c>
      <c r="F237" s="62">
        <v>6100004040</v>
      </c>
      <c r="G237" s="62">
        <v>244</v>
      </c>
      <c r="H237" s="6">
        <f>124792.5</f>
        <v>124792.5</v>
      </c>
      <c r="I237" s="6">
        <v>22981.810173147878</v>
      </c>
      <c r="J237" s="6">
        <v>38311.973882575126</v>
      </c>
      <c r="K237" s="6">
        <v>20510.088832641883</v>
      </c>
      <c r="L237" s="6">
        <f t="shared" si="37"/>
        <v>23618.320676054529</v>
      </c>
      <c r="M237" s="93">
        <v>155268.79999999999</v>
      </c>
      <c r="N237" s="93">
        <f t="shared" si="38"/>
        <v>35984.602433938089</v>
      </c>
      <c r="O237" s="93">
        <f t="shared" si="39"/>
        <v>55939.211600378752</v>
      </c>
      <c r="P237" s="93">
        <f t="shared" si="40"/>
        <v>31068.689486875315</v>
      </c>
      <c r="Q237" s="93">
        <f t="shared" si="41"/>
        <v>32276.296368679145</v>
      </c>
      <c r="R237" s="116">
        <f>176183.4</f>
        <v>176183.4</v>
      </c>
      <c r="S237" s="116">
        <f t="shared" si="42"/>
        <v>29376.009748505658</v>
      </c>
      <c r="T237" s="116">
        <f t="shared" si="43"/>
        <v>34218.172675212387</v>
      </c>
      <c r="U237" s="116">
        <f t="shared" si="36"/>
        <v>80163.17228794421</v>
      </c>
      <c r="V237" s="116">
        <f t="shared" si="44"/>
        <v>32426.045288337744</v>
      </c>
      <c r="W237" s="94">
        <f>191287-4500</f>
        <v>186787</v>
      </c>
      <c r="X237" s="94">
        <v>200766.3</v>
      </c>
      <c r="Y237" s="62"/>
      <c r="Z237" s="396"/>
    </row>
    <row r="238" spans="1:27">
      <c r="A238" s="22" t="s">
        <v>62</v>
      </c>
      <c r="B238" s="62" t="s">
        <v>33</v>
      </c>
      <c r="C238" s="62">
        <v>176</v>
      </c>
      <c r="D238" s="317" t="s">
        <v>554</v>
      </c>
      <c r="E238" s="317" t="s">
        <v>555</v>
      </c>
      <c r="F238" s="62">
        <v>6100004040</v>
      </c>
      <c r="G238" s="62">
        <v>244</v>
      </c>
      <c r="H238" s="6">
        <f>60253</f>
        <v>60253</v>
      </c>
      <c r="I238" s="6">
        <v>11048.483488689428</v>
      </c>
      <c r="J238" s="6">
        <v>18418.445182151328</v>
      </c>
      <c r="K238" s="6">
        <v>9860.2057937004774</v>
      </c>
      <c r="L238" s="6">
        <f t="shared" si="37"/>
        <v>11403.527260807448</v>
      </c>
      <c r="M238" s="93">
        <v>72667.5</v>
      </c>
      <c r="N238" s="93">
        <f t="shared" si="38"/>
        <v>16841.188296478082</v>
      </c>
      <c r="O238" s="93">
        <f t="shared" si="39"/>
        <v>26180.164070119194</v>
      </c>
      <c r="P238" s="93">
        <f t="shared" si="40"/>
        <v>14540.48716347078</v>
      </c>
      <c r="Q238" s="93">
        <f t="shared" si="41"/>
        <v>15105.660418390506</v>
      </c>
      <c r="R238" s="116">
        <f>80319.5</f>
        <v>80319.5</v>
      </c>
      <c r="S238" s="116">
        <f t="shared" si="42"/>
        <v>13392.10399501372</v>
      </c>
      <c r="T238" s="116">
        <f t="shared" si="43"/>
        <v>15599.577032721139</v>
      </c>
      <c r="U238" s="116">
        <f t="shared" si="36"/>
        <v>36545.247262690667</v>
      </c>
      <c r="V238" s="116">
        <f t="shared" si="44"/>
        <v>14782.571709574477</v>
      </c>
      <c r="W238" s="94">
        <f>87046.7-4500</f>
        <v>82546.7</v>
      </c>
      <c r="X238" s="94">
        <v>90472.900000000009</v>
      </c>
      <c r="Y238" s="62"/>
      <c r="Z238" s="396"/>
    </row>
    <row r="239" spans="1:27">
      <c r="A239" s="22" t="s">
        <v>63</v>
      </c>
      <c r="B239" s="62" t="s">
        <v>33</v>
      </c>
      <c r="C239" s="62">
        <v>176</v>
      </c>
      <c r="D239" s="317" t="s">
        <v>554</v>
      </c>
      <c r="E239" s="317" t="s">
        <v>555</v>
      </c>
      <c r="F239" s="62">
        <v>6100004040</v>
      </c>
      <c r="G239" s="62">
        <v>244</v>
      </c>
      <c r="H239" s="6">
        <f>56181.2</f>
        <v>56181.2</v>
      </c>
      <c r="I239" s="6">
        <v>10301.844896930585</v>
      </c>
      <c r="J239" s="6">
        <v>17173.756534404594</v>
      </c>
      <c r="K239" s="6">
        <v>9193.8690809925702</v>
      </c>
      <c r="L239" s="6">
        <f t="shared" si="37"/>
        <v>10632.895386866636</v>
      </c>
      <c r="M239" s="93">
        <v>70926.100000000006</v>
      </c>
      <c r="N239" s="93">
        <f t="shared" si="38"/>
        <v>16437.606980215834</v>
      </c>
      <c r="O239" s="93">
        <f t="shared" si="39"/>
        <v>25552.78404862808</v>
      </c>
      <c r="P239" s="93">
        <f t="shared" si="40"/>
        <v>14192.039723467093</v>
      </c>
      <c r="Q239" s="93">
        <f t="shared" si="41"/>
        <v>14743.669197382696</v>
      </c>
      <c r="R239" s="116">
        <f>78883.9</f>
        <v>78883.899999999994</v>
      </c>
      <c r="S239" s="116">
        <f t="shared" si="42"/>
        <v>13152.738654153258</v>
      </c>
      <c r="T239" s="116">
        <f t="shared" si="43"/>
        <v>15320.756163714552</v>
      </c>
      <c r="U239" s="116">
        <f t="shared" si="36"/>
        <v>35892.051501134396</v>
      </c>
      <c r="V239" s="116">
        <f t="shared" si="44"/>
        <v>14518.353680997781</v>
      </c>
      <c r="W239" s="94">
        <f>87350.3-4500</f>
        <v>82850.3</v>
      </c>
      <c r="X239" s="94">
        <v>90044.2</v>
      </c>
      <c r="Y239" s="62"/>
      <c r="Z239" s="396"/>
    </row>
    <row r="240" spans="1:27">
      <c r="A240" s="22" t="s">
        <v>64</v>
      </c>
      <c r="B240" s="62" t="s">
        <v>33</v>
      </c>
      <c r="C240" s="62">
        <v>176</v>
      </c>
      <c r="D240" s="317" t="s">
        <v>554</v>
      </c>
      <c r="E240" s="317" t="s">
        <v>555</v>
      </c>
      <c r="F240" s="62">
        <v>6100004040</v>
      </c>
      <c r="G240" s="62">
        <v>244</v>
      </c>
      <c r="H240" s="6">
        <f>111652.9</f>
        <v>111652.9</v>
      </c>
      <c r="I240" s="6">
        <v>20473.590063802498</v>
      </c>
      <c r="J240" s="6">
        <v>34130.629480328345</v>
      </c>
      <c r="K240" s="6">
        <v>18271.630814456708</v>
      </c>
      <c r="L240" s="6">
        <f t="shared" si="37"/>
        <v>21131.510279956317</v>
      </c>
      <c r="M240" s="93">
        <v>136082.6</v>
      </c>
      <c r="N240" s="93">
        <f t="shared" si="38"/>
        <v>31538.069845175745</v>
      </c>
      <c r="O240" s="93">
        <f t="shared" si="39"/>
        <v>49026.93494462315</v>
      </c>
      <c r="P240" s="93">
        <f t="shared" si="40"/>
        <v>27229.604685337032</v>
      </c>
      <c r="Q240" s="93">
        <f t="shared" si="41"/>
        <v>28287.990428343728</v>
      </c>
      <c r="R240" s="116">
        <f>156297.2</f>
        <v>156297.20000000001</v>
      </c>
      <c r="S240" s="116">
        <f t="shared" si="42"/>
        <v>26060.276228430936</v>
      </c>
      <c r="T240" s="116">
        <f t="shared" si="43"/>
        <v>30355.893791652368</v>
      </c>
      <c r="U240" s="116">
        <f t="shared" si="36"/>
        <v>71114.98229528591</v>
      </c>
      <c r="V240" s="116">
        <f t="shared" si="44"/>
        <v>28766.047684630787</v>
      </c>
      <c r="W240" s="94">
        <f>162259.5-4500</f>
        <v>157759.5</v>
      </c>
      <c r="X240" s="94">
        <v>173721.3</v>
      </c>
      <c r="Y240" s="62"/>
      <c r="Z240" s="396"/>
    </row>
    <row r="241" spans="1:32">
      <c r="A241" s="22" t="s">
        <v>65</v>
      </c>
      <c r="B241" s="62" t="s">
        <v>33</v>
      </c>
      <c r="C241" s="62">
        <v>176</v>
      </c>
      <c r="D241" s="317" t="s">
        <v>554</v>
      </c>
      <c r="E241" s="317" t="s">
        <v>555</v>
      </c>
      <c r="F241" s="62">
        <v>6100004040</v>
      </c>
      <c r="G241" s="62">
        <v>244</v>
      </c>
      <c r="H241" s="6">
        <f>175749.4</f>
        <v>175749.4</v>
      </c>
      <c r="I241" s="6">
        <v>32226.849186713916</v>
      </c>
      <c r="J241" s="6">
        <v>53723.975398668721</v>
      </c>
      <c r="K241" s="6">
        <v>28760.812774789349</v>
      </c>
      <c r="L241" s="6">
        <f t="shared" si="37"/>
        <v>33262.461188165777</v>
      </c>
      <c r="M241" s="93">
        <v>219750</v>
      </c>
      <c r="N241" s="93">
        <f t="shared" si="38"/>
        <v>50928.559922263164</v>
      </c>
      <c r="O241" s="93">
        <f t="shared" si="39"/>
        <v>79170.069899318027</v>
      </c>
      <c r="P241" s="93">
        <f t="shared" si="40"/>
        <v>43971.129516946421</v>
      </c>
      <c r="Q241" s="93">
        <f t="shared" si="41"/>
        <v>45680.240505608614</v>
      </c>
      <c r="R241" s="116">
        <f>244734</f>
        <v>244734</v>
      </c>
      <c r="S241" s="116">
        <f t="shared" si="42"/>
        <v>40805.821489372916</v>
      </c>
      <c r="T241" s="116">
        <f t="shared" si="43"/>
        <v>47532.005123612267</v>
      </c>
      <c r="U241" s="116">
        <f t="shared" si="36"/>
        <v>111353.58840116457</v>
      </c>
      <c r="V241" s="116">
        <f t="shared" si="44"/>
        <v>45042.584985850233</v>
      </c>
      <c r="W241" s="94">
        <f>262374.5-4500</f>
        <v>257874.5</v>
      </c>
      <c r="X241" s="94">
        <v>276998.7</v>
      </c>
      <c r="Y241" s="62"/>
      <c r="Z241" s="396"/>
    </row>
    <row r="242" spans="1:32">
      <c r="A242" s="22" t="s">
        <v>66</v>
      </c>
      <c r="B242" s="62" t="s">
        <v>33</v>
      </c>
      <c r="C242" s="62">
        <v>176</v>
      </c>
      <c r="D242" s="317" t="s">
        <v>554</v>
      </c>
      <c r="E242" s="317" t="s">
        <v>555</v>
      </c>
      <c r="F242" s="62">
        <v>6100004040</v>
      </c>
      <c r="G242" s="62">
        <v>244</v>
      </c>
      <c r="H242" s="6">
        <f>45922.1</f>
        <v>45922.1</v>
      </c>
      <c r="I242" s="6">
        <v>8420.6523096932069</v>
      </c>
      <c r="J242" s="6">
        <v>14037.702379952392</v>
      </c>
      <c r="K242" s="6">
        <v>7515.0010203457541</v>
      </c>
      <c r="L242" s="6">
        <f t="shared" si="37"/>
        <v>8691.2505472511857</v>
      </c>
      <c r="M242" s="93">
        <v>55389.7</v>
      </c>
      <c r="N242" s="93">
        <f t="shared" si="38"/>
        <v>12836.94041195076</v>
      </c>
      <c r="O242" s="93">
        <f t="shared" si="39"/>
        <v>19955.433086244622</v>
      </c>
      <c r="P242" s="93">
        <f t="shared" si="40"/>
        <v>11083.26585940754</v>
      </c>
      <c r="Q242" s="93">
        <f t="shared" si="41"/>
        <v>11514.060603110394</v>
      </c>
      <c r="R242" s="116">
        <f>64756.1</f>
        <v>64756.1</v>
      </c>
      <c r="S242" s="116">
        <f t="shared" si="42"/>
        <v>10797.13426392729</v>
      </c>
      <c r="T242" s="116">
        <f t="shared" si="43"/>
        <v>12576.868260990086</v>
      </c>
      <c r="U242" s="116">
        <f t="shared" si="36"/>
        <v>29463.924529753338</v>
      </c>
      <c r="V242" s="116">
        <f t="shared" si="44"/>
        <v>11918.172945329283</v>
      </c>
      <c r="W242" s="94">
        <f>67343.9-4500</f>
        <v>62843.899999999994</v>
      </c>
      <c r="X242" s="94">
        <v>71562.900000000009</v>
      </c>
      <c r="Y242" s="62"/>
      <c r="Z242" s="396"/>
    </row>
    <row r="243" spans="1:32">
      <c r="A243" s="22" t="s">
        <v>67</v>
      </c>
      <c r="B243" s="62" t="s">
        <v>33</v>
      </c>
      <c r="C243" s="62">
        <v>176</v>
      </c>
      <c r="D243" s="317" t="s">
        <v>554</v>
      </c>
      <c r="E243" s="317" t="s">
        <v>555</v>
      </c>
      <c r="F243" s="62">
        <v>6100004040</v>
      </c>
      <c r="G243" s="62">
        <v>244</v>
      </c>
      <c r="H243" s="6">
        <f>72478.2</f>
        <v>72478.2</v>
      </c>
      <c r="I243" s="6">
        <v>13290.19627221765</v>
      </c>
      <c r="J243" s="6">
        <v>22155.506839510072</v>
      </c>
      <c r="K243" s="6">
        <v>11860.819669675899</v>
      </c>
      <c r="L243" s="6">
        <f t="shared" si="37"/>
        <v>13717.277637864578</v>
      </c>
      <c r="M243" s="93">
        <v>89140.800000000003</v>
      </c>
      <c r="N243" s="93">
        <f t="shared" si="38"/>
        <v>20658.987823974861</v>
      </c>
      <c r="O243" s="93">
        <f t="shared" si="39"/>
        <v>32115.055139390806</v>
      </c>
      <c r="P243" s="93">
        <f t="shared" si="40"/>
        <v>17836.731112829206</v>
      </c>
      <c r="Q243" s="93">
        <f t="shared" si="41"/>
        <v>18530.02586057955</v>
      </c>
      <c r="R243" s="116">
        <f>98786.2</f>
        <v>98786.2</v>
      </c>
      <c r="S243" s="116">
        <f t="shared" si="42"/>
        <v>16471.156614174943</v>
      </c>
      <c r="T243" s="116">
        <f t="shared" si="43"/>
        <v>19186.161973988845</v>
      </c>
      <c r="U243" s="116">
        <f t="shared" si="36"/>
        <v>44947.56696868896</v>
      </c>
      <c r="V243" s="116">
        <f t="shared" si="44"/>
        <v>18181.314443147261</v>
      </c>
      <c r="W243" s="94">
        <f>104971.1-4500</f>
        <v>100471.1</v>
      </c>
      <c r="X243" s="94">
        <v>110620.6</v>
      </c>
      <c r="Y243" s="62"/>
      <c r="Z243" s="396"/>
    </row>
    <row r="244" spans="1:32">
      <c r="A244" s="22" t="s">
        <v>68</v>
      </c>
      <c r="B244" s="62" t="s">
        <v>33</v>
      </c>
      <c r="C244" s="62">
        <v>176</v>
      </c>
      <c r="D244" s="317" t="s">
        <v>554</v>
      </c>
      <c r="E244" s="317" t="s">
        <v>555</v>
      </c>
      <c r="F244" s="62">
        <v>6100004040</v>
      </c>
      <c r="G244" s="62">
        <v>244</v>
      </c>
      <c r="H244" s="6">
        <v>64941.3</v>
      </c>
      <c r="I244" s="6">
        <v>11557.770296673862</v>
      </c>
      <c r="J244" s="6">
        <v>19267.455018157951</v>
      </c>
      <c r="K244" s="6">
        <v>10314.718192608811</v>
      </c>
      <c r="L244" s="6">
        <f t="shared" si="37"/>
        <v>12290.838379869465</v>
      </c>
      <c r="M244" s="93">
        <v>76108.100000000006</v>
      </c>
      <c r="N244" s="93">
        <f t="shared" si="38"/>
        <v>17638.570791442991</v>
      </c>
      <c r="O244" s="93">
        <f t="shared" si="39"/>
        <v>27419.72057749391</v>
      </c>
      <c r="P244" s="93">
        <f t="shared" si="40"/>
        <v>15228.937985841685</v>
      </c>
      <c r="Q244" s="93">
        <f t="shared" si="41"/>
        <v>15820.87059123964</v>
      </c>
      <c r="R244" s="116">
        <f>88780.5</f>
        <v>88780.5</v>
      </c>
      <c r="S244" s="116">
        <f t="shared" si="42"/>
        <v>14802.852218070524</v>
      </c>
      <c r="T244" s="116">
        <f t="shared" si="43"/>
        <v>17242.864419642792</v>
      </c>
      <c r="U244" s="116">
        <f t="shared" si="36"/>
        <v>40394.989069968171</v>
      </c>
      <c r="V244" s="116">
        <f t="shared" si="44"/>
        <v>16339.794292318518</v>
      </c>
      <c r="W244" s="94">
        <f>93982.1-4500</f>
        <v>89482.1</v>
      </c>
      <c r="X244" s="94">
        <v>99150.6</v>
      </c>
      <c r="Y244" s="62"/>
      <c r="Z244" s="396"/>
    </row>
    <row r="245" spans="1:32">
      <c r="A245" s="22" t="s">
        <v>69</v>
      </c>
      <c r="B245" s="62" t="s">
        <v>33</v>
      </c>
      <c r="C245" s="62">
        <v>176</v>
      </c>
      <c r="D245" s="317" t="s">
        <v>554</v>
      </c>
      <c r="E245" s="317" t="s">
        <v>555</v>
      </c>
      <c r="F245" s="62">
        <v>6100004040</v>
      </c>
      <c r="G245" s="62">
        <v>244</v>
      </c>
      <c r="H245" s="6">
        <f>70365.7</f>
        <v>70365.7</v>
      </c>
      <c r="I245" s="6">
        <v>12902.830973064805</v>
      </c>
      <c r="J245" s="6">
        <v>21509.747035893739</v>
      </c>
      <c r="K245" s="6">
        <v>11515.115974603583</v>
      </c>
      <c r="L245" s="6">
        <f t="shared" si="37"/>
        <v>13317.464328345455</v>
      </c>
      <c r="M245" s="93">
        <v>88270.1</v>
      </c>
      <c r="N245" s="93">
        <f t="shared" si="38"/>
        <v>20457.197165843743</v>
      </c>
      <c r="O245" s="93">
        <f t="shared" si="39"/>
        <v>31801.365128645244</v>
      </c>
      <c r="P245" s="93">
        <f t="shared" si="40"/>
        <v>17662.50739282736</v>
      </c>
      <c r="Q245" s="93">
        <f t="shared" si="41"/>
        <v>18349.030250075644</v>
      </c>
      <c r="R245" s="116">
        <f>98285.3</f>
        <v>98285.3</v>
      </c>
      <c r="S245" s="116">
        <f t="shared" si="42"/>
        <v>16387.638852098455</v>
      </c>
      <c r="T245" s="116">
        <f t="shared" si="43"/>
        <v>19088.877651555438</v>
      </c>
      <c r="U245" s="116">
        <f t="shared" si="36"/>
        <v>44719.658249711851</v>
      </c>
      <c r="V245" s="116">
        <f t="shared" si="44"/>
        <v>18089.12524663427</v>
      </c>
      <c r="W245" s="94">
        <f>103916.7-4500</f>
        <v>99416.7</v>
      </c>
      <c r="X245" s="94">
        <v>109802.5</v>
      </c>
      <c r="Y245" s="62"/>
      <c r="Z245" s="396"/>
      <c r="AA245" s="278"/>
    </row>
    <row r="246" spans="1:32">
      <c r="A246" s="22" t="s">
        <v>70</v>
      </c>
      <c r="B246" s="62" t="s">
        <v>33</v>
      </c>
      <c r="C246" s="62">
        <v>176</v>
      </c>
      <c r="D246" s="317" t="s">
        <v>554</v>
      </c>
      <c r="E246" s="317" t="s">
        <v>555</v>
      </c>
      <c r="F246" s="62">
        <v>6100004040</v>
      </c>
      <c r="G246" s="62">
        <v>244</v>
      </c>
      <c r="H246" s="6">
        <f>57216.1</f>
        <v>57216.1</v>
      </c>
      <c r="I246" s="6">
        <v>10491.612635672966</v>
      </c>
      <c r="J246" s="6">
        <v>17490.110059025916</v>
      </c>
      <c r="K246" s="6">
        <v>9363.2270710661032</v>
      </c>
      <c r="L246" s="6">
        <f t="shared" si="37"/>
        <v>10828.761324864905</v>
      </c>
      <c r="M246" s="93">
        <v>71973.7</v>
      </c>
      <c r="N246" s="93">
        <f t="shared" si="38"/>
        <v>16680.395418780397</v>
      </c>
      <c r="O246" s="93">
        <f t="shared" si="39"/>
        <v>25930.206415984278</v>
      </c>
      <c r="P246" s="93">
        <f t="shared" si="40"/>
        <v>14401.660452850267</v>
      </c>
      <c r="Q246" s="93">
        <f t="shared" si="41"/>
        <v>14961.437661335711</v>
      </c>
      <c r="R246" s="116">
        <v>80891.8</v>
      </c>
      <c r="S246" s="116">
        <f t="shared" si="42"/>
        <v>13487.526664681065</v>
      </c>
      <c r="T246" s="116">
        <f t="shared" si="43"/>
        <v>15710.728595365656</v>
      </c>
      <c r="U246" s="116">
        <f t="shared" si="36"/>
        <v>36805.642870338095</v>
      </c>
      <c r="V246" s="116">
        <f t="shared" si="44"/>
        <v>14887.901869615191</v>
      </c>
      <c r="W246" s="94">
        <f>82726.3-4500</f>
        <v>78226.3</v>
      </c>
      <c r="X246" s="94">
        <v>88860.5</v>
      </c>
      <c r="Y246" s="62"/>
      <c r="Z246" s="396"/>
      <c r="AA246" s="277">
        <f>R209-R248-R249-R254</f>
        <v>3148314.3449999997</v>
      </c>
    </row>
    <row r="247" spans="1:32">
      <c r="A247" s="22" t="s">
        <v>71</v>
      </c>
      <c r="B247" s="62" t="s">
        <v>33</v>
      </c>
      <c r="C247" s="62">
        <v>176</v>
      </c>
      <c r="D247" s="317" t="s">
        <v>554</v>
      </c>
      <c r="E247" s="317" t="s">
        <v>555</v>
      </c>
      <c r="F247" s="62">
        <v>6100004040</v>
      </c>
      <c r="G247" s="62">
        <v>244</v>
      </c>
      <c r="H247" s="6">
        <f>58329.3</f>
        <v>58329.3</v>
      </c>
      <c r="I247" s="6">
        <v>10695.738103609983</v>
      </c>
      <c r="J247" s="6">
        <v>17830.398728084238</v>
      </c>
      <c r="K247" s="6">
        <v>9545.3985992812522</v>
      </c>
      <c r="L247" s="6">
        <f t="shared" si="37"/>
        <v>11039.446378666888</v>
      </c>
      <c r="M247" s="93">
        <v>71199.600000000006</v>
      </c>
      <c r="N247" s="93">
        <f>M247*653500.912/2819770</f>
        <v>16500.99246890179</v>
      </c>
      <c r="O247" s="93">
        <f t="shared" si="39"/>
        <v>25651.318811392419</v>
      </c>
      <c r="P247" s="93">
        <f t="shared" si="40"/>
        <v>14246.766021182155</v>
      </c>
      <c r="Q247" s="93">
        <f t="shared" si="41"/>
        <v>14800.52264802335</v>
      </c>
      <c r="R247" s="116">
        <v>80451.5</v>
      </c>
      <c r="S247" s="116">
        <f t="shared" si="42"/>
        <v>13414.113067870769</v>
      </c>
      <c r="T247" s="116">
        <f t="shared" si="43"/>
        <v>15625.213947397142</v>
      </c>
      <c r="U247" s="116">
        <f t="shared" si="36"/>
        <v>36605.307056871097</v>
      </c>
      <c r="V247" s="116">
        <f t="shared" si="44"/>
        <v>14806.865927860992</v>
      </c>
      <c r="W247" s="94">
        <f>85790.8-3939</f>
        <v>81851.8</v>
      </c>
      <c r="X247" s="94">
        <v>90206.9</v>
      </c>
      <c r="Y247" s="62"/>
      <c r="Z247" s="404"/>
      <c r="AA247" s="277">
        <f>S209-S248-S249-S250</f>
        <v>524935.45299999998</v>
      </c>
    </row>
    <row r="248" spans="1:32" ht="126" customHeight="1">
      <c r="A248" s="67" t="s">
        <v>32</v>
      </c>
      <c r="B248" s="324" t="s">
        <v>33</v>
      </c>
      <c r="C248" s="324">
        <v>176</v>
      </c>
      <c r="D248" s="325" t="s">
        <v>554</v>
      </c>
      <c r="E248" s="325" t="s">
        <v>555</v>
      </c>
      <c r="F248" s="324">
        <v>6100004040</v>
      </c>
      <c r="G248" s="324">
        <v>244.85300000000001</v>
      </c>
      <c r="H248" s="23">
        <f>SUM(I248:L248)</f>
        <v>72422.377000000008</v>
      </c>
      <c r="I248" s="23">
        <v>24739.4</v>
      </c>
      <c r="J248" s="23">
        <v>12794.4</v>
      </c>
      <c r="K248" s="23">
        <v>24900.377</v>
      </c>
      <c r="L248" s="23">
        <v>9988.2000000000007</v>
      </c>
      <c r="M248" s="94">
        <v>134000</v>
      </c>
      <c r="N248" s="94">
        <f>5121.436</f>
        <v>5121.4359999999997</v>
      </c>
      <c r="O248" s="94">
        <v>49851.529000000002</v>
      </c>
      <c r="P248" s="94">
        <v>21576.395</v>
      </c>
      <c r="Q248" s="94">
        <f>48288.623+9162</f>
        <v>57450.623</v>
      </c>
      <c r="R248" s="94">
        <f>147899.6-9.845</f>
        <v>147889.755</v>
      </c>
      <c r="S248" s="116">
        <v>4047.0639999999994</v>
      </c>
      <c r="T248" s="116">
        <v>40685.925000000003</v>
      </c>
      <c r="U248" s="116">
        <v>45000.65</v>
      </c>
      <c r="V248" s="116">
        <f>58165.961-9.845</f>
        <v>58156.116000000002</v>
      </c>
      <c r="W248" s="94">
        <v>167858.4</v>
      </c>
      <c r="X248" s="94">
        <v>166076.20000000001</v>
      </c>
      <c r="Y248" s="62"/>
      <c r="Z248" s="304" t="s">
        <v>523</v>
      </c>
      <c r="AA248" s="277">
        <f>T209-T248-T249</f>
        <v>611462.62299999991</v>
      </c>
      <c r="AF248" s="99">
        <f>T209-T248-T249</f>
        <v>611462.62299999991</v>
      </c>
    </row>
    <row r="249" spans="1:32" ht="102.75" customHeight="1">
      <c r="A249" s="67" t="s">
        <v>72</v>
      </c>
      <c r="B249" s="375" t="s">
        <v>33</v>
      </c>
      <c r="C249" s="62">
        <v>176</v>
      </c>
      <c r="D249" s="317" t="s">
        <v>554</v>
      </c>
      <c r="E249" s="317" t="s">
        <v>555</v>
      </c>
      <c r="F249" s="62">
        <v>6100004040</v>
      </c>
      <c r="G249" s="62">
        <v>244</v>
      </c>
      <c r="H249" s="29">
        <v>2500</v>
      </c>
      <c r="I249" s="29">
        <v>0</v>
      </c>
      <c r="J249" s="29">
        <v>850</v>
      </c>
      <c r="K249" s="29">
        <v>1025</v>
      </c>
      <c r="L249" s="29">
        <v>625</v>
      </c>
      <c r="M249" s="86">
        <v>2665</v>
      </c>
      <c r="N249" s="86"/>
      <c r="O249" s="86">
        <v>906.1</v>
      </c>
      <c r="P249" s="86">
        <v>666.25</v>
      </c>
      <c r="Q249" s="86">
        <v>1092.6500000000001</v>
      </c>
      <c r="R249" s="86">
        <v>2665</v>
      </c>
      <c r="S249" s="112">
        <v>241.25</v>
      </c>
      <c r="T249" s="112">
        <v>1091.25</v>
      </c>
      <c r="U249" s="112">
        <v>666.25</v>
      </c>
      <c r="V249" s="112">
        <v>666.25</v>
      </c>
      <c r="W249" s="86">
        <v>2665</v>
      </c>
      <c r="X249" s="86">
        <v>2665</v>
      </c>
      <c r="Y249" s="62"/>
      <c r="Z249" s="329" t="s">
        <v>579</v>
      </c>
      <c r="AA249" s="277">
        <f>U209-U248-U249</f>
        <v>1432478.118</v>
      </c>
    </row>
    <row r="250" spans="1:32" ht="75.599999999999994" hidden="1" customHeight="1">
      <c r="A250" s="305" t="s">
        <v>238</v>
      </c>
      <c r="B250" s="375" t="s">
        <v>33</v>
      </c>
      <c r="C250" s="62">
        <v>176</v>
      </c>
      <c r="D250" s="317" t="s">
        <v>554</v>
      </c>
      <c r="E250" s="317" t="s">
        <v>555</v>
      </c>
      <c r="F250" s="62">
        <v>6100004040</v>
      </c>
      <c r="G250" s="62">
        <v>244</v>
      </c>
      <c r="H250" s="29">
        <v>216211.6</v>
      </c>
      <c r="I250" s="29">
        <v>216211.6</v>
      </c>
      <c r="J250" s="29"/>
      <c r="K250" s="29"/>
      <c r="L250" s="29"/>
      <c r="M250" s="86">
        <v>10944.1</v>
      </c>
      <c r="N250" s="86">
        <v>10944.1</v>
      </c>
      <c r="O250" s="86"/>
      <c r="P250" s="86"/>
      <c r="Q250" s="86"/>
      <c r="R250" s="86">
        <v>1253.8</v>
      </c>
      <c r="S250" s="112">
        <v>1253.8</v>
      </c>
      <c r="T250" s="112"/>
      <c r="U250" s="112"/>
      <c r="V250" s="112"/>
      <c r="W250" s="86"/>
      <c r="X250" s="86"/>
      <c r="Y250" s="62"/>
      <c r="Z250" s="62" t="s">
        <v>520</v>
      </c>
      <c r="AA250" s="99">
        <f>V209-V248-V249</f>
        <v>579790.95099999954</v>
      </c>
    </row>
    <row r="251" spans="1:32" ht="0.6" customHeight="1">
      <c r="A251" s="64"/>
      <c r="B251" s="375"/>
      <c r="C251" s="62"/>
      <c r="D251" s="317"/>
      <c r="E251" s="62"/>
      <c r="F251" s="62"/>
      <c r="G251" s="62"/>
      <c r="H251" s="31"/>
      <c r="I251" s="31"/>
      <c r="J251" s="31"/>
      <c r="K251" s="31"/>
      <c r="L251" s="31"/>
      <c r="M251" s="86"/>
      <c r="N251" s="86"/>
      <c r="O251" s="86"/>
      <c r="P251" s="86"/>
      <c r="Q251" s="86"/>
      <c r="R251" s="86"/>
      <c r="S251" s="112"/>
      <c r="T251" s="112"/>
      <c r="U251" s="112"/>
      <c r="V251" s="112"/>
      <c r="W251" s="86"/>
      <c r="X251" s="86"/>
      <c r="Y251" s="62"/>
      <c r="Z251" s="62"/>
    </row>
    <row r="252" spans="1:32" s="108" customFormat="1" ht="26.45" customHeight="1">
      <c r="A252" s="399" t="s">
        <v>567</v>
      </c>
      <c r="B252" s="12" t="s">
        <v>667</v>
      </c>
      <c r="C252" s="319"/>
      <c r="D252" s="319"/>
      <c r="E252" s="319"/>
      <c r="F252" s="319"/>
      <c r="G252" s="319"/>
      <c r="H252" s="320"/>
      <c r="I252" s="319"/>
      <c r="J252" s="319"/>
      <c r="K252" s="319"/>
      <c r="L252" s="320"/>
      <c r="M252" s="110"/>
      <c r="N252" s="110"/>
      <c r="O252" s="110"/>
      <c r="P252" s="110"/>
      <c r="Q252" s="110"/>
      <c r="R252" s="84"/>
      <c r="S252" s="110"/>
      <c r="T252" s="110"/>
      <c r="U252" s="110"/>
      <c r="V252" s="110"/>
      <c r="W252" s="110"/>
      <c r="X252" s="110"/>
      <c r="Y252" s="392"/>
      <c r="Z252" s="401" t="s">
        <v>576</v>
      </c>
    </row>
    <row r="253" spans="1:32" s="108" customFormat="1" ht="22.5" customHeight="1">
      <c r="A253" s="400"/>
      <c r="B253" s="319" t="s">
        <v>560</v>
      </c>
      <c r="C253" s="319"/>
      <c r="D253" s="319"/>
      <c r="E253" s="319"/>
      <c r="F253" s="319"/>
      <c r="G253" s="319"/>
      <c r="H253" s="321"/>
      <c r="I253" s="321"/>
      <c r="J253" s="321"/>
      <c r="K253" s="321"/>
      <c r="L253" s="321"/>
      <c r="M253" s="111"/>
      <c r="N253" s="111"/>
      <c r="O253" s="111"/>
      <c r="P253" s="111"/>
      <c r="Q253" s="111"/>
      <c r="R253" s="59"/>
      <c r="S253" s="111"/>
      <c r="T253" s="111"/>
      <c r="U253" s="111"/>
      <c r="V253" s="111"/>
      <c r="W253" s="111"/>
      <c r="X253" s="111"/>
      <c r="Y253" s="393"/>
      <c r="Z253" s="402"/>
    </row>
    <row r="254" spans="1:32" s="108" customFormat="1" ht="30.75" customHeight="1">
      <c r="A254" s="400"/>
      <c r="B254" s="319" t="s">
        <v>561</v>
      </c>
      <c r="C254" s="319">
        <v>176</v>
      </c>
      <c r="D254" s="322" t="s">
        <v>554</v>
      </c>
      <c r="E254" s="322" t="s">
        <v>555</v>
      </c>
      <c r="F254" s="319">
        <v>6100004040</v>
      </c>
      <c r="G254" s="319">
        <v>244</v>
      </c>
      <c r="H254" s="321"/>
      <c r="I254" s="321"/>
      <c r="J254" s="321"/>
      <c r="K254" s="321"/>
      <c r="L254" s="321"/>
      <c r="M254" s="111"/>
      <c r="N254" s="111"/>
      <c r="O254" s="111"/>
      <c r="P254" s="111"/>
      <c r="Q254" s="111"/>
      <c r="R254" s="59">
        <f>R256</f>
        <v>1606.6</v>
      </c>
      <c r="S254" s="111">
        <f>S256</f>
        <v>1606.6</v>
      </c>
      <c r="T254" s="111"/>
      <c r="U254" s="111"/>
      <c r="V254" s="111"/>
      <c r="W254" s="111"/>
      <c r="X254" s="111"/>
      <c r="Y254" s="393"/>
      <c r="Z254" s="402"/>
    </row>
    <row r="255" spans="1:32" s="108" customFormat="1" ht="25.5" customHeight="1">
      <c r="A255" s="400"/>
      <c r="B255" s="319" t="s">
        <v>562</v>
      </c>
      <c r="C255" s="319"/>
      <c r="D255" s="319"/>
      <c r="E255" s="322"/>
      <c r="F255" s="319"/>
      <c r="G255" s="319"/>
      <c r="H255" s="321"/>
      <c r="I255" s="321"/>
      <c r="J255" s="321"/>
      <c r="K255" s="321"/>
      <c r="L255" s="32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393"/>
      <c r="Z255" s="402"/>
    </row>
    <row r="256" spans="1:32" s="108" customFormat="1" ht="25.5" customHeight="1">
      <c r="A256" s="400"/>
      <c r="B256" s="323" t="s">
        <v>563</v>
      </c>
      <c r="C256" s="319">
        <v>176</v>
      </c>
      <c r="D256" s="322" t="s">
        <v>554</v>
      </c>
      <c r="E256" s="322" t="s">
        <v>555</v>
      </c>
      <c r="F256" s="319">
        <v>6100004040</v>
      </c>
      <c r="G256" s="319">
        <v>244</v>
      </c>
      <c r="H256" s="321"/>
      <c r="I256" s="321"/>
      <c r="J256" s="321"/>
      <c r="K256" s="321"/>
      <c r="L256" s="321"/>
      <c r="M256" s="111"/>
      <c r="N256" s="111"/>
      <c r="O256" s="111"/>
      <c r="P256" s="111"/>
      <c r="Q256" s="111"/>
      <c r="R256" s="111">
        <f>1253.8+352.8</f>
        <v>1606.6</v>
      </c>
      <c r="S256" s="111">
        <f>1253.8+352.8</f>
        <v>1606.6</v>
      </c>
      <c r="T256" s="111"/>
      <c r="U256" s="111"/>
      <c r="V256" s="111"/>
      <c r="W256" s="111"/>
      <c r="X256" s="111"/>
      <c r="Y256" s="393"/>
      <c r="Z256" s="402"/>
    </row>
    <row r="257" spans="1:26" s="108" customFormat="1" ht="24" customHeight="1">
      <c r="A257" s="400"/>
      <c r="B257" s="319" t="s">
        <v>462</v>
      </c>
      <c r="C257" s="319"/>
      <c r="D257" s="322"/>
      <c r="E257" s="322"/>
      <c r="F257" s="319"/>
      <c r="G257" s="319"/>
      <c r="H257" s="321"/>
      <c r="I257" s="321"/>
      <c r="J257" s="321"/>
      <c r="K257" s="321"/>
      <c r="L257" s="32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393"/>
      <c r="Z257" s="402"/>
    </row>
    <row r="258" spans="1:26" s="108" customFormat="1" ht="30" hidden="1" customHeight="1">
      <c r="A258" s="400"/>
      <c r="B258" s="319" t="s">
        <v>484</v>
      </c>
      <c r="C258" s="319"/>
      <c r="D258" s="322"/>
      <c r="E258" s="322"/>
      <c r="F258" s="319"/>
      <c r="G258" s="319"/>
      <c r="H258" s="321"/>
      <c r="I258" s="321"/>
      <c r="J258" s="321"/>
      <c r="K258" s="321"/>
      <c r="L258" s="32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393"/>
      <c r="Z258" s="402"/>
    </row>
    <row r="259" spans="1:26" ht="28.15" customHeight="1">
      <c r="A259" s="397" t="s">
        <v>218</v>
      </c>
      <c r="B259" s="319" t="s">
        <v>667</v>
      </c>
      <c r="C259" s="12"/>
      <c r="D259" s="178"/>
      <c r="E259" s="12"/>
      <c r="F259" s="12"/>
      <c r="G259" s="12"/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59" t="s">
        <v>327</v>
      </c>
      <c r="N259" s="59"/>
      <c r="O259" s="59"/>
      <c r="P259" s="59"/>
      <c r="Q259" s="59"/>
      <c r="R259" s="111" t="s">
        <v>327</v>
      </c>
      <c r="S259" s="111"/>
      <c r="T259" s="111"/>
      <c r="U259" s="111"/>
      <c r="V259" s="111"/>
      <c r="W259" s="59" t="s">
        <v>327</v>
      </c>
      <c r="X259" s="59"/>
      <c r="Y259" s="401" t="s">
        <v>26</v>
      </c>
      <c r="Z259" s="401" t="s">
        <v>488</v>
      </c>
    </row>
    <row r="260" spans="1:26" ht="43.5" customHeight="1">
      <c r="A260" s="398"/>
      <c r="B260" s="12" t="s">
        <v>24</v>
      </c>
      <c r="C260" s="12"/>
      <c r="D260" s="178"/>
      <c r="E260" s="12"/>
      <c r="F260" s="12"/>
      <c r="G260" s="12"/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59"/>
      <c r="N260" s="59"/>
      <c r="O260" s="59"/>
      <c r="P260" s="59"/>
      <c r="Q260" s="59"/>
      <c r="R260" s="111"/>
      <c r="S260" s="111"/>
      <c r="T260" s="111"/>
      <c r="U260" s="111"/>
      <c r="V260" s="111"/>
      <c r="W260" s="59"/>
      <c r="X260" s="59"/>
      <c r="Y260" s="402"/>
      <c r="Z260" s="402"/>
    </row>
    <row r="261" spans="1:26" ht="32.25" customHeight="1">
      <c r="A261" s="398"/>
      <c r="B261" s="12" t="s">
        <v>25</v>
      </c>
      <c r="C261" s="12">
        <v>176</v>
      </c>
      <c r="D261" s="178" t="s">
        <v>554</v>
      </c>
      <c r="E261" s="178" t="s">
        <v>555</v>
      </c>
      <c r="F261" s="12">
        <v>6100004040</v>
      </c>
      <c r="G261" s="12">
        <v>244</v>
      </c>
      <c r="H261" s="13">
        <f t="shared" ref="H261:V261" si="45">H263</f>
        <v>14155.5</v>
      </c>
      <c r="I261" s="13">
        <f t="shared" si="45"/>
        <v>3285.7</v>
      </c>
      <c r="J261" s="13">
        <f t="shared" si="45"/>
        <v>0</v>
      </c>
      <c r="K261" s="13">
        <f t="shared" si="45"/>
        <v>3538.9</v>
      </c>
      <c r="L261" s="13">
        <f t="shared" si="45"/>
        <v>7330.9</v>
      </c>
      <c r="M261" s="59">
        <f t="shared" si="45"/>
        <v>20000</v>
      </c>
      <c r="N261" s="59">
        <f t="shared" si="45"/>
        <v>3647.3</v>
      </c>
      <c r="O261" s="59">
        <f t="shared" si="45"/>
        <v>1070.7</v>
      </c>
      <c r="P261" s="59">
        <f t="shared" si="45"/>
        <v>192</v>
      </c>
      <c r="Q261" s="59">
        <f t="shared" si="45"/>
        <v>15090</v>
      </c>
      <c r="R261" s="111">
        <f t="shared" si="45"/>
        <v>7500</v>
      </c>
      <c r="S261" s="111">
        <f t="shared" si="45"/>
        <v>0</v>
      </c>
      <c r="T261" s="111">
        <f t="shared" si="45"/>
        <v>5000</v>
      </c>
      <c r="U261" s="111">
        <f t="shared" si="45"/>
        <v>2500</v>
      </c>
      <c r="V261" s="111">
        <f t="shared" si="45"/>
        <v>0</v>
      </c>
      <c r="W261" s="59">
        <f>W263</f>
        <v>20000</v>
      </c>
      <c r="X261" s="59">
        <f>X263</f>
        <v>20000</v>
      </c>
      <c r="Y261" s="402"/>
      <c r="Z261" s="402"/>
    </row>
    <row r="262" spans="1:26">
      <c r="A262" s="398"/>
      <c r="B262" s="12" t="s">
        <v>9</v>
      </c>
      <c r="C262" s="12"/>
      <c r="D262" s="178"/>
      <c r="E262" s="178"/>
      <c r="F262" s="12"/>
      <c r="G262" s="12"/>
      <c r="H262" s="13"/>
      <c r="I262" s="13"/>
      <c r="J262" s="13"/>
      <c r="K262" s="13"/>
      <c r="L262" s="13"/>
      <c r="M262" s="59"/>
      <c r="N262" s="59"/>
      <c r="O262" s="59"/>
      <c r="P262" s="59"/>
      <c r="Q262" s="59"/>
      <c r="R262" s="111"/>
      <c r="S262" s="111"/>
      <c r="T262" s="111"/>
      <c r="U262" s="111"/>
      <c r="V262" s="111"/>
      <c r="W262" s="59"/>
      <c r="X262" s="59"/>
      <c r="Y262" s="402"/>
      <c r="Z262" s="402"/>
    </row>
    <row r="263" spans="1:26" ht="34.5" customHeight="1">
      <c r="A263" s="398"/>
      <c r="B263" s="12" t="s">
        <v>10</v>
      </c>
      <c r="C263" s="12">
        <v>176</v>
      </c>
      <c r="D263" s="178" t="s">
        <v>554</v>
      </c>
      <c r="E263" s="178" t="s">
        <v>555</v>
      </c>
      <c r="F263" s="12">
        <v>6100004040</v>
      </c>
      <c r="G263" s="12">
        <v>244</v>
      </c>
      <c r="H263" s="13">
        <f>SUM(I263:L263)</f>
        <v>14155.5</v>
      </c>
      <c r="I263" s="13">
        <v>3285.7</v>
      </c>
      <c r="J263" s="13"/>
      <c r="K263" s="13">
        <v>3538.9</v>
      </c>
      <c r="L263" s="13">
        <v>7330.9</v>
      </c>
      <c r="M263" s="59">
        <v>20000</v>
      </c>
      <c r="N263" s="59">
        <v>3647.3</v>
      </c>
      <c r="O263" s="59">
        <v>1070.7</v>
      </c>
      <c r="P263" s="59">
        <v>192</v>
      </c>
      <c r="Q263" s="59">
        <v>15090</v>
      </c>
      <c r="R263" s="111">
        <f>T263+U263</f>
        <v>7500</v>
      </c>
      <c r="S263" s="111">
        <v>0</v>
      </c>
      <c r="T263" s="111">
        <v>5000</v>
      </c>
      <c r="U263" s="111">
        <f>10000-7500</f>
        <v>2500</v>
      </c>
      <c r="V263" s="111">
        <v>0</v>
      </c>
      <c r="W263" s="59">
        <v>20000</v>
      </c>
      <c r="X263" s="59">
        <v>20000</v>
      </c>
      <c r="Y263" s="402"/>
      <c r="Z263" s="402"/>
    </row>
    <row r="264" spans="1:26" ht="32.25" customHeight="1">
      <c r="A264" s="41"/>
      <c r="B264" s="12" t="s">
        <v>463</v>
      </c>
      <c r="C264" s="12"/>
      <c r="D264" s="178"/>
      <c r="E264" s="178"/>
      <c r="F264" s="12"/>
      <c r="G264" s="12"/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59"/>
      <c r="N264" s="59"/>
      <c r="O264" s="59"/>
      <c r="P264" s="59"/>
      <c r="Q264" s="59"/>
      <c r="R264" s="111"/>
      <c r="S264" s="111"/>
      <c r="T264" s="111"/>
      <c r="U264" s="111"/>
      <c r="V264" s="111"/>
      <c r="W264" s="59"/>
      <c r="X264" s="59"/>
      <c r="Y264" s="38"/>
      <c r="Z264" s="402"/>
    </row>
    <row r="265" spans="1:26" ht="31.5" customHeight="1">
      <c r="A265" s="41"/>
      <c r="B265" s="12" t="s">
        <v>11</v>
      </c>
      <c r="C265" s="12"/>
      <c r="D265" s="178"/>
      <c r="E265" s="178"/>
      <c r="F265" s="12"/>
      <c r="G265" s="12"/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59"/>
      <c r="N265" s="59"/>
      <c r="O265" s="59"/>
      <c r="P265" s="59"/>
      <c r="Q265" s="59"/>
      <c r="R265" s="111"/>
      <c r="S265" s="111"/>
      <c r="T265" s="111"/>
      <c r="U265" s="111"/>
      <c r="V265" s="111"/>
      <c r="W265" s="59"/>
      <c r="X265" s="59"/>
      <c r="Y265" s="38"/>
      <c r="Z265" s="402"/>
    </row>
    <row r="266" spans="1:26" ht="32.25" customHeight="1">
      <c r="A266" s="50"/>
      <c r="B266" s="12" t="s">
        <v>484</v>
      </c>
      <c r="C266" s="12"/>
      <c r="D266" s="178"/>
      <c r="E266" s="178"/>
      <c r="F266" s="12"/>
      <c r="G266" s="12"/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59"/>
      <c r="N266" s="59"/>
      <c r="O266" s="59"/>
      <c r="P266" s="59"/>
      <c r="Q266" s="59"/>
      <c r="R266" s="111"/>
      <c r="S266" s="111"/>
      <c r="T266" s="111"/>
      <c r="U266" s="111"/>
      <c r="V266" s="111"/>
      <c r="W266" s="59"/>
      <c r="X266" s="59"/>
      <c r="Y266" s="49"/>
      <c r="Z266" s="405"/>
    </row>
    <row r="267" spans="1:26" ht="28.5" customHeight="1">
      <c r="A267" s="397" t="s">
        <v>219</v>
      </c>
      <c r="B267" s="319" t="s">
        <v>667</v>
      </c>
      <c r="C267" s="12"/>
      <c r="D267" s="178"/>
      <c r="E267" s="178"/>
      <c r="F267" s="12"/>
      <c r="G267" s="12"/>
      <c r="H267" s="42">
        <v>0</v>
      </c>
      <c r="I267" s="42">
        <v>0</v>
      </c>
      <c r="J267" s="42">
        <v>0</v>
      </c>
      <c r="K267" s="42">
        <v>0</v>
      </c>
      <c r="L267" s="42">
        <v>0</v>
      </c>
      <c r="M267" s="59" t="s">
        <v>327</v>
      </c>
      <c r="N267" s="59"/>
      <c r="O267" s="59"/>
      <c r="P267" s="59"/>
      <c r="Q267" s="59"/>
      <c r="R267" s="111" t="s">
        <v>327</v>
      </c>
      <c r="S267" s="111"/>
      <c r="T267" s="111"/>
      <c r="U267" s="111"/>
      <c r="V267" s="111"/>
      <c r="W267" s="59" t="s">
        <v>327</v>
      </c>
      <c r="X267" s="59"/>
      <c r="Y267" s="401" t="s">
        <v>26</v>
      </c>
      <c r="Z267" s="401" t="s">
        <v>204</v>
      </c>
    </row>
    <row r="268" spans="1:26" ht="45" customHeight="1">
      <c r="A268" s="398"/>
      <c r="B268" s="12" t="s">
        <v>24</v>
      </c>
      <c r="C268" s="12"/>
      <c r="D268" s="178"/>
      <c r="E268" s="178"/>
      <c r="F268" s="12"/>
      <c r="G268" s="12"/>
      <c r="H268" s="42">
        <v>0</v>
      </c>
      <c r="I268" s="42">
        <v>0</v>
      </c>
      <c r="J268" s="42">
        <v>0</v>
      </c>
      <c r="K268" s="42">
        <v>0</v>
      </c>
      <c r="L268" s="42">
        <v>0</v>
      </c>
      <c r="M268" s="59"/>
      <c r="N268" s="59"/>
      <c r="O268" s="59"/>
      <c r="P268" s="59"/>
      <c r="Q268" s="59"/>
      <c r="R268" s="111"/>
      <c r="S268" s="111"/>
      <c r="T268" s="111"/>
      <c r="U268" s="111"/>
      <c r="V268" s="111"/>
      <c r="W268" s="59"/>
      <c r="X268" s="59"/>
      <c r="Y268" s="402"/>
      <c r="Z268" s="402"/>
    </row>
    <row r="269" spans="1:26" ht="32.25" customHeight="1">
      <c r="A269" s="41"/>
      <c r="B269" s="12" t="s">
        <v>25</v>
      </c>
      <c r="C269" s="12">
        <v>176</v>
      </c>
      <c r="D269" s="178" t="s">
        <v>554</v>
      </c>
      <c r="E269" s="178" t="s">
        <v>555</v>
      </c>
      <c r="F269" s="12">
        <v>6100004040</v>
      </c>
      <c r="G269" s="12">
        <v>244</v>
      </c>
      <c r="H269" s="13">
        <f t="shared" ref="H269:U269" si="46">H271</f>
        <v>22639.3</v>
      </c>
      <c r="I269" s="13">
        <f t="shared" si="46"/>
        <v>9639.2999999999993</v>
      </c>
      <c r="J269" s="13">
        <f t="shared" si="46"/>
        <v>0</v>
      </c>
      <c r="K269" s="13">
        <f t="shared" si="46"/>
        <v>150</v>
      </c>
      <c r="L269" s="13">
        <f t="shared" si="46"/>
        <v>12850</v>
      </c>
      <c r="M269" s="59">
        <f t="shared" si="46"/>
        <v>20000</v>
      </c>
      <c r="N269" s="59">
        <f t="shared" si="46"/>
        <v>7.0000000000000007E-2</v>
      </c>
      <c r="O269" s="59">
        <f t="shared" si="46"/>
        <v>2851.33</v>
      </c>
      <c r="P269" s="59">
        <f t="shared" si="46"/>
        <v>11330</v>
      </c>
      <c r="Q269" s="59">
        <f t="shared" si="46"/>
        <v>5818.6</v>
      </c>
      <c r="R269" s="111">
        <f t="shared" si="46"/>
        <v>0</v>
      </c>
      <c r="S269" s="111"/>
      <c r="T269" s="111"/>
      <c r="U269" s="111">
        <f t="shared" si="46"/>
        <v>0</v>
      </c>
      <c r="V269" s="111"/>
      <c r="W269" s="59">
        <f>W271</f>
        <v>10000</v>
      </c>
      <c r="X269" s="59">
        <f>X271</f>
        <v>20000</v>
      </c>
      <c r="Y269" s="402"/>
      <c r="Z269" s="402"/>
    </row>
    <row r="270" spans="1:26" ht="17.45" customHeight="1">
      <c r="A270" s="41"/>
      <c r="B270" s="12" t="s">
        <v>9</v>
      </c>
      <c r="C270" s="12"/>
      <c r="D270" s="178"/>
      <c r="E270" s="178"/>
      <c r="F270" s="12"/>
      <c r="G270" s="12"/>
      <c r="H270" s="13"/>
      <c r="I270" s="13"/>
      <c r="J270" s="13"/>
      <c r="K270" s="13"/>
      <c r="L270" s="13"/>
      <c r="M270" s="59"/>
      <c r="N270" s="59"/>
      <c r="O270" s="59"/>
      <c r="P270" s="59"/>
      <c r="Q270" s="59"/>
      <c r="R270" s="59"/>
      <c r="S270" s="59"/>
      <c r="T270" s="59"/>
      <c r="U270" s="59"/>
      <c r="V270" s="111"/>
      <c r="W270" s="59"/>
      <c r="X270" s="59"/>
      <c r="Y270" s="402"/>
      <c r="Z270" s="402"/>
    </row>
    <row r="271" spans="1:26" ht="31.5" customHeight="1">
      <c r="A271" s="41"/>
      <c r="B271" s="12" t="s">
        <v>10</v>
      </c>
      <c r="C271" s="12">
        <v>176</v>
      </c>
      <c r="D271" s="178" t="s">
        <v>554</v>
      </c>
      <c r="E271" s="178" t="s">
        <v>555</v>
      </c>
      <c r="F271" s="12">
        <v>6100004040</v>
      </c>
      <c r="G271" s="12">
        <v>244</v>
      </c>
      <c r="H271" s="13">
        <f>SUM(I271:L271)</f>
        <v>22639.3</v>
      </c>
      <c r="I271" s="13">
        <v>9639.2999999999993</v>
      </c>
      <c r="J271" s="13"/>
      <c r="K271" s="13">
        <v>150</v>
      </c>
      <c r="L271" s="13">
        <v>12850</v>
      </c>
      <c r="M271" s="59">
        <f>40000-20000</f>
        <v>20000</v>
      </c>
      <c r="N271" s="59">
        <v>7.0000000000000007E-2</v>
      </c>
      <c r="O271" s="59">
        <v>2851.33</v>
      </c>
      <c r="P271" s="59">
        <v>11330</v>
      </c>
      <c r="Q271" s="59">
        <v>5818.6</v>
      </c>
      <c r="R271" s="59">
        <f>U271</f>
        <v>0</v>
      </c>
      <c r="S271" s="59"/>
      <c r="T271" s="59"/>
      <c r="U271" s="59"/>
      <c r="V271" s="111"/>
      <c r="W271" s="59">
        <f>20000-10000</f>
        <v>10000</v>
      </c>
      <c r="X271" s="59">
        <v>20000</v>
      </c>
      <c r="Y271" s="402"/>
      <c r="Z271" s="402"/>
    </row>
    <row r="272" spans="1:26" ht="29.25" customHeight="1">
      <c r="A272" s="41"/>
      <c r="B272" s="12" t="s">
        <v>463</v>
      </c>
      <c r="C272" s="12"/>
      <c r="D272" s="178"/>
      <c r="E272" s="178"/>
      <c r="F272" s="12"/>
      <c r="G272" s="12"/>
      <c r="H272" s="42">
        <v>0</v>
      </c>
      <c r="I272" s="42">
        <v>0</v>
      </c>
      <c r="J272" s="42">
        <v>0</v>
      </c>
      <c r="K272" s="42">
        <v>0</v>
      </c>
      <c r="L272" s="42">
        <v>0</v>
      </c>
      <c r="M272" s="59"/>
      <c r="N272" s="59"/>
      <c r="O272" s="59"/>
      <c r="P272" s="59"/>
      <c r="Q272" s="59"/>
      <c r="R272" s="111"/>
      <c r="S272" s="111"/>
      <c r="T272" s="111"/>
      <c r="U272" s="111"/>
      <c r="V272" s="111"/>
      <c r="W272" s="59"/>
      <c r="X272" s="59"/>
      <c r="Y272" s="402"/>
      <c r="Z272" s="402"/>
    </row>
    <row r="273" spans="1:26" ht="33" customHeight="1">
      <c r="A273" s="41"/>
      <c r="B273" s="12" t="s">
        <v>11</v>
      </c>
      <c r="C273" s="12"/>
      <c r="D273" s="178"/>
      <c r="E273" s="178"/>
      <c r="F273" s="12"/>
      <c r="G273" s="12"/>
      <c r="H273" s="42">
        <v>0</v>
      </c>
      <c r="I273" s="42">
        <v>0</v>
      </c>
      <c r="J273" s="42">
        <v>0</v>
      </c>
      <c r="K273" s="42">
        <v>0</v>
      </c>
      <c r="L273" s="42">
        <v>0</v>
      </c>
      <c r="M273" s="59"/>
      <c r="N273" s="59"/>
      <c r="O273" s="59"/>
      <c r="P273" s="59"/>
      <c r="Q273" s="59"/>
      <c r="R273" s="111"/>
      <c r="S273" s="111"/>
      <c r="T273" s="111"/>
      <c r="U273" s="111"/>
      <c r="V273" s="111"/>
      <c r="W273" s="59"/>
      <c r="X273" s="59"/>
      <c r="Y273" s="402"/>
      <c r="Z273" s="402"/>
    </row>
    <row r="274" spans="1:26" ht="36" customHeight="1">
      <c r="A274" s="50"/>
      <c r="B274" s="12" t="s">
        <v>484</v>
      </c>
      <c r="C274" s="12"/>
      <c r="D274" s="178"/>
      <c r="E274" s="178"/>
      <c r="F274" s="12"/>
      <c r="G274" s="12"/>
      <c r="H274" s="42">
        <v>0</v>
      </c>
      <c r="I274" s="42">
        <v>0</v>
      </c>
      <c r="J274" s="42">
        <v>0</v>
      </c>
      <c r="K274" s="42">
        <v>0</v>
      </c>
      <c r="L274" s="42">
        <v>0</v>
      </c>
      <c r="M274" s="59"/>
      <c r="N274" s="59"/>
      <c r="O274" s="59"/>
      <c r="P274" s="59"/>
      <c r="Q274" s="59"/>
      <c r="R274" s="111"/>
      <c r="S274" s="111"/>
      <c r="T274" s="111"/>
      <c r="U274" s="111"/>
      <c r="V274" s="111"/>
      <c r="W274" s="59"/>
      <c r="X274" s="59"/>
      <c r="Y274" s="405"/>
      <c r="Z274" s="405"/>
    </row>
    <row r="275" spans="1:26" ht="30" customHeight="1">
      <c r="A275" s="397" t="s">
        <v>220</v>
      </c>
      <c r="B275" s="319" t="s">
        <v>667</v>
      </c>
      <c r="C275" s="12"/>
      <c r="D275" s="178"/>
      <c r="E275" s="178"/>
      <c r="F275" s="12"/>
      <c r="G275" s="12"/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59" t="s">
        <v>327</v>
      </c>
      <c r="N275" s="59"/>
      <c r="O275" s="59"/>
      <c r="P275" s="59"/>
      <c r="Q275" s="59"/>
      <c r="R275" s="111" t="s">
        <v>327</v>
      </c>
      <c r="S275" s="111"/>
      <c r="T275" s="111"/>
      <c r="U275" s="111"/>
      <c r="V275" s="111"/>
      <c r="W275" s="59" t="s">
        <v>327</v>
      </c>
      <c r="X275" s="59"/>
      <c r="Y275" s="401" t="s">
        <v>26</v>
      </c>
      <c r="Z275" s="435" t="s">
        <v>73</v>
      </c>
    </row>
    <row r="276" spans="1:26" ht="45.75" customHeight="1">
      <c r="A276" s="398"/>
      <c r="B276" s="12" t="s">
        <v>24</v>
      </c>
      <c r="C276" s="12"/>
      <c r="D276" s="178"/>
      <c r="E276" s="178"/>
      <c r="F276" s="12"/>
      <c r="G276" s="12"/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59"/>
      <c r="N276" s="59"/>
      <c r="O276" s="59"/>
      <c r="P276" s="59"/>
      <c r="Q276" s="59"/>
      <c r="R276" s="111"/>
      <c r="S276" s="111"/>
      <c r="T276" s="111"/>
      <c r="U276" s="111"/>
      <c r="V276" s="111"/>
      <c r="W276" s="59"/>
      <c r="X276" s="59"/>
      <c r="Y276" s="402"/>
      <c r="Z276" s="435"/>
    </row>
    <row r="277" spans="1:26" ht="30" customHeight="1">
      <c r="A277" s="398"/>
      <c r="B277" s="12" t="s">
        <v>25</v>
      </c>
      <c r="C277" s="12">
        <v>176</v>
      </c>
      <c r="D277" s="178" t="s">
        <v>554</v>
      </c>
      <c r="E277" s="178" t="s">
        <v>555</v>
      </c>
      <c r="F277" s="12">
        <v>6100004040</v>
      </c>
      <c r="G277" s="12">
        <v>241</v>
      </c>
      <c r="H277" s="13">
        <f t="shared" ref="H277:V277" si="47">H279</f>
        <v>3000</v>
      </c>
      <c r="I277" s="13">
        <f t="shared" si="47"/>
        <v>1035.8</v>
      </c>
      <c r="J277" s="13">
        <f t="shared" si="47"/>
        <v>0</v>
      </c>
      <c r="K277" s="13">
        <f t="shared" si="47"/>
        <v>750</v>
      </c>
      <c r="L277" s="13">
        <f t="shared" si="47"/>
        <v>1214.2</v>
      </c>
      <c r="M277" s="59">
        <f t="shared" si="47"/>
        <v>3000</v>
      </c>
      <c r="N277" s="59">
        <f t="shared" si="47"/>
        <v>690.6</v>
      </c>
      <c r="O277" s="59">
        <f t="shared" si="47"/>
        <v>345.3</v>
      </c>
      <c r="P277" s="59">
        <f t="shared" si="47"/>
        <v>33</v>
      </c>
      <c r="Q277" s="59">
        <f t="shared" si="47"/>
        <v>1931.1</v>
      </c>
      <c r="R277" s="111">
        <f t="shared" si="47"/>
        <v>19476.555</v>
      </c>
      <c r="S277" s="111">
        <f t="shared" si="47"/>
        <v>580</v>
      </c>
      <c r="T277" s="111">
        <f t="shared" si="47"/>
        <v>0</v>
      </c>
      <c r="U277" s="111">
        <f t="shared" si="47"/>
        <v>0</v>
      </c>
      <c r="V277" s="111">
        <f t="shared" si="47"/>
        <v>18896.555</v>
      </c>
      <c r="W277" s="59">
        <f>W279</f>
        <v>7198.5</v>
      </c>
      <c r="X277" s="59">
        <f>X279</f>
        <v>2966.2</v>
      </c>
      <c r="Y277" s="402"/>
      <c r="Z277" s="435"/>
    </row>
    <row r="278" spans="1:26" ht="18" customHeight="1">
      <c r="A278" s="398"/>
      <c r="B278" s="12" t="s">
        <v>9</v>
      </c>
      <c r="C278" s="12"/>
      <c r="D278" s="178"/>
      <c r="E278" s="178"/>
      <c r="F278" s="12"/>
      <c r="G278" s="12"/>
      <c r="H278" s="13"/>
      <c r="I278" s="13"/>
      <c r="J278" s="13"/>
      <c r="K278" s="13"/>
      <c r="L278" s="13"/>
      <c r="M278" s="59"/>
      <c r="N278" s="59"/>
      <c r="O278" s="59"/>
      <c r="P278" s="59"/>
      <c r="Q278" s="59"/>
      <c r="R278" s="111"/>
      <c r="S278" s="111"/>
      <c r="T278" s="111"/>
      <c r="U278" s="111"/>
      <c r="V278" s="111"/>
      <c r="W278" s="59"/>
      <c r="X278" s="59"/>
      <c r="Y278" s="402"/>
      <c r="Z278" s="435"/>
    </row>
    <row r="279" spans="1:26" ht="32.25" customHeight="1">
      <c r="A279" s="398"/>
      <c r="B279" s="12" t="s">
        <v>10</v>
      </c>
      <c r="C279" s="12">
        <v>176</v>
      </c>
      <c r="D279" s="178" t="s">
        <v>554</v>
      </c>
      <c r="E279" s="178" t="s">
        <v>555</v>
      </c>
      <c r="F279" s="12">
        <v>6100004040</v>
      </c>
      <c r="G279" s="12">
        <v>241</v>
      </c>
      <c r="H279" s="13">
        <v>3000</v>
      </c>
      <c r="I279" s="13">
        <v>1035.8</v>
      </c>
      <c r="J279" s="13"/>
      <c r="K279" s="13">
        <v>750</v>
      </c>
      <c r="L279" s="13">
        <v>1214.2</v>
      </c>
      <c r="M279" s="59">
        <v>3000</v>
      </c>
      <c r="N279" s="59">
        <v>690.6</v>
      </c>
      <c r="O279" s="59">
        <v>345.3</v>
      </c>
      <c r="P279" s="59">
        <v>33</v>
      </c>
      <c r="Q279" s="59">
        <v>1931.1</v>
      </c>
      <c r="R279" s="111">
        <f>R287+R294</f>
        <v>19476.555</v>
      </c>
      <c r="S279" s="111">
        <f t="shared" ref="S279:V279" si="48">S287+S294</f>
        <v>580</v>
      </c>
      <c r="T279" s="111">
        <f t="shared" si="48"/>
        <v>0</v>
      </c>
      <c r="U279" s="111">
        <f t="shared" si="48"/>
        <v>0</v>
      </c>
      <c r="V279" s="111">
        <f t="shared" si="48"/>
        <v>18896.555</v>
      </c>
      <c r="W279" s="59">
        <v>7198.5</v>
      </c>
      <c r="X279" s="59">
        <v>2966.2</v>
      </c>
      <c r="Y279" s="402"/>
      <c r="Z279" s="435"/>
    </row>
    <row r="280" spans="1:26" ht="31.5" customHeight="1">
      <c r="A280" s="398"/>
      <c r="B280" s="12" t="s">
        <v>463</v>
      </c>
      <c r="C280" s="12"/>
      <c r="D280" s="178"/>
      <c r="E280" s="178"/>
      <c r="F280" s="12"/>
      <c r="G280" s="12"/>
      <c r="H280" s="42">
        <v>0</v>
      </c>
      <c r="I280" s="42">
        <v>0</v>
      </c>
      <c r="J280" s="42">
        <v>0</v>
      </c>
      <c r="K280" s="42">
        <v>0</v>
      </c>
      <c r="L280" s="42">
        <v>0</v>
      </c>
      <c r="M280" s="59"/>
      <c r="N280" s="59"/>
      <c r="O280" s="59"/>
      <c r="P280" s="59"/>
      <c r="Q280" s="59"/>
      <c r="R280" s="111"/>
      <c r="S280" s="111"/>
      <c r="T280" s="111"/>
      <c r="U280" s="111"/>
      <c r="V280" s="111"/>
      <c r="W280" s="59"/>
      <c r="X280" s="59"/>
      <c r="Y280" s="402"/>
      <c r="Z280" s="435"/>
    </row>
    <row r="281" spans="1:26" ht="35.25" customHeight="1">
      <c r="A281" s="398"/>
      <c r="B281" s="12" t="s">
        <v>462</v>
      </c>
      <c r="C281" s="12"/>
      <c r="D281" s="178"/>
      <c r="E281" s="178"/>
      <c r="F281" s="12"/>
      <c r="G281" s="12"/>
      <c r="H281" s="42">
        <v>0</v>
      </c>
      <c r="I281" s="42">
        <v>0</v>
      </c>
      <c r="J281" s="42">
        <v>0</v>
      </c>
      <c r="K281" s="42">
        <v>0</v>
      </c>
      <c r="L281" s="42">
        <v>0</v>
      </c>
      <c r="M281" s="59"/>
      <c r="N281" s="59"/>
      <c r="O281" s="59"/>
      <c r="P281" s="59"/>
      <c r="Q281" s="59"/>
      <c r="R281" s="111"/>
      <c r="S281" s="111"/>
      <c r="T281" s="111"/>
      <c r="U281" s="111"/>
      <c r="V281" s="111"/>
      <c r="W281" s="59"/>
      <c r="X281" s="59"/>
      <c r="Y281" s="402"/>
      <c r="Z281" s="435"/>
    </row>
    <row r="282" spans="1:26" ht="35.25" customHeight="1">
      <c r="A282" s="418"/>
      <c r="B282" s="12" t="s">
        <v>484</v>
      </c>
      <c r="C282" s="12"/>
      <c r="D282" s="178"/>
      <c r="E282" s="178"/>
      <c r="F282" s="12"/>
      <c r="G282" s="12"/>
      <c r="H282" s="42"/>
      <c r="I282" s="42"/>
      <c r="J282" s="42"/>
      <c r="K282" s="42"/>
      <c r="L282" s="42"/>
      <c r="M282" s="59"/>
      <c r="N282" s="59"/>
      <c r="O282" s="59"/>
      <c r="P282" s="59"/>
      <c r="Q282" s="59"/>
      <c r="R282" s="111"/>
      <c r="S282" s="111"/>
      <c r="T282" s="111"/>
      <c r="U282" s="111"/>
      <c r="V282" s="111"/>
      <c r="W282" s="59"/>
      <c r="X282" s="59"/>
      <c r="Y282" s="402"/>
      <c r="Z282" s="435"/>
    </row>
    <row r="283" spans="1:26" s="108" customFormat="1" ht="26.45" customHeight="1">
      <c r="A283" s="397" t="s">
        <v>568</v>
      </c>
      <c r="B283" s="319" t="s">
        <v>667</v>
      </c>
      <c r="C283" s="319"/>
      <c r="D283" s="319"/>
      <c r="E283" s="319"/>
      <c r="F283" s="319"/>
      <c r="G283" s="319"/>
      <c r="H283" s="320"/>
      <c r="I283" s="319"/>
      <c r="J283" s="319"/>
      <c r="K283" s="319"/>
      <c r="L283" s="32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402"/>
      <c r="Z283" s="401" t="s">
        <v>577</v>
      </c>
    </row>
    <row r="284" spans="1:26" s="108" customFormat="1" ht="44.25" customHeight="1">
      <c r="A284" s="398"/>
      <c r="B284" s="319" t="s">
        <v>560</v>
      </c>
      <c r="C284" s="319"/>
      <c r="D284" s="319"/>
      <c r="E284" s="319"/>
      <c r="F284" s="319"/>
      <c r="G284" s="319"/>
      <c r="H284" s="321"/>
      <c r="I284" s="321"/>
      <c r="J284" s="321"/>
      <c r="K284" s="321"/>
      <c r="L284" s="32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402"/>
      <c r="Z284" s="402"/>
    </row>
    <row r="285" spans="1:26" s="108" customFormat="1" ht="30.75" customHeight="1">
      <c r="A285" s="398"/>
      <c r="B285" s="319" t="s">
        <v>561</v>
      </c>
      <c r="C285" s="319">
        <v>176</v>
      </c>
      <c r="D285" s="322" t="s">
        <v>554</v>
      </c>
      <c r="E285" s="322" t="s">
        <v>555</v>
      </c>
      <c r="F285" s="319">
        <v>6100004040</v>
      </c>
      <c r="G285" s="319">
        <v>241</v>
      </c>
      <c r="H285" s="321"/>
      <c r="I285" s="321"/>
      <c r="J285" s="321"/>
      <c r="K285" s="321"/>
      <c r="L285" s="321"/>
      <c r="M285" s="111"/>
      <c r="N285" s="111"/>
      <c r="O285" s="111"/>
      <c r="P285" s="111"/>
      <c r="Q285" s="111"/>
      <c r="R285" s="111">
        <f>R287</f>
        <v>18896.555</v>
      </c>
      <c r="S285" s="111">
        <f t="shared" ref="S285:X285" si="49">S287</f>
        <v>0</v>
      </c>
      <c r="T285" s="111">
        <f t="shared" si="49"/>
        <v>0</v>
      </c>
      <c r="U285" s="111">
        <f t="shared" si="49"/>
        <v>0</v>
      </c>
      <c r="V285" s="111">
        <f>V287</f>
        <v>18896.555</v>
      </c>
      <c r="W285" s="111">
        <f t="shared" si="49"/>
        <v>7198.5</v>
      </c>
      <c r="X285" s="111">
        <f t="shared" si="49"/>
        <v>2966.2</v>
      </c>
      <c r="Y285" s="402"/>
      <c r="Z285" s="402"/>
    </row>
    <row r="286" spans="1:26" s="108" customFormat="1" ht="34.15" customHeight="1">
      <c r="A286" s="398"/>
      <c r="B286" s="319" t="s">
        <v>562</v>
      </c>
      <c r="C286" s="319"/>
      <c r="D286" s="319"/>
      <c r="E286" s="322"/>
      <c r="F286" s="319"/>
      <c r="G286" s="319"/>
      <c r="H286" s="321"/>
      <c r="I286" s="321"/>
      <c r="J286" s="321"/>
      <c r="K286" s="321"/>
      <c r="L286" s="32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402"/>
      <c r="Z286" s="402"/>
    </row>
    <row r="287" spans="1:26" s="108" customFormat="1" ht="32.450000000000003" customHeight="1">
      <c r="A287" s="398"/>
      <c r="B287" s="323" t="s">
        <v>563</v>
      </c>
      <c r="C287" s="319">
        <v>176</v>
      </c>
      <c r="D287" s="322" t="s">
        <v>554</v>
      </c>
      <c r="E287" s="322" t="s">
        <v>555</v>
      </c>
      <c r="F287" s="319">
        <v>6100004040</v>
      </c>
      <c r="G287" s="319">
        <v>241</v>
      </c>
      <c r="H287" s="321"/>
      <c r="I287" s="321"/>
      <c r="J287" s="321"/>
      <c r="K287" s="321"/>
      <c r="L287" s="321"/>
      <c r="M287" s="111"/>
      <c r="N287" s="111"/>
      <c r="O287" s="111"/>
      <c r="P287" s="111"/>
      <c r="Q287" s="111"/>
      <c r="R287" s="111">
        <f>S287+T287+U287+V287</f>
        <v>18896.555</v>
      </c>
      <c r="S287" s="111">
        <v>0</v>
      </c>
      <c r="T287" s="111">
        <v>0</v>
      </c>
      <c r="U287" s="111">
        <v>0</v>
      </c>
      <c r="V287" s="111">
        <v>18896.555</v>
      </c>
      <c r="W287" s="111">
        <f t="shared" ref="W287:X287" si="50">W279-W294</f>
        <v>7198.5</v>
      </c>
      <c r="X287" s="111">
        <f t="shared" si="50"/>
        <v>2966.2</v>
      </c>
      <c r="Y287" s="402"/>
      <c r="Z287" s="402"/>
    </row>
    <row r="288" spans="1:26" s="108" customFormat="1" ht="30" customHeight="1">
      <c r="A288" s="398"/>
      <c r="B288" s="319" t="s">
        <v>462</v>
      </c>
      <c r="C288" s="319"/>
      <c r="D288" s="322"/>
      <c r="E288" s="322"/>
      <c r="F288" s="319"/>
      <c r="G288" s="319"/>
      <c r="H288" s="321"/>
      <c r="I288" s="321"/>
      <c r="J288" s="321"/>
      <c r="K288" s="321"/>
      <c r="L288" s="32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402"/>
      <c r="Z288" s="402"/>
    </row>
    <row r="289" spans="1:26" s="108" customFormat="1" ht="30" hidden="1" customHeight="1">
      <c r="A289" s="398"/>
      <c r="B289" s="319" t="s">
        <v>484</v>
      </c>
      <c r="C289" s="319"/>
      <c r="D289" s="322"/>
      <c r="E289" s="322"/>
      <c r="F289" s="319"/>
      <c r="G289" s="319"/>
      <c r="H289" s="321"/>
      <c r="I289" s="321"/>
      <c r="J289" s="321"/>
      <c r="K289" s="321"/>
      <c r="L289" s="32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402"/>
      <c r="Z289" s="402"/>
    </row>
    <row r="290" spans="1:26" s="108" customFormat="1" ht="30" customHeight="1">
      <c r="A290" s="398"/>
      <c r="B290" s="319" t="s">
        <v>484</v>
      </c>
      <c r="C290" s="319"/>
      <c r="D290" s="322"/>
      <c r="E290" s="322"/>
      <c r="F290" s="319"/>
      <c r="G290" s="319"/>
      <c r="H290" s="321"/>
      <c r="I290" s="321"/>
      <c r="J290" s="321"/>
      <c r="K290" s="321"/>
      <c r="L290" s="32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402"/>
      <c r="Z290" s="402"/>
    </row>
    <row r="291" spans="1:26" ht="36.75" customHeight="1">
      <c r="A291" s="418"/>
      <c r="B291" s="12" t="s">
        <v>484</v>
      </c>
      <c r="C291" s="12"/>
      <c r="D291" s="178"/>
      <c r="E291" s="178"/>
      <c r="F291" s="12"/>
      <c r="G291" s="12"/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59"/>
      <c r="N291" s="59"/>
      <c r="O291" s="59"/>
      <c r="P291" s="59"/>
      <c r="Q291" s="59"/>
      <c r="R291" s="111"/>
      <c r="S291" s="111"/>
      <c r="T291" s="111"/>
      <c r="U291" s="111"/>
      <c r="V291" s="111"/>
      <c r="W291" s="59"/>
      <c r="X291" s="59"/>
      <c r="Y291" s="405"/>
      <c r="Z291" s="405"/>
    </row>
    <row r="292" spans="1:26" s="108" customFormat="1" ht="26.45" customHeight="1">
      <c r="A292" s="399" t="s">
        <v>569</v>
      </c>
      <c r="B292" s="319" t="s">
        <v>667</v>
      </c>
      <c r="C292" s="319"/>
      <c r="D292" s="319"/>
      <c r="E292" s="319"/>
      <c r="F292" s="319"/>
      <c r="G292" s="319"/>
      <c r="H292" s="320"/>
      <c r="I292" s="319"/>
      <c r="J292" s="319"/>
      <c r="K292" s="319"/>
      <c r="L292" s="32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392"/>
      <c r="Z292" s="392" t="s">
        <v>576</v>
      </c>
    </row>
    <row r="293" spans="1:26" s="108" customFormat="1" ht="44.25" customHeight="1">
      <c r="A293" s="400"/>
      <c r="B293" s="319" t="s">
        <v>560</v>
      </c>
      <c r="C293" s="319"/>
      <c r="D293" s="319"/>
      <c r="E293" s="319"/>
      <c r="F293" s="319"/>
      <c r="G293" s="319"/>
      <c r="H293" s="321"/>
      <c r="I293" s="321"/>
      <c r="J293" s="321"/>
      <c r="K293" s="321"/>
      <c r="L293" s="32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393"/>
      <c r="Z293" s="393"/>
    </row>
    <row r="294" spans="1:26" s="108" customFormat="1" ht="27.75" customHeight="1">
      <c r="A294" s="400"/>
      <c r="B294" s="319" t="s">
        <v>561</v>
      </c>
      <c r="C294" s="319">
        <v>176</v>
      </c>
      <c r="D294" s="322" t="s">
        <v>554</v>
      </c>
      <c r="E294" s="322" t="s">
        <v>555</v>
      </c>
      <c r="F294" s="319">
        <v>6100004040</v>
      </c>
      <c r="G294" s="319">
        <v>241</v>
      </c>
      <c r="H294" s="321"/>
      <c r="I294" s="321"/>
      <c r="J294" s="321"/>
      <c r="K294" s="321"/>
      <c r="L294" s="321"/>
      <c r="M294" s="111"/>
      <c r="N294" s="111"/>
      <c r="O294" s="111"/>
      <c r="P294" s="111"/>
      <c r="Q294" s="111"/>
      <c r="R294" s="111">
        <v>580</v>
      </c>
      <c r="S294" s="111">
        <v>580</v>
      </c>
      <c r="T294" s="111"/>
      <c r="U294" s="111"/>
      <c r="V294" s="111"/>
      <c r="W294" s="111"/>
      <c r="X294" s="111"/>
      <c r="Y294" s="393"/>
      <c r="Z294" s="393"/>
    </row>
    <row r="295" spans="1:26" s="108" customFormat="1" ht="34.15" customHeight="1">
      <c r="A295" s="400"/>
      <c r="B295" s="319" t="s">
        <v>562</v>
      </c>
      <c r="C295" s="319"/>
      <c r="D295" s="319"/>
      <c r="E295" s="322"/>
      <c r="F295" s="319"/>
      <c r="G295" s="319"/>
      <c r="H295" s="321"/>
      <c r="I295" s="321"/>
      <c r="J295" s="321"/>
      <c r="K295" s="321"/>
      <c r="L295" s="32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393"/>
      <c r="Z295" s="393"/>
    </row>
    <row r="296" spans="1:26" s="108" customFormat="1" ht="32.450000000000003" customHeight="1">
      <c r="A296" s="400"/>
      <c r="B296" s="323" t="s">
        <v>563</v>
      </c>
      <c r="C296" s="319">
        <v>176</v>
      </c>
      <c r="D296" s="322" t="s">
        <v>554</v>
      </c>
      <c r="E296" s="322" t="s">
        <v>555</v>
      </c>
      <c r="F296" s="319">
        <v>6100004040</v>
      </c>
      <c r="G296" s="319">
        <v>241</v>
      </c>
      <c r="H296" s="321"/>
      <c r="I296" s="321"/>
      <c r="J296" s="321"/>
      <c r="K296" s="321"/>
      <c r="L296" s="321"/>
      <c r="M296" s="111"/>
      <c r="N296" s="111"/>
      <c r="O296" s="111"/>
      <c r="P296" s="111"/>
      <c r="Q296" s="111"/>
      <c r="R296" s="111">
        <v>580</v>
      </c>
      <c r="S296" s="111">
        <v>580</v>
      </c>
      <c r="T296" s="111"/>
      <c r="U296" s="111"/>
      <c r="V296" s="111"/>
      <c r="W296" s="111"/>
      <c r="X296" s="111"/>
      <c r="Y296" s="393"/>
      <c r="Z296" s="393"/>
    </row>
    <row r="297" spans="1:26" s="108" customFormat="1" ht="30" customHeight="1">
      <c r="A297" s="400"/>
      <c r="B297" s="319" t="s">
        <v>462</v>
      </c>
      <c r="C297" s="319"/>
      <c r="D297" s="322"/>
      <c r="E297" s="322"/>
      <c r="F297" s="319"/>
      <c r="G297" s="319"/>
      <c r="H297" s="321"/>
      <c r="I297" s="321"/>
      <c r="J297" s="321"/>
      <c r="K297" s="321"/>
      <c r="L297" s="32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393"/>
      <c r="Z297" s="393"/>
    </row>
    <row r="298" spans="1:26" s="108" customFormat="1" ht="30" hidden="1" customHeight="1">
      <c r="A298" s="400"/>
      <c r="B298" s="319" t="s">
        <v>484</v>
      </c>
      <c r="C298" s="319"/>
      <c r="D298" s="322"/>
      <c r="E298" s="322"/>
      <c r="F298" s="319"/>
      <c r="G298" s="319"/>
      <c r="H298" s="321"/>
      <c r="I298" s="321"/>
      <c r="J298" s="321"/>
      <c r="K298" s="321"/>
      <c r="L298" s="32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393"/>
      <c r="Z298" s="393"/>
    </row>
    <row r="299" spans="1:26" s="108" customFormat="1" ht="30" customHeight="1">
      <c r="A299" s="403"/>
      <c r="B299" s="319" t="s">
        <v>484</v>
      </c>
      <c r="C299" s="319"/>
      <c r="D299" s="322"/>
      <c r="E299" s="322"/>
      <c r="F299" s="319"/>
      <c r="G299" s="319"/>
      <c r="H299" s="321"/>
      <c r="I299" s="321"/>
      <c r="J299" s="321"/>
      <c r="K299" s="321"/>
      <c r="L299" s="32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394"/>
      <c r="Z299" s="394"/>
    </row>
    <row r="300" spans="1:26" ht="30" customHeight="1">
      <c r="A300" s="397" t="s">
        <v>221</v>
      </c>
      <c r="B300" s="319" t="s">
        <v>667</v>
      </c>
      <c r="C300" s="12"/>
      <c r="D300" s="178"/>
      <c r="E300" s="178"/>
      <c r="F300" s="12"/>
      <c r="G300" s="12"/>
      <c r="H300" s="42">
        <v>0</v>
      </c>
      <c r="I300" s="42">
        <v>0</v>
      </c>
      <c r="J300" s="42">
        <v>0</v>
      </c>
      <c r="K300" s="42">
        <v>0</v>
      </c>
      <c r="L300" s="42">
        <v>0</v>
      </c>
      <c r="M300" s="59" t="s">
        <v>327</v>
      </c>
      <c r="N300" s="59"/>
      <c r="O300" s="59"/>
      <c r="P300" s="59"/>
      <c r="Q300" s="59"/>
      <c r="R300" s="111" t="s">
        <v>327</v>
      </c>
      <c r="S300" s="111"/>
      <c r="T300" s="111"/>
      <c r="U300" s="111"/>
      <c r="V300" s="111"/>
      <c r="W300" s="59" t="s">
        <v>327</v>
      </c>
      <c r="X300" s="59"/>
      <c r="Y300" s="401" t="s">
        <v>26</v>
      </c>
      <c r="Z300" s="435" t="s">
        <v>270</v>
      </c>
    </row>
    <row r="301" spans="1:26" ht="40.5" customHeight="1">
      <c r="A301" s="398"/>
      <c r="B301" s="12" t="s">
        <v>24</v>
      </c>
      <c r="C301" s="12"/>
      <c r="D301" s="178"/>
      <c r="E301" s="178"/>
      <c r="F301" s="12"/>
      <c r="G301" s="12"/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59"/>
      <c r="N301" s="59"/>
      <c r="O301" s="59"/>
      <c r="P301" s="59"/>
      <c r="Q301" s="59"/>
      <c r="R301" s="111"/>
      <c r="S301" s="111"/>
      <c r="T301" s="111"/>
      <c r="U301" s="111"/>
      <c r="V301" s="111"/>
      <c r="W301" s="59"/>
      <c r="X301" s="59"/>
      <c r="Y301" s="402"/>
      <c r="Z301" s="435"/>
    </row>
    <row r="302" spans="1:26" ht="38.25" customHeight="1">
      <c r="A302" s="398"/>
      <c r="B302" s="12" t="s">
        <v>25</v>
      </c>
      <c r="C302" s="12">
        <v>176</v>
      </c>
      <c r="D302" s="178" t="s">
        <v>554</v>
      </c>
      <c r="E302" s="178" t="s">
        <v>555</v>
      </c>
      <c r="F302" s="12">
        <v>6100004040</v>
      </c>
      <c r="G302" s="12">
        <v>244</v>
      </c>
      <c r="H302" s="13">
        <f t="shared" ref="H302:V302" si="51">H304</f>
        <v>168484.3</v>
      </c>
      <c r="I302" s="13">
        <f t="shared" si="51"/>
        <v>109929.1</v>
      </c>
      <c r="J302" s="13">
        <f t="shared" si="51"/>
        <v>42072.010999999999</v>
      </c>
      <c r="K302" s="13">
        <f t="shared" si="51"/>
        <v>0</v>
      </c>
      <c r="L302" s="13">
        <f t="shared" si="51"/>
        <v>16483.188999999998</v>
      </c>
      <c r="M302" s="59">
        <f t="shared" si="51"/>
        <v>103238.5</v>
      </c>
      <c r="N302" s="59">
        <f t="shared" si="51"/>
        <v>19369.48</v>
      </c>
      <c r="O302" s="59">
        <f t="shared" si="51"/>
        <v>78791.08</v>
      </c>
      <c r="P302" s="59">
        <f t="shared" si="51"/>
        <v>3256.8220000000001</v>
      </c>
      <c r="Q302" s="59">
        <f t="shared" si="51"/>
        <v>1821.1</v>
      </c>
      <c r="R302" s="111">
        <f t="shared" si="51"/>
        <v>114196.1</v>
      </c>
      <c r="S302" s="111">
        <f t="shared" si="51"/>
        <v>4224.8999999999996</v>
      </c>
      <c r="T302" s="111">
        <f t="shared" si="51"/>
        <v>25116.799999999999</v>
      </c>
      <c r="U302" s="111">
        <f t="shared" si="51"/>
        <v>29737.24</v>
      </c>
      <c r="V302" s="111">
        <f t="shared" si="51"/>
        <v>55117.16</v>
      </c>
      <c r="W302" s="59">
        <f>W304</f>
        <v>96658.6</v>
      </c>
      <c r="X302" s="59">
        <f>X304</f>
        <v>150000</v>
      </c>
      <c r="Y302" s="402"/>
      <c r="Z302" s="435"/>
    </row>
    <row r="303" spans="1:26" ht="25.5" customHeight="1">
      <c r="A303" s="398"/>
      <c r="B303" s="12" t="s">
        <v>9</v>
      </c>
      <c r="C303" s="12"/>
      <c r="D303" s="178"/>
      <c r="E303" s="178"/>
      <c r="F303" s="12"/>
      <c r="G303" s="12"/>
      <c r="H303" s="13"/>
      <c r="I303" s="13"/>
      <c r="J303" s="13"/>
      <c r="K303" s="13"/>
      <c r="L303" s="13"/>
      <c r="M303" s="59"/>
      <c r="N303" s="59"/>
      <c r="O303" s="59"/>
      <c r="P303" s="59"/>
      <c r="Q303" s="59"/>
      <c r="R303" s="111"/>
      <c r="S303" s="111"/>
      <c r="T303" s="111"/>
      <c r="U303" s="111"/>
      <c r="V303" s="111"/>
      <c r="W303" s="59"/>
      <c r="X303" s="59"/>
      <c r="Y303" s="402"/>
      <c r="Z303" s="435"/>
    </row>
    <row r="304" spans="1:26" ht="34.5" customHeight="1">
      <c r="A304" s="398"/>
      <c r="B304" s="12" t="s">
        <v>10</v>
      </c>
      <c r="C304" s="12">
        <v>176</v>
      </c>
      <c r="D304" s="178" t="s">
        <v>554</v>
      </c>
      <c r="E304" s="178" t="s">
        <v>555</v>
      </c>
      <c r="F304" s="12">
        <v>6100004040</v>
      </c>
      <c r="G304" s="12">
        <v>244</v>
      </c>
      <c r="H304" s="13">
        <f>SUM(I304:L304)</f>
        <v>168484.3</v>
      </c>
      <c r="I304" s="13">
        <v>109929.1</v>
      </c>
      <c r="J304" s="13">
        <v>42072.010999999999</v>
      </c>
      <c r="K304" s="13">
        <v>0</v>
      </c>
      <c r="L304" s="13">
        <v>16483.188999999998</v>
      </c>
      <c r="M304" s="59">
        <f>179180.3-10000-11893.8-33596-20452</f>
        <v>103238.5</v>
      </c>
      <c r="N304" s="59">
        <v>19369.48</v>
      </c>
      <c r="O304" s="59">
        <v>78791.08</v>
      </c>
      <c r="P304" s="59">
        <v>3256.8220000000001</v>
      </c>
      <c r="Q304" s="59">
        <v>1821.1</v>
      </c>
      <c r="R304" s="111">
        <v>114196.1</v>
      </c>
      <c r="S304" s="111">
        <f>S317</f>
        <v>4224.8999999999996</v>
      </c>
      <c r="T304" s="111">
        <v>25116.799999999999</v>
      </c>
      <c r="U304" s="111">
        <v>29737.24</v>
      </c>
      <c r="V304" s="111">
        <f>R304-S304-T304-U304</f>
        <v>55117.16</v>
      </c>
      <c r="W304" s="59">
        <v>96658.6</v>
      </c>
      <c r="X304" s="59">
        <v>150000</v>
      </c>
      <c r="Y304" s="402"/>
      <c r="Z304" s="435"/>
    </row>
    <row r="305" spans="1:26" ht="30" customHeight="1">
      <c r="A305" s="41"/>
      <c r="B305" s="12" t="s">
        <v>463</v>
      </c>
      <c r="C305" s="12"/>
      <c r="D305" s="178"/>
      <c r="E305" s="178"/>
      <c r="F305" s="12"/>
      <c r="G305" s="12"/>
      <c r="H305" s="42">
        <v>0</v>
      </c>
      <c r="I305" s="42">
        <v>0</v>
      </c>
      <c r="J305" s="42">
        <v>0</v>
      </c>
      <c r="K305" s="42">
        <v>0</v>
      </c>
      <c r="L305" s="42">
        <v>0</v>
      </c>
      <c r="M305" s="59"/>
      <c r="N305" s="59"/>
      <c r="O305" s="59"/>
      <c r="P305" s="59"/>
      <c r="Q305" s="59"/>
      <c r="R305" s="111"/>
      <c r="S305" s="111"/>
      <c r="T305" s="111"/>
      <c r="U305" s="111"/>
      <c r="V305" s="111"/>
      <c r="W305" s="59"/>
      <c r="X305" s="59"/>
      <c r="Y305" s="38"/>
      <c r="Z305" s="435"/>
    </row>
    <row r="306" spans="1:26" ht="33.75" customHeight="1">
      <c r="A306" s="41"/>
      <c r="B306" s="12" t="s">
        <v>462</v>
      </c>
      <c r="C306" s="12"/>
      <c r="D306" s="178"/>
      <c r="E306" s="178"/>
      <c r="F306" s="12"/>
      <c r="G306" s="12"/>
      <c r="H306" s="42">
        <v>0</v>
      </c>
      <c r="I306" s="42">
        <v>0</v>
      </c>
      <c r="J306" s="42">
        <v>0</v>
      </c>
      <c r="K306" s="42">
        <v>0</v>
      </c>
      <c r="L306" s="42">
        <v>0</v>
      </c>
      <c r="M306" s="59"/>
      <c r="N306" s="59"/>
      <c r="O306" s="59"/>
      <c r="P306" s="59"/>
      <c r="Q306" s="59"/>
      <c r="R306" s="111"/>
      <c r="S306" s="111"/>
      <c r="T306" s="111"/>
      <c r="U306" s="111"/>
      <c r="V306" s="111"/>
      <c r="W306" s="59"/>
      <c r="X306" s="59"/>
      <c r="Y306" s="38"/>
      <c r="Z306" s="435"/>
    </row>
    <row r="307" spans="1:26" ht="33.75" customHeight="1">
      <c r="A307" s="41"/>
      <c r="B307" s="12" t="s">
        <v>484</v>
      </c>
      <c r="C307" s="12"/>
      <c r="D307" s="178"/>
      <c r="E307" s="178"/>
      <c r="F307" s="12"/>
      <c r="G307" s="12"/>
      <c r="H307" s="42"/>
      <c r="I307" s="42"/>
      <c r="J307" s="42"/>
      <c r="K307" s="42"/>
      <c r="L307" s="42"/>
      <c r="M307" s="59"/>
      <c r="N307" s="59"/>
      <c r="O307" s="59"/>
      <c r="P307" s="59"/>
      <c r="Q307" s="59"/>
      <c r="R307" s="111"/>
      <c r="S307" s="111"/>
      <c r="T307" s="111"/>
      <c r="U307" s="111"/>
      <c r="V307" s="111"/>
      <c r="W307" s="59"/>
      <c r="X307" s="59"/>
      <c r="Y307" s="38"/>
      <c r="Z307" s="435"/>
    </row>
    <row r="308" spans="1:26" s="108" customFormat="1" ht="26.45" customHeight="1">
      <c r="A308" s="399" t="s">
        <v>571</v>
      </c>
      <c r="B308" s="319" t="s">
        <v>667</v>
      </c>
      <c r="C308" s="319"/>
      <c r="D308" s="319"/>
      <c r="E308" s="319"/>
      <c r="F308" s="319"/>
      <c r="G308" s="319"/>
      <c r="H308" s="320"/>
      <c r="I308" s="319"/>
      <c r="J308" s="319"/>
      <c r="K308" s="319"/>
      <c r="L308" s="32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392"/>
      <c r="Z308" s="401" t="s">
        <v>578</v>
      </c>
    </row>
    <row r="309" spans="1:26" s="108" customFormat="1" ht="44.25" customHeight="1">
      <c r="A309" s="400"/>
      <c r="B309" s="319" t="s">
        <v>560</v>
      </c>
      <c r="C309" s="319"/>
      <c r="D309" s="319"/>
      <c r="E309" s="319"/>
      <c r="F309" s="319"/>
      <c r="G309" s="319"/>
      <c r="H309" s="321"/>
      <c r="I309" s="321"/>
      <c r="J309" s="321"/>
      <c r="K309" s="321"/>
      <c r="L309" s="32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393"/>
      <c r="Z309" s="402"/>
    </row>
    <row r="310" spans="1:26" s="108" customFormat="1" ht="30.75" customHeight="1">
      <c r="A310" s="400"/>
      <c r="B310" s="319" t="s">
        <v>617</v>
      </c>
      <c r="C310" s="319">
        <v>176</v>
      </c>
      <c r="D310" s="322" t="s">
        <v>554</v>
      </c>
      <c r="E310" s="322" t="s">
        <v>555</v>
      </c>
      <c r="F310" s="319">
        <v>6100004040</v>
      </c>
      <c r="G310" s="319">
        <v>244</v>
      </c>
      <c r="H310" s="321"/>
      <c r="I310" s="321"/>
      <c r="J310" s="321"/>
      <c r="K310" s="321"/>
      <c r="L310" s="321"/>
      <c r="M310" s="111"/>
      <c r="N310" s="111"/>
      <c r="O310" s="111"/>
      <c r="P310" s="111"/>
      <c r="Q310" s="111"/>
      <c r="R310" s="111">
        <f>R311</f>
        <v>109971.20000000001</v>
      </c>
      <c r="S310" s="111">
        <f t="shared" ref="S310:V310" si="52">S311</f>
        <v>0</v>
      </c>
      <c r="T310" s="111">
        <f t="shared" si="52"/>
        <v>25116.799999999999</v>
      </c>
      <c r="U310" s="111">
        <f t="shared" si="52"/>
        <v>29737.24</v>
      </c>
      <c r="V310" s="111">
        <f t="shared" si="52"/>
        <v>55117.16</v>
      </c>
      <c r="W310" s="111">
        <f t="shared" ref="W310" si="53">W311</f>
        <v>96658.6</v>
      </c>
      <c r="X310" s="111">
        <f t="shared" ref="X310" si="54">X311</f>
        <v>150000</v>
      </c>
      <c r="Y310" s="393"/>
      <c r="Z310" s="402"/>
    </row>
    <row r="311" spans="1:26" s="108" customFormat="1" ht="32.450000000000003" customHeight="1">
      <c r="A311" s="400"/>
      <c r="B311" s="323" t="s">
        <v>285</v>
      </c>
      <c r="C311" s="319">
        <v>176</v>
      </c>
      <c r="D311" s="322" t="s">
        <v>554</v>
      </c>
      <c r="E311" s="322" t="s">
        <v>555</v>
      </c>
      <c r="F311" s="319">
        <v>6100004040</v>
      </c>
      <c r="G311" s="319">
        <v>244</v>
      </c>
      <c r="H311" s="321"/>
      <c r="I311" s="321"/>
      <c r="J311" s="321"/>
      <c r="K311" s="321"/>
      <c r="L311" s="321"/>
      <c r="M311" s="111"/>
      <c r="N311" s="111"/>
      <c r="O311" s="111"/>
      <c r="P311" s="111"/>
      <c r="Q311" s="111"/>
      <c r="R311" s="111">
        <f>R304-R317</f>
        <v>109971.20000000001</v>
      </c>
      <c r="S311" s="111">
        <v>0</v>
      </c>
      <c r="T311" s="111">
        <v>25116.799999999999</v>
      </c>
      <c r="U311" s="111">
        <v>29737.24</v>
      </c>
      <c r="V311" s="111">
        <f>R311-S311-T311-U311</f>
        <v>55117.16</v>
      </c>
      <c r="W311" s="111">
        <f t="shared" ref="W311:X311" si="55">W304</f>
        <v>96658.6</v>
      </c>
      <c r="X311" s="111">
        <f t="shared" si="55"/>
        <v>150000</v>
      </c>
      <c r="Y311" s="393"/>
      <c r="Z311" s="402"/>
    </row>
    <row r="312" spans="1:26" s="108" customFormat="1" ht="30" customHeight="1">
      <c r="A312" s="400"/>
      <c r="B312" s="12" t="s">
        <v>463</v>
      </c>
      <c r="C312" s="319"/>
      <c r="D312" s="322"/>
      <c r="E312" s="322"/>
      <c r="F312" s="319"/>
      <c r="G312" s="319"/>
      <c r="H312" s="321"/>
      <c r="I312" s="321"/>
      <c r="J312" s="321"/>
      <c r="K312" s="321"/>
      <c r="L312" s="32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393"/>
      <c r="Z312" s="402"/>
    </row>
    <row r="313" spans="1:26" s="108" customFormat="1" ht="27.75" customHeight="1">
      <c r="A313" s="400"/>
      <c r="B313" s="319" t="s">
        <v>462</v>
      </c>
      <c r="C313" s="319"/>
      <c r="D313" s="322"/>
      <c r="E313" s="322"/>
      <c r="F313" s="319"/>
      <c r="G313" s="319"/>
      <c r="H313" s="321"/>
      <c r="I313" s="321"/>
      <c r="J313" s="321"/>
      <c r="K313" s="321"/>
      <c r="L313" s="32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393"/>
      <c r="Z313" s="402"/>
    </row>
    <row r="314" spans="1:26" s="108" customFormat="1" ht="104.25" customHeight="1">
      <c r="A314" s="403"/>
      <c r="B314" s="319" t="s">
        <v>484</v>
      </c>
      <c r="C314" s="319"/>
      <c r="D314" s="322"/>
      <c r="E314" s="322"/>
      <c r="F314" s="319"/>
      <c r="G314" s="319"/>
      <c r="H314" s="321"/>
      <c r="I314" s="321"/>
      <c r="J314" s="321"/>
      <c r="K314" s="321"/>
      <c r="L314" s="32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394"/>
      <c r="Z314" s="405"/>
    </row>
    <row r="315" spans="1:26" s="108" customFormat="1" ht="26.45" customHeight="1">
      <c r="A315" s="399" t="s">
        <v>570</v>
      </c>
      <c r="B315" s="319" t="s">
        <v>667</v>
      </c>
      <c r="C315" s="319"/>
      <c r="D315" s="319"/>
      <c r="E315" s="319"/>
      <c r="F315" s="319"/>
      <c r="G315" s="319"/>
      <c r="H315" s="320"/>
      <c r="I315" s="319"/>
      <c r="J315" s="319"/>
      <c r="K315" s="319"/>
      <c r="L315" s="32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392"/>
      <c r="Z315" s="392" t="s">
        <v>576</v>
      </c>
    </row>
    <row r="316" spans="1:26" s="108" customFormat="1" ht="31.5" customHeight="1">
      <c r="A316" s="400"/>
      <c r="B316" s="319" t="s">
        <v>560</v>
      </c>
      <c r="C316" s="319"/>
      <c r="D316" s="319"/>
      <c r="E316" s="319"/>
      <c r="F316" s="319"/>
      <c r="G316" s="319"/>
      <c r="H316" s="321"/>
      <c r="I316" s="321"/>
      <c r="J316" s="321"/>
      <c r="K316" s="321"/>
      <c r="L316" s="32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393"/>
      <c r="Z316" s="393"/>
    </row>
    <row r="317" spans="1:26" s="108" customFormat="1" ht="30.75" customHeight="1">
      <c r="A317" s="400"/>
      <c r="B317" s="319" t="s">
        <v>561</v>
      </c>
      <c r="C317" s="319">
        <v>176</v>
      </c>
      <c r="D317" s="322" t="s">
        <v>554</v>
      </c>
      <c r="E317" s="322" t="s">
        <v>555</v>
      </c>
      <c r="F317" s="319">
        <v>6100004040</v>
      </c>
      <c r="G317" s="319">
        <v>244</v>
      </c>
      <c r="H317" s="321"/>
      <c r="I317" s="321"/>
      <c r="J317" s="321"/>
      <c r="K317" s="321"/>
      <c r="L317" s="321"/>
      <c r="M317" s="111"/>
      <c r="N317" s="111"/>
      <c r="O317" s="111"/>
      <c r="P317" s="111"/>
      <c r="Q317" s="111"/>
      <c r="R317" s="111">
        <f>R318</f>
        <v>4224.8999999999996</v>
      </c>
      <c r="S317" s="111">
        <f>S318</f>
        <v>4224.8999999999996</v>
      </c>
      <c r="T317" s="111"/>
      <c r="U317" s="111"/>
      <c r="V317" s="111"/>
      <c r="W317" s="111"/>
      <c r="X317" s="111"/>
      <c r="Y317" s="393"/>
      <c r="Z317" s="393"/>
    </row>
    <row r="318" spans="1:26" s="108" customFormat="1" ht="32.450000000000003" customHeight="1">
      <c r="A318" s="400"/>
      <c r="B318" s="323" t="s">
        <v>563</v>
      </c>
      <c r="C318" s="319">
        <v>176</v>
      </c>
      <c r="D318" s="322" t="s">
        <v>554</v>
      </c>
      <c r="E318" s="322" t="s">
        <v>555</v>
      </c>
      <c r="F318" s="319">
        <v>6100004040</v>
      </c>
      <c r="G318" s="319">
        <v>244</v>
      </c>
      <c r="H318" s="321"/>
      <c r="I318" s="321"/>
      <c r="J318" s="321"/>
      <c r="K318" s="321"/>
      <c r="L318" s="321"/>
      <c r="M318" s="111"/>
      <c r="N318" s="111"/>
      <c r="O318" s="111"/>
      <c r="P318" s="111"/>
      <c r="Q318" s="111"/>
      <c r="R318" s="111">
        <v>4224.8999999999996</v>
      </c>
      <c r="S318" s="111">
        <v>4224.8999999999996</v>
      </c>
      <c r="T318" s="111"/>
      <c r="U318" s="111"/>
      <c r="V318" s="111"/>
      <c r="W318" s="111"/>
      <c r="X318" s="111"/>
      <c r="Y318" s="393"/>
      <c r="Z318" s="393"/>
    </row>
    <row r="319" spans="1:26" s="108" customFormat="1" ht="30" customHeight="1">
      <c r="A319" s="400"/>
      <c r="B319" s="319" t="s">
        <v>463</v>
      </c>
      <c r="C319" s="319"/>
      <c r="D319" s="322"/>
      <c r="E319" s="322"/>
      <c r="F319" s="319"/>
      <c r="G319" s="319"/>
      <c r="H319" s="321"/>
      <c r="I319" s="321"/>
      <c r="J319" s="321"/>
      <c r="K319" s="321"/>
      <c r="L319" s="32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393"/>
      <c r="Z319" s="393"/>
    </row>
    <row r="320" spans="1:26" s="108" customFormat="1" ht="31.5" customHeight="1">
      <c r="A320" s="400"/>
      <c r="B320" s="319" t="s">
        <v>462</v>
      </c>
      <c r="C320" s="319"/>
      <c r="D320" s="322"/>
      <c r="E320" s="322"/>
      <c r="F320" s="319"/>
      <c r="G320" s="319"/>
      <c r="H320" s="321"/>
      <c r="I320" s="321"/>
      <c r="J320" s="321"/>
      <c r="K320" s="321"/>
      <c r="L320" s="32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393"/>
      <c r="Z320" s="393"/>
    </row>
    <row r="321" spans="1:27" s="108" customFormat="1" ht="30" customHeight="1">
      <c r="A321" s="403"/>
      <c r="B321" s="319" t="s">
        <v>484</v>
      </c>
      <c r="C321" s="319"/>
      <c r="D321" s="322"/>
      <c r="E321" s="322"/>
      <c r="F321" s="319"/>
      <c r="G321" s="319"/>
      <c r="H321" s="321"/>
      <c r="I321" s="321"/>
      <c r="J321" s="321"/>
      <c r="K321" s="321"/>
      <c r="L321" s="32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394"/>
      <c r="Z321" s="394"/>
    </row>
    <row r="322" spans="1:27" ht="27" customHeight="1">
      <c r="A322" s="397" t="s">
        <v>222</v>
      </c>
      <c r="B322" s="12" t="s">
        <v>91</v>
      </c>
      <c r="C322" s="12"/>
      <c r="D322" s="178"/>
      <c r="E322" s="178"/>
      <c r="F322" s="12"/>
      <c r="G322" s="12"/>
      <c r="H322" s="42">
        <v>0</v>
      </c>
      <c r="I322" s="42">
        <v>0</v>
      </c>
      <c r="J322" s="42">
        <v>0</v>
      </c>
      <c r="K322" s="42">
        <v>0</v>
      </c>
      <c r="L322" s="42">
        <v>0</v>
      </c>
      <c r="M322" s="59" t="s">
        <v>327</v>
      </c>
      <c r="N322" s="59"/>
      <c r="O322" s="59"/>
      <c r="P322" s="59"/>
      <c r="Q322" s="59"/>
      <c r="R322" s="111">
        <f>R330</f>
        <v>169.2</v>
      </c>
      <c r="S322" s="111"/>
      <c r="T322" s="111"/>
      <c r="U322" s="111"/>
      <c r="V322" s="111"/>
      <c r="W322" s="59">
        <f>W330</f>
        <v>86.7</v>
      </c>
      <c r="X322" s="59">
        <v>55.7</v>
      </c>
      <c r="Y322" s="401" t="s">
        <v>26</v>
      </c>
      <c r="Z322" s="435" t="s">
        <v>205</v>
      </c>
    </row>
    <row r="323" spans="1:27" ht="43.5" customHeight="1">
      <c r="A323" s="398"/>
      <c r="B323" s="12" t="s">
        <v>24</v>
      </c>
      <c r="C323" s="12"/>
      <c r="D323" s="178"/>
      <c r="E323" s="178"/>
      <c r="F323" s="12"/>
      <c r="G323" s="12"/>
      <c r="H323" s="42">
        <v>0</v>
      </c>
      <c r="I323" s="42">
        <v>0</v>
      </c>
      <c r="J323" s="42">
        <v>0</v>
      </c>
      <c r="K323" s="42">
        <v>0</v>
      </c>
      <c r="L323" s="42">
        <v>0</v>
      </c>
      <c r="M323" s="59"/>
      <c r="N323" s="59"/>
      <c r="O323" s="59"/>
      <c r="P323" s="59"/>
      <c r="Q323" s="59"/>
      <c r="R323" s="111">
        <f>R324/R322</f>
        <v>5947.6381323877076</v>
      </c>
      <c r="S323" s="111"/>
      <c r="T323" s="111"/>
      <c r="U323" s="111"/>
      <c r="V323" s="111"/>
      <c r="W323" s="111">
        <v>6658.6340621403897</v>
      </c>
      <c r="X323" s="111">
        <f>X324/X322</f>
        <v>7531.4685816876117</v>
      </c>
      <c r="Y323" s="402"/>
      <c r="Z323" s="435"/>
    </row>
    <row r="324" spans="1:27" ht="33.75" customHeight="1">
      <c r="A324" s="41"/>
      <c r="B324" s="12" t="s">
        <v>25</v>
      </c>
      <c r="C324" s="12">
        <v>176</v>
      </c>
      <c r="D324" s="178" t="s">
        <v>554</v>
      </c>
      <c r="E324" s="178" t="s">
        <v>555</v>
      </c>
      <c r="F324" s="12">
        <v>6100004040</v>
      </c>
      <c r="G324" s="12">
        <v>244</v>
      </c>
      <c r="H324" s="13">
        <f t="shared" ref="H324:V324" si="56">H326</f>
        <v>471538.50000000006</v>
      </c>
      <c r="I324" s="13">
        <f t="shared" si="56"/>
        <v>98825.3</v>
      </c>
      <c r="J324" s="13">
        <f t="shared" si="56"/>
        <v>186244.05599999995</v>
      </c>
      <c r="K324" s="13">
        <f t="shared" si="56"/>
        <v>93862.900000000023</v>
      </c>
      <c r="L324" s="13">
        <f t="shared" si="56"/>
        <v>92606.299999999974</v>
      </c>
      <c r="M324" s="59">
        <f t="shared" si="56"/>
        <v>613669.1</v>
      </c>
      <c r="N324" s="59">
        <f t="shared" si="56"/>
        <v>274168.0493502465</v>
      </c>
      <c r="O324" s="59">
        <f t="shared" si="56"/>
        <v>70347.058700493129</v>
      </c>
      <c r="P324" s="59">
        <f t="shared" si="56"/>
        <v>152928.4</v>
      </c>
      <c r="Q324" s="59">
        <f t="shared" si="56"/>
        <v>116225.60519802752</v>
      </c>
      <c r="R324" s="111">
        <f t="shared" si="56"/>
        <v>1006340.3720000001</v>
      </c>
      <c r="S324" s="111">
        <f t="shared" si="56"/>
        <v>25598.2</v>
      </c>
      <c r="T324" s="111">
        <f t="shared" si="56"/>
        <v>89802.299999999988</v>
      </c>
      <c r="U324" s="111">
        <f t="shared" si="56"/>
        <v>181477.5</v>
      </c>
      <c r="V324" s="111">
        <f t="shared" si="56"/>
        <v>709462.37200000009</v>
      </c>
      <c r="W324" s="59">
        <f>W326</f>
        <v>578635.29999999993</v>
      </c>
      <c r="X324" s="59">
        <f>X326</f>
        <v>419502.8</v>
      </c>
      <c r="Y324" s="402"/>
      <c r="Z324" s="435"/>
    </row>
    <row r="325" spans="1:27">
      <c r="A325" s="41"/>
      <c r="B325" s="12" t="s">
        <v>9</v>
      </c>
      <c r="C325" s="12"/>
      <c r="D325" s="178"/>
      <c r="E325" s="178"/>
      <c r="F325" s="12"/>
      <c r="G325" s="12"/>
      <c r="H325" s="13"/>
      <c r="I325" s="13"/>
      <c r="J325" s="13"/>
      <c r="K325" s="13"/>
      <c r="L325" s="13"/>
      <c r="M325" s="59"/>
      <c r="N325" s="59"/>
      <c r="O325" s="59"/>
      <c r="P325" s="59"/>
      <c r="Q325" s="59"/>
      <c r="R325" s="111"/>
      <c r="S325" s="111"/>
      <c r="T325" s="111"/>
      <c r="U325" s="111"/>
      <c r="V325" s="111"/>
      <c r="W325" s="59"/>
      <c r="X325" s="59"/>
      <c r="Y325" s="402"/>
      <c r="Z325" s="435"/>
    </row>
    <row r="326" spans="1:27" ht="36.75" customHeight="1">
      <c r="A326" s="41"/>
      <c r="B326" s="12" t="s">
        <v>10</v>
      </c>
      <c r="C326" s="12">
        <v>176</v>
      </c>
      <c r="D326" s="178" t="s">
        <v>554</v>
      </c>
      <c r="E326" s="178" t="s">
        <v>555</v>
      </c>
      <c r="F326" s="12">
        <v>6100004040</v>
      </c>
      <c r="G326" s="12">
        <v>244</v>
      </c>
      <c r="H326" s="13">
        <f>SUM(H335:H365)</f>
        <v>471538.50000000006</v>
      </c>
      <c r="I326" s="13">
        <f>SUM(I335:I365)</f>
        <v>98825.3</v>
      </c>
      <c r="J326" s="13">
        <f t="shared" ref="J326:X326" si="57">SUM(J335:J364)</f>
        <v>186244.05599999995</v>
      </c>
      <c r="K326" s="13">
        <f t="shared" si="57"/>
        <v>93862.900000000023</v>
      </c>
      <c r="L326" s="13">
        <f t="shared" si="57"/>
        <v>92606.299999999974</v>
      </c>
      <c r="M326" s="59">
        <f>SUM(M335:M365)</f>
        <v>613669.1</v>
      </c>
      <c r="N326" s="59">
        <f>SUM(N335:N365)</f>
        <v>274168.0493502465</v>
      </c>
      <c r="O326" s="59">
        <f t="shared" si="57"/>
        <v>70347.058700493129</v>
      </c>
      <c r="P326" s="59">
        <f t="shared" si="57"/>
        <v>152928.4</v>
      </c>
      <c r="Q326" s="59">
        <f t="shared" si="57"/>
        <v>116225.60519802752</v>
      </c>
      <c r="R326" s="111">
        <f>R332+R369</f>
        <v>1006340.3720000001</v>
      </c>
      <c r="S326" s="111">
        <f t="shared" ref="S326:V326" si="58">S332+S369</f>
        <v>25598.2</v>
      </c>
      <c r="T326" s="111">
        <f t="shared" si="58"/>
        <v>89802.299999999988</v>
      </c>
      <c r="U326" s="111">
        <f t="shared" si="58"/>
        <v>181477.5</v>
      </c>
      <c r="V326" s="111">
        <f t="shared" si="58"/>
        <v>709462.37200000009</v>
      </c>
      <c r="W326" s="59">
        <f t="shared" si="57"/>
        <v>578635.29999999993</v>
      </c>
      <c r="X326" s="59">
        <f t="shared" si="57"/>
        <v>419502.8</v>
      </c>
      <c r="Y326" s="402"/>
      <c r="Z326" s="435"/>
    </row>
    <row r="327" spans="1:27" ht="27.75" customHeight="1">
      <c r="A327" s="41"/>
      <c r="B327" s="12" t="s">
        <v>463</v>
      </c>
      <c r="C327" s="12"/>
      <c r="D327" s="178"/>
      <c r="E327" s="178"/>
      <c r="F327" s="12"/>
      <c r="G327" s="12"/>
      <c r="H327" s="42">
        <v>0</v>
      </c>
      <c r="I327" s="42">
        <v>0</v>
      </c>
      <c r="J327" s="42">
        <v>0</v>
      </c>
      <c r="K327" s="42">
        <v>0</v>
      </c>
      <c r="L327" s="42">
        <v>0</v>
      </c>
      <c r="M327" s="59"/>
      <c r="N327" s="59"/>
      <c r="O327" s="59"/>
      <c r="P327" s="59"/>
      <c r="Q327" s="59"/>
      <c r="R327" s="111"/>
      <c r="S327" s="111"/>
      <c r="T327" s="111"/>
      <c r="U327" s="111"/>
      <c r="V327" s="111"/>
      <c r="W327" s="59"/>
      <c r="X327" s="59"/>
      <c r="Y327" s="402"/>
      <c r="Z327" s="435"/>
    </row>
    <row r="328" spans="1:27" ht="28.5" customHeight="1">
      <c r="A328" s="41"/>
      <c r="B328" s="12" t="s">
        <v>462</v>
      </c>
      <c r="C328" s="12"/>
      <c r="D328" s="178"/>
      <c r="E328" s="178"/>
      <c r="F328" s="12"/>
      <c r="G328" s="12"/>
      <c r="H328" s="42">
        <v>0</v>
      </c>
      <c r="I328" s="42">
        <v>0</v>
      </c>
      <c r="J328" s="42">
        <v>0</v>
      </c>
      <c r="K328" s="42">
        <v>0</v>
      </c>
      <c r="L328" s="42">
        <v>0</v>
      </c>
      <c r="M328" s="59"/>
      <c r="N328" s="59"/>
      <c r="O328" s="59"/>
      <c r="P328" s="59"/>
      <c r="Q328" s="59"/>
      <c r="R328" s="111"/>
      <c r="S328" s="111"/>
      <c r="T328" s="111"/>
      <c r="U328" s="111"/>
      <c r="V328" s="111"/>
      <c r="W328" s="59"/>
      <c r="X328" s="59"/>
      <c r="Y328" s="402"/>
      <c r="Z328" s="435"/>
    </row>
    <row r="329" spans="1:27" ht="39.75" customHeight="1">
      <c r="A329" s="50"/>
      <c r="B329" s="12" t="s">
        <v>484</v>
      </c>
      <c r="C329" s="12"/>
      <c r="D329" s="178"/>
      <c r="E329" s="178"/>
      <c r="F329" s="12"/>
      <c r="G329" s="12"/>
      <c r="H329" s="42">
        <v>0</v>
      </c>
      <c r="I329" s="42">
        <v>0</v>
      </c>
      <c r="J329" s="42">
        <v>0</v>
      </c>
      <c r="K329" s="42">
        <v>0</v>
      </c>
      <c r="L329" s="42">
        <v>0</v>
      </c>
      <c r="M329" s="59"/>
      <c r="N329" s="59"/>
      <c r="O329" s="59"/>
      <c r="P329" s="59"/>
      <c r="Q329" s="59"/>
      <c r="R329" s="111"/>
      <c r="S329" s="111"/>
      <c r="T329" s="111"/>
      <c r="U329" s="111"/>
      <c r="V329" s="111"/>
      <c r="W329" s="59"/>
      <c r="X329" s="59"/>
      <c r="Y329" s="405"/>
      <c r="Z329" s="435"/>
    </row>
    <row r="330" spans="1:27" ht="33" customHeight="1">
      <c r="A330" s="397" t="s">
        <v>572</v>
      </c>
      <c r="B330" s="12" t="s">
        <v>91</v>
      </c>
      <c r="C330" s="12"/>
      <c r="D330" s="178"/>
      <c r="E330" s="178"/>
      <c r="F330" s="12"/>
      <c r="G330" s="12"/>
      <c r="H330" s="42"/>
      <c r="I330" s="42"/>
      <c r="J330" s="42"/>
      <c r="K330" s="42"/>
      <c r="L330" s="42"/>
      <c r="M330" s="59"/>
      <c r="N330" s="59"/>
      <c r="O330" s="59"/>
      <c r="P330" s="59"/>
      <c r="Q330" s="59"/>
      <c r="R330" s="59">
        <v>169.2</v>
      </c>
      <c r="S330" s="59"/>
      <c r="T330" s="59"/>
      <c r="U330" s="111"/>
      <c r="V330" s="111"/>
      <c r="W330" s="59">
        <v>86.7</v>
      </c>
      <c r="X330" s="59">
        <v>55.7</v>
      </c>
      <c r="Y330" s="327"/>
      <c r="Z330" s="401" t="s">
        <v>575</v>
      </c>
    </row>
    <row r="331" spans="1:27" ht="33" customHeight="1">
      <c r="A331" s="398"/>
      <c r="B331" s="12" t="s">
        <v>24</v>
      </c>
      <c r="C331" s="12">
        <v>176</v>
      </c>
      <c r="D331" s="178" t="s">
        <v>554</v>
      </c>
      <c r="E331" s="178" t="s">
        <v>555</v>
      </c>
      <c r="F331" s="12">
        <v>6100004040</v>
      </c>
      <c r="G331" s="12">
        <v>244</v>
      </c>
      <c r="H331" s="42"/>
      <c r="I331" s="42"/>
      <c r="J331" s="42"/>
      <c r="K331" s="42"/>
      <c r="L331" s="42"/>
      <c r="M331" s="59"/>
      <c r="N331" s="59"/>
      <c r="O331" s="59"/>
      <c r="P331" s="59"/>
      <c r="Q331" s="59"/>
      <c r="R331" s="59">
        <f>R332/R330</f>
        <v>5940.2451063829794</v>
      </c>
      <c r="S331" s="59"/>
      <c r="T331" s="59"/>
      <c r="U331" s="111"/>
      <c r="V331" s="111"/>
      <c r="W331" s="59">
        <f>W332/W330</f>
        <v>6673.994232987312</v>
      </c>
      <c r="X331" s="59">
        <f>X332/X330</f>
        <v>7531.4685816876117</v>
      </c>
      <c r="Y331" s="327"/>
      <c r="Z331" s="402"/>
    </row>
    <row r="332" spans="1:27" ht="33" customHeight="1">
      <c r="A332" s="398"/>
      <c r="B332" s="12" t="s">
        <v>25</v>
      </c>
      <c r="C332" s="12">
        <v>176</v>
      </c>
      <c r="D332" s="178" t="s">
        <v>554</v>
      </c>
      <c r="E332" s="178" t="s">
        <v>555</v>
      </c>
      <c r="F332" s="12">
        <v>6100004040</v>
      </c>
      <c r="G332" s="12">
        <v>244</v>
      </c>
      <c r="H332" s="42"/>
      <c r="I332" s="42"/>
      <c r="J332" s="42"/>
      <c r="K332" s="42"/>
      <c r="L332" s="42"/>
      <c r="M332" s="59"/>
      <c r="N332" s="59"/>
      <c r="O332" s="59"/>
      <c r="P332" s="59"/>
      <c r="Q332" s="59"/>
      <c r="R332" s="59">
        <f>R333</f>
        <v>1005089.4720000001</v>
      </c>
      <c r="S332" s="59">
        <f t="shared" ref="S332:X332" si="59">S333</f>
        <v>24347.3</v>
      </c>
      <c r="T332" s="59">
        <f t="shared" si="59"/>
        <v>89802.299999999988</v>
      </c>
      <c r="U332" s="111">
        <f t="shared" si="59"/>
        <v>181477.5</v>
      </c>
      <c r="V332" s="111">
        <f t="shared" si="59"/>
        <v>709462.37200000009</v>
      </c>
      <c r="W332" s="111">
        <f t="shared" si="59"/>
        <v>578635.29999999993</v>
      </c>
      <c r="X332" s="111">
        <f t="shared" si="59"/>
        <v>419502.8</v>
      </c>
      <c r="Y332" s="327"/>
      <c r="Z332" s="402"/>
    </row>
    <row r="333" spans="1:27" ht="33" customHeight="1">
      <c r="A333" s="418"/>
      <c r="B333" s="12" t="s">
        <v>10</v>
      </c>
      <c r="C333" s="12">
        <v>176</v>
      </c>
      <c r="D333" s="178" t="s">
        <v>554</v>
      </c>
      <c r="E333" s="178" t="s">
        <v>555</v>
      </c>
      <c r="F333" s="12">
        <v>6100004040</v>
      </c>
      <c r="G333" s="12">
        <v>244</v>
      </c>
      <c r="H333" s="42"/>
      <c r="I333" s="42"/>
      <c r="J333" s="42"/>
      <c r="K333" s="42"/>
      <c r="L333" s="42"/>
      <c r="M333" s="59"/>
      <c r="N333" s="59"/>
      <c r="O333" s="59"/>
      <c r="P333" s="59"/>
      <c r="Q333" s="59"/>
      <c r="R333" s="59">
        <f>SUM(R335:R364)</f>
        <v>1005089.4720000001</v>
      </c>
      <c r="S333" s="59">
        <f t="shared" ref="S333:X333" si="60">SUM(S335:S364)</f>
        <v>24347.3</v>
      </c>
      <c r="T333" s="59">
        <f t="shared" si="60"/>
        <v>89802.299999999988</v>
      </c>
      <c r="U333" s="111">
        <f t="shared" si="60"/>
        <v>181477.5</v>
      </c>
      <c r="V333" s="111">
        <f t="shared" si="60"/>
        <v>709462.37200000009</v>
      </c>
      <c r="W333" s="111">
        <f t="shared" si="60"/>
        <v>578635.29999999993</v>
      </c>
      <c r="X333" s="111">
        <f t="shared" si="60"/>
        <v>419502.8</v>
      </c>
      <c r="Y333" s="327"/>
      <c r="Z333" s="402"/>
      <c r="AA333" s="99"/>
    </row>
    <row r="334" spans="1:27" ht="17.25" customHeight="1">
      <c r="A334" s="328" t="s">
        <v>41</v>
      </c>
      <c r="B334" s="337"/>
      <c r="C334" s="337"/>
      <c r="D334" s="317"/>
      <c r="E334" s="317"/>
      <c r="F334" s="337"/>
      <c r="G334" s="337"/>
      <c r="H334" s="31"/>
      <c r="I334" s="31"/>
      <c r="J334" s="31"/>
      <c r="K334" s="31"/>
      <c r="L334" s="31"/>
      <c r="M334" s="86"/>
      <c r="N334" s="86"/>
      <c r="O334" s="86"/>
      <c r="P334" s="86"/>
      <c r="Q334" s="86"/>
      <c r="R334" s="86"/>
      <c r="S334" s="86"/>
      <c r="T334" s="86"/>
      <c r="U334" s="112"/>
      <c r="V334" s="112"/>
      <c r="W334" s="86"/>
      <c r="X334" s="86"/>
      <c r="Y334" s="62"/>
      <c r="Z334" s="402"/>
    </row>
    <row r="335" spans="1:27" ht="22.5" customHeight="1">
      <c r="A335" s="22" t="s">
        <v>42</v>
      </c>
      <c r="B335" s="337" t="s">
        <v>33</v>
      </c>
      <c r="C335" s="337">
        <v>176</v>
      </c>
      <c r="D335" s="317" t="s">
        <v>554</v>
      </c>
      <c r="E335" s="317" t="s">
        <v>555</v>
      </c>
      <c r="F335" s="337">
        <v>6100004040</v>
      </c>
      <c r="G335" s="337">
        <v>244</v>
      </c>
      <c r="H335" s="10">
        <v>10108.200000000001</v>
      </c>
      <c r="I335" s="10">
        <f>H335*32659.8/405373</f>
        <v>814.39017980970618</v>
      </c>
      <c r="J335" s="10">
        <f>H335*186244.056/405373</f>
        <v>4644.0985631978456</v>
      </c>
      <c r="K335" s="10">
        <f>H335*93862.9/405373</f>
        <v>2340.5233347558915</v>
      </c>
      <c r="L335" s="10">
        <f>H335*92606.3/405373</f>
        <v>2309.1893186275356</v>
      </c>
      <c r="M335" s="88">
        <f>214+6003.8+2760.65</f>
        <v>8978.4500000000007</v>
      </c>
      <c r="N335" s="88">
        <f>M335*205462.55/461713.6</f>
        <v>3995.410211108142</v>
      </c>
      <c r="O335" s="88">
        <f>M335*53097.06/461713.6</f>
        <v>1032.5216722162829</v>
      </c>
      <c r="P335" s="88">
        <f>M335*115428.4/461713.6</f>
        <v>2244.6125000000002</v>
      </c>
      <c r="Q335" s="88">
        <f>M335*87725.6/461713.6</f>
        <v>1705.9058111348684</v>
      </c>
      <c r="R335" s="86">
        <v>24977.8</v>
      </c>
      <c r="S335" s="86"/>
      <c r="T335" s="86">
        <f>5077.8</f>
        <v>5077.8</v>
      </c>
      <c r="U335" s="112"/>
      <c r="V335" s="112">
        <f>R335-S335-T335-U335</f>
        <v>19900</v>
      </c>
      <c r="W335" s="86">
        <v>15012</v>
      </c>
      <c r="X335" s="86">
        <v>10004.1</v>
      </c>
      <c r="Y335" s="62"/>
      <c r="Z335" s="402"/>
    </row>
    <row r="336" spans="1:27">
      <c r="A336" s="22" t="s">
        <v>43</v>
      </c>
      <c r="B336" s="337" t="s">
        <v>33</v>
      </c>
      <c r="C336" s="337">
        <v>176</v>
      </c>
      <c r="D336" s="317" t="s">
        <v>554</v>
      </c>
      <c r="E336" s="317" t="s">
        <v>555</v>
      </c>
      <c r="F336" s="337">
        <v>6100004040</v>
      </c>
      <c r="G336" s="337">
        <v>244</v>
      </c>
      <c r="H336" s="10">
        <v>4909.7</v>
      </c>
      <c r="I336" s="10">
        <f t="shared" ref="I336:I364" si="61">H336*32659.8/405373</f>
        <v>395.56117467122874</v>
      </c>
      <c r="J336" s="10">
        <f t="shared" ref="J336:J364" si="62">H336*186244.056/405373</f>
        <v>2255.7063290924657</v>
      </c>
      <c r="K336" s="10">
        <f t="shared" ref="K336:K364" si="63">H336*93862.9/405373</f>
        <v>1136.8262813014185</v>
      </c>
      <c r="L336" s="10">
        <f t="shared" ref="L336:L364" si="64">H336*92606.3/405373</f>
        <v>1121.6068931823283</v>
      </c>
      <c r="M336" s="88">
        <f>267.5+9327.5+5521.09</f>
        <v>15116.09</v>
      </c>
      <c r="N336" s="88">
        <f t="shared" ref="N336:N364" si="65">M336*205462.55/461713.6</f>
        <v>6726.6599845217897</v>
      </c>
      <c r="O336" s="88">
        <f t="shared" ref="O336:O364" si="66">M336*53097.06/461713.6</f>
        <v>1738.3502190435804</v>
      </c>
      <c r="P336" s="88">
        <f t="shared" ref="P336:P364" si="67">M336*115428.4/461713.6</f>
        <v>3779.0225</v>
      </c>
      <c r="Q336" s="88">
        <f t="shared" ref="Q336:Q364" si="68">M336*87725.6/461713.6</f>
        <v>2872.057623825679</v>
      </c>
      <c r="R336" s="86">
        <v>39837.599999999999</v>
      </c>
      <c r="S336" s="86"/>
      <c r="T336" s="86">
        <v>7515</v>
      </c>
      <c r="U336" s="112"/>
      <c r="V336" s="112">
        <f t="shared" ref="V336:V364" si="69">R336-S336-T336-U336</f>
        <v>32322.6</v>
      </c>
      <c r="W336" s="86">
        <v>15042</v>
      </c>
      <c r="X336" s="86">
        <v>10024.1</v>
      </c>
      <c r="Y336" s="62"/>
      <c r="Z336" s="402"/>
    </row>
    <row r="337" spans="1:29">
      <c r="A337" s="22" t="s">
        <v>44</v>
      </c>
      <c r="B337" s="337" t="s">
        <v>33</v>
      </c>
      <c r="C337" s="337">
        <v>176</v>
      </c>
      <c r="D337" s="317" t="s">
        <v>554</v>
      </c>
      <c r="E337" s="317" t="s">
        <v>555</v>
      </c>
      <c r="F337" s="337">
        <v>6100004040</v>
      </c>
      <c r="G337" s="337">
        <v>244</v>
      </c>
      <c r="H337" s="10">
        <v>11100.1</v>
      </c>
      <c r="I337" s="10">
        <f t="shared" si="61"/>
        <v>894.30486485286394</v>
      </c>
      <c r="J337" s="10">
        <f t="shared" si="62"/>
        <v>5099.8158387598587</v>
      </c>
      <c r="K337" s="10">
        <f t="shared" si="63"/>
        <v>2570.1947990862736</v>
      </c>
      <c r="L337" s="10">
        <f t="shared" si="64"/>
        <v>2535.7860307173892</v>
      </c>
      <c r="M337" s="88">
        <f>2889+8000+12000</f>
        <v>22889</v>
      </c>
      <c r="N337" s="88">
        <f t="shared" si="65"/>
        <v>10185.604900851957</v>
      </c>
      <c r="O337" s="88">
        <f t="shared" si="66"/>
        <v>2632.2348017039135</v>
      </c>
      <c r="P337" s="88">
        <f t="shared" si="67"/>
        <v>5722.25</v>
      </c>
      <c r="Q337" s="88">
        <f t="shared" si="68"/>
        <v>4348.9107931843464</v>
      </c>
      <c r="R337" s="86">
        <v>38517.9</v>
      </c>
      <c r="S337" s="86"/>
      <c r="T337" s="86"/>
      <c r="U337" s="112">
        <v>6760</v>
      </c>
      <c r="V337" s="112">
        <f t="shared" si="69"/>
        <v>31757.9</v>
      </c>
      <c r="W337" s="86">
        <v>10294</v>
      </c>
      <c r="X337" s="86">
        <v>7026.8</v>
      </c>
      <c r="Y337" s="62"/>
      <c r="Z337" s="402"/>
    </row>
    <row r="338" spans="1:29">
      <c r="A338" s="22" t="s">
        <v>45</v>
      </c>
      <c r="B338" s="337" t="s">
        <v>33</v>
      </c>
      <c r="C338" s="337">
        <v>176</v>
      </c>
      <c r="D338" s="317" t="s">
        <v>554</v>
      </c>
      <c r="E338" s="317" t="s">
        <v>555</v>
      </c>
      <c r="F338" s="337">
        <v>6100004040</v>
      </c>
      <c r="G338" s="337">
        <v>244</v>
      </c>
      <c r="H338" s="10">
        <v>6324.2</v>
      </c>
      <c r="I338" s="10">
        <f t="shared" si="61"/>
        <v>509.5235922471403</v>
      </c>
      <c r="J338" s="10">
        <f t="shared" si="62"/>
        <v>2905.5824116435974</v>
      </c>
      <c r="K338" s="10">
        <f t="shared" si="63"/>
        <v>1464.3495057144901</v>
      </c>
      <c r="L338" s="10">
        <f t="shared" si="64"/>
        <v>1444.745364047433</v>
      </c>
      <c r="M338" s="88">
        <f>1605+6510+7500</f>
        <v>15615</v>
      </c>
      <c r="N338" s="88">
        <f t="shared" si="65"/>
        <v>6948.6749323606673</v>
      </c>
      <c r="O338" s="88">
        <f t="shared" si="66"/>
        <v>1795.7248647213337</v>
      </c>
      <c r="P338" s="88">
        <f t="shared" si="67"/>
        <v>3903.75</v>
      </c>
      <c r="Q338" s="88">
        <f t="shared" si="68"/>
        <v>2966.8505411146652</v>
      </c>
      <c r="R338" s="86">
        <v>10682.5</v>
      </c>
      <c r="S338" s="86"/>
      <c r="T338" s="86"/>
      <c r="U338" s="112">
        <f>7557.6+795.8</f>
        <v>8353.4</v>
      </c>
      <c r="V338" s="112">
        <f t="shared" si="69"/>
        <v>2329.1000000000004</v>
      </c>
      <c r="W338" s="86">
        <v>18580</v>
      </c>
      <c r="X338" s="86">
        <v>12582</v>
      </c>
      <c r="Y338" s="62"/>
      <c r="Z338" s="402"/>
    </row>
    <row r="339" spans="1:29">
      <c r="A339" s="22" t="s">
        <v>46</v>
      </c>
      <c r="B339" s="337" t="s">
        <v>33</v>
      </c>
      <c r="C339" s="337">
        <v>176</v>
      </c>
      <c r="D339" s="317" t="s">
        <v>554</v>
      </c>
      <c r="E339" s="317" t="s">
        <v>555</v>
      </c>
      <c r="F339" s="337">
        <v>6100004040</v>
      </c>
      <c r="G339" s="337">
        <v>244</v>
      </c>
      <c r="H339" s="10">
        <v>7310.1</v>
      </c>
      <c r="I339" s="10">
        <f t="shared" si="61"/>
        <v>588.95487361023061</v>
      </c>
      <c r="J339" s="10">
        <f t="shared" si="62"/>
        <v>3358.5430548299964</v>
      </c>
      <c r="K339" s="10">
        <f t="shared" si="63"/>
        <v>1692.6316880749334</v>
      </c>
      <c r="L339" s="10">
        <f t="shared" si="64"/>
        <v>1669.9713933340408</v>
      </c>
      <c r="M339" s="88">
        <f>267.5+9010</f>
        <v>9277.5</v>
      </c>
      <c r="N339" s="88">
        <f t="shared" si="65"/>
        <v>4128.4874598127499</v>
      </c>
      <c r="O339" s="88">
        <f t="shared" si="66"/>
        <v>1066.9124196254995</v>
      </c>
      <c r="P339" s="88">
        <f t="shared" si="67"/>
        <v>2319.375</v>
      </c>
      <c r="Q339" s="88">
        <f t="shared" si="68"/>
        <v>1762.7253214980024</v>
      </c>
      <c r="R339" s="86">
        <v>18955</v>
      </c>
      <c r="S339" s="86"/>
      <c r="T339" s="86"/>
      <c r="U339" s="112">
        <v>9000</v>
      </c>
      <c r="V339" s="112">
        <f t="shared" si="69"/>
        <v>9955</v>
      </c>
      <c r="W339" s="86">
        <v>14715</v>
      </c>
      <c r="X339" s="86">
        <v>9806.2000000000007</v>
      </c>
      <c r="Y339" s="62"/>
      <c r="Z339" s="402"/>
    </row>
    <row r="340" spans="1:29">
      <c r="A340" s="22" t="s">
        <v>47</v>
      </c>
      <c r="B340" s="337" t="s">
        <v>33</v>
      </c>
      <c r="C340" s="337">
        <v>176</v>
      </c>
      <c r="D340" s="317" t="s">
        <v>554</v>
      </c>
      <c r="E340" s="317" t="s">
        <v>555</v>
      </c>
      <c r="F340" s="337">
        <v>6100004040</v>
      </c>
      <c r="G340" s="337">
        <v>244</v>
      </c>
      <c r="H340" s="10">
        <v>10630</v>
      </c>
      <c r="I340" s="10">
        <f t="shared" si="61"/>
        <v>856.43018651957584</v>
      </c>
      <c r="J340" s="10">
        <f t="shared" si="62"/>
        <v>4883.8336921304581</v>
      </c>
      <c r="K340" s="10">
        <f t="shared" si="63"/>
        <v>2461.3445567415688</v>
      </c>
      <c r="L340" s="10">
        <f t="shared" si="64"/>
        <v>2428.3930330831113</v>
      </c>
      <c r="M340" s="88">
        <f>963+14696.8+6013.86</f>
        <v>21673.66</v>
      </c>
      <c r="N340" s="88">
        <f t="shared" si="65"/>
        <v>9644.7786061164315</v>
      </c>
      <c r="O340" s="88">
        <f t="shared" si="66"/>
        <v>2492.470712232865</v>
      </c>
      <c r="P340" s="88">
        <f t="shared" si="67"/>
        <v>5418.415</v>
      </c>
      <c r="Q340" s="88">
        <f t="shared" si="68"/>
        <v>4117.9961510685416</v>
      </c>
      <c r="R340" s="86">
        <v>19380</v>
      </c>
      <c r="S340" s="86"/>
      <c r="T340" s="86"/>
      <c r="U340" s="112">
        <f>9450+2475</f>
        <v>11925</v>
      </c>
      <c r="V340" s="112">
        <f t="shared" si="69"/>
        <v>7455</v>
      </c>
      <c r="W340" s="86">
        <v>18816</v>
      </c>
      <c r="X340" s="86">
        <v>12706</v>
      </c>
      <c r="Y340" s="62"/>
      <c r="Z340" s="402"/>
    </row>
    <row r="341" spans="1:29">
      <c r="A341" s="22" t="s">
        <v>48</v>
      </c>
      <c r="B341" s="337" t="s">
        <v>33</v>
      </c>
      <c r="C341" s="337">
        <v>176</v>
      </c>
      <c r="D341" s="317" t="s">
        <v>554</v>
      </c>
      <c r="E341" s="317" t="s">
        <v>555</v>
      </c>
      <c r="F341" s="337">
        <v>6100004040</v>
      </c>
      <c r="G341" s="337">
        <v>244</v>
      </c>
      <c r="H341" s="10">
        <v>14297.1</v>
      </c>
      <c r="I341" s="10">
        <f t="shared" si="61"/>
        <v>1151.8784590488267</v>
      </c>
      <c r="J341" s="10">
        <f t="shared" si="62"/>
        <v>6568.6414562331483</v>
      </c>
      <c r="K341" s="10">
        <f t="shared" si="63"/>
        <v>3310.4505420686623</v>
      </c>
      <c r="L341" s="10">
        <f t="shared" si="64"/>
        <v>3266.131517713316</v>
      </c>
      <c r="M341" s="88">
        <f>5350+5393</f>
        <v>10743</v>
      </c>
      <c r="N341" s="88">
        <f t="shared" si="65"/>
        <v>4780.6349534646588</v>
      </c>
      <c r="O341" s="88">
        <f t="shared" si="66"/>
        <v>1235.4449069293171</v>
      </c>
      <c r="P341" s="88">
        <f t="shared" si="67"/>
        <v>2685.7500000000005</v>
      </c>
      <c r="Q341" s="88">
        <f t="shared" si="68"/>
        <v>2041.1703722827315</v>
      </c>
      <c r="R341" s="86">
        <v>25341.699999999997</v>
      </c>
      <c r="S341" s="86"/>
      <c r="T341" s="86"/>
      <c r="U341" s="112">
        <f>7025+4242.5+1975</f>
        <v>13242.5</v>
      </c>
      <c r="V341" s="112">
        <f t="shared" si="69"/>
        <v>12099.199999999997</v>
      </c>
      <c r="W341" s="86">
        <v>25252</v>
      </c>
      <c r="X341" s="86">
        <v>19093.900000000001</v>
      </c>
      <c r="Y341" s="62"/>
      <c r="Z341" s="402"/>
    </row>
    <row r="342" spans="1:29">
      <c r="A342" s="22" t="s">
        <v>49</v>
      </c>
      <c r="B342" s="337" t="s">
        <v>33</v>
      </c>
      <c r="C342" s="337">
        <v>176</v>
      </c>
      <c r="D342" s="317" t="s">
        <v>554</v>
      </c>
      <c r="E342" s="317" t="s">
        <v>555</v>
      </c>
      <c r="F342" s="337">
        <v>6100004040</v>
      </c>
      <c r="G342" s="337">
        <v>244</v>
      </c>
      <c r="H342" s="10">
        <v>10412.700000000001</v>
      </c>
      <c r="I342" s="10">
        <f t="shared" si="61"/>
        <v>838.92291657313149</v>
      </c>
      <c r="J342" s="10">
        <f t="shared" si="62"/>
        <v>4783.9976562602842</v>
      </c>
      <c r="K342" s="10">
        <f t="shared" si="63"/>
        <v>2411.0293947302857</v>
      </c>
      <c r="L342" s="10">
        <f t="shared" si="64"/>
        <v>2378.7514708922404</v>
      </c>
      <c r="M342" s="88">
        <f>3210+16861.1+7959.96</f>
        <v>28031.059999999998</v>
      </c>
      <c r="N342" s="88">
        <f t="shared" si="65"/>
        <v>12473.821578578149</v>
      </c>
      <c r="O342" s="88">
        <f t="shared" si="66"/>
        <v>3223.5716571562971</v>
      </c>
      <c r="P342" s="88">
        <f t="shared" si="67"/>
        <v>7007.7649999999994</v>
      </c>
      <c r="Q342" s="88">
        <f t="shared" si="68"/>
        <v>5325.9023713748093</v>
      </c>
      <c r="R342" s="86">
        <f>42379.406</f>
        <v>42379.406000000003</v>
      </c>
      <c r="S342" s="86"/>
      <c r="T342" s="86">
        <v>7155</v>
      </c>
      <c r="U342" s="112"/>
      <c r="V342" s="112">
        <f t="shared" si="69"/>
        <v>35224.406000000003</v>
      </c>
      <c r="W342" s="86">
        <v>21202</v>
      </c>
      <c r="X342" s="86">
        <v>15130</v>
      </c>
      <c r="Y342" s="62"/>
      <c r="Z342" s="402"/>
    </row>
    <row r="343" spans="1:29">
      <c r="A343" s="22" t="s">
        <v>50</v>
      </c>
      <c r="B343" s="337" t="s">
        <v>33</v>
      </c>
      <c r="C343" s="337">
        <v>176</v>
      </c>
      <c r="D343" s="317" t="s">
        <v>554</v>
      </c>
      <c r="E343" s="317" t="s">
        <v>555</v>
      </c>
      <c r="F343" s="337">
        <v>6100004040</v>
      </c>
      <c r="G343" s="337">
        <v>244</v>
      </c>
      <c r="H343" s="10">
        <v>12044.6</v>
      </c>
      <c r="I343" s="10">
        <f t="shared" si="61"/>
        <v>970.40066082348847</v>
      </c>
      <c r="J343" s="10">
        <f t="shared" si="62"/>
        <v>5533.7557185545165</v>
      </c>
      <c r="K343" s="10">
        <f t="shared" si="63"/>
        <v>2788.8909358541391</v>
      </c>
      <c r="L343" s="10">
        <f t="shared" si="64"/>
        <v>2751.5543486616029</v>
      </c>
      <c r="M343" s="88">
        <f>29914.3+6260+24887.87</f>
        <v>61062.17</v>
      </c>
      <c r="N343" s="88">
        <f t="shared" si="65"/>
        <v>27172.665385497632</v>
      </c>
      <c r="O343" s="88">
        <f t="shared" si="66"/>
        <v>7022.1490209952653</v>
      </c>
      <c r="P343" s="88">
        <f t="shared" si="67"/>
        <v>15265.5425</v>
      </c>
      <c r="Q343" s="88">
        <f t="shared" si="68"/>
        <v>11601.814416018935</v>
      </c>
      <c r="R343" s="86">
        <v>42185</v>
      </c>
      <c r="S343" s="86"/>
      <c r="T343" s="86"/>
      <c r="U343" s="112">
        <f>8000+8810</f>
        <v>16810</v>
      </c>
      <c r="V343" s="112">
        <f t="shared" si="69"/>
        <v>25375</v>
      </c>
      <c r="W343" s="86">
        <v>19040</v>
      </c>
      <c r="X343" s="86">
        <v>14356.4</v>
      </c>
      <c r="Y343" s="62"/>
      <c r="Z343" s="402"/>
      <c r="AA343" s="53"/>
      <c r="AB343" s="53"/>
      <c r="AC343" s="53"/>
    </row>
    <row r="344" spans="1:29">
      <c r="A344" s="22" t="s">
        <v>51</v>
      </c>
      <c r="B344" s="337" t="s">
        <v>33</v>
      </c>
      <c r="C344" s="337">
        <v>176</v>
      </c>
      <c r="D344" s="317" t="s">
        <v>554</v>
      </c>
      <c r="E344" s="317" t="s">
        <v>555</v>
      </c>
      <c r="F344" s="337">
        <v>6100004040</v>
      </c>
      <c r="G344" s="337">
        <v>244</v>
      </c>
      <c r="H344" s="10">
        <v>13399.6</v>
      </c>
      <c r="I344" s="10">
        <f t="shared" si="61"/>
        <v>1079.5693252387307</v>
      </c>
      <c r="J344" s="10">
        <f t="shared" si="62"/>
        <v>6156.295196714138</v>
      </c>
      <c r="K344" s="10">
        <f t="shared" si="63"/>
        <v>3102.6371140653173</v>
      </c>
      <c r="L344" s="10">
        <f t="shared" si="64"/>
        <v>3061.1002150611907</v>
      </c>
      <c r="M344" s="88">
        <f>12170+10135.5+11211.96</f>
        <v>33517.46</v>
      </c>
      <c r="N344" s="88">
        <f t="shared" si="65"/>
        <v>14915.269554812767</v>
      </c>
      <c r="O344" s="88">
        <f t="shared" si="66"/>
        <v>3854.5076096255343</v>
      </c>
      <c r="P344" s="88">
        <f t="shared" si="67"/>
        <v>8379.3649999999998</v>
      </c>
      <c r="Q344" s="88">
        <f t="shared" si="68"/>
        <v>6368.3185614978647</v>
      </c>
      <c r="R344" s="86">
        <v>31190.300000000003</v>
      </c>
      <c r="S344" s="86"/>
      <c r="T344" s="86"/>
      <c r="U344" s="112">
        <f>4200+6190.3</f>
        <v>10390.299999999999</v>
      </c>
      <c r="V344" s="112">
        <f t="shared" si="69"/>
        <v>20800.000000000004</v>
      </c>
      <c r="W344" s="86">
        <v>22028</v>
      </c>
      <c r="X344" s="86">
        <v>17228.3</v>
      </c>
      <c r="Y344" s="62"/>
      <c r="Z344" s="402"/>
    </row>
    <row r="345" spans="1:29">
      <c r="A345" s="22" t="s">
        <v>52</v>
      </c>
      <c r="B345" s="337" t="s">
        <v>33</v>
      </c>
      <c r="C345" s="337">
        <v>176</v>
      </c>
      <c r="D345" s="317" t="s">
        <v>554</v>
      </c>
      <c r="E345" s="317" t="s">
        <v>555</v>
      </c>
      <c r="F345" s="337">
        <v>6100004040</v>
      </c>
      <c r="G345" s="337">
        <v>244</v>
      </c>
      <c r="H345" s="10">
        <v>13254.2</v>
      </c>
      <c r="I345" s="10">
        <f t="shared" si="61"/>
        <v>1067.8548427250953</v>
      </c>
      <c r="J345" s="10">
        <f t="shared" si="62"/>
        <v>6089.4928054784114</v>
      </c>
      <c r="K345" s="10">
        <f t="shared" si="63"/>
        <v>3068.970180993801</v>
      </c>
      <c r="L345" s="10">
        <f t="shared" si="64"/>
        <v>3027.8840017958769</v>
      </c>
      <c r="M345" s="88">
        <f>7490+9509+5655.74</f>
        <v>22654.739999999998</v>
      </c>
      <c r="N345" s="88">
        <f t="shared" si="65"/>
        <v>10081.359201866699</v>
      </c>
      <c r="O345" s="88">
        <f t="shared" si="66"/>
        <v>2605.2949037333965</v>
      </c>
      <c r="P345" s="88">
        <f t="shared" si="67"/>
        <v>5663.6849999999995</v>
      </c>
      <c r="Q345" s="88">
        <f t="shared" si="68"/>
        <v>4304.4013850664132</v>
      </c>
      <c r="R345" s="86">
        <v>44531.400000000009</v>
      </c>
      <c r="S345" s="86">
        <v>5142.8999999999996</v>
      </c>
      <c r="T345" s="86">
        <v>5404.8</v>
      </c>
      <c r="U345" s="112">
        <v>3496.1</v>
      </c>
      <c r="V345" s="112">
        <f t="shared" si="69"/>
        <v>30487.600000000006</v>
      </c>
      <c r="W345" s="86">
        <v>16244</v>
      </c>
      <c r="X345" s="86">
        <v>12493.1</v>
      </c>
      <c r="Y345" s="62"/>
      <c r="Z345" s="402"/>
    </row>
    <row r="346" spans="1:29">
      <c r="A346" s="22" t="s">
        <v>53</v>
      </c>
      <c r="B346" s="337" t="s">
        <v>33</v>
      </c>
      <c r="C346" s="337">
        <v>176</v>
      </c>
      <c r="D346" s="317" t="s">
        <v>554</v>
      </c>
      <c r="E346" s="317" t="s">
        <v>555</v>
      </c>
      <c r="F346" s="337">
        <v>6100004040</v>
      </c>
      <c r="G346" s="337">
        <v>244</v>
      </c>
      <c r="H346" s="10">
        <v>12672</v>
      </c>
      <c r="I346" s="10">
        <f t="shared" si="61"/>
        <v>1020.9485723025459</v>
      </c>
      <c r="J346" s="10">
        <f t="shared" si="62"/>
        <v>5822.0075772979453</v>
      </c>
      <c r="K346" s="10">
        <f t="shared" si="63"/>
        <v>2934.1635205107395</v>
      </c>
      <c r="L346" s="10">
        <f t="shared" si="64"/>
        <v>2894.8820804542979</v>
      </c>
      <c r="M346" s="88">
        <f>6580+855</f>
        <v>7435</v>
      </c>
      <c r="N346" s="88">
        <f t="shared" si="65"/>
        <v>3308.5749677938879</v>
      </c>
      <c r="O346" s="88">
        <f t="shared" si="66"/>
        <v>855.02493558777564</v>
      </c>
      <c r="P346" s="88">
        <f t="shared" si="67"/>
        <v>1858.75</v>
      </c>
      <c r="Q346" s="88">
        <f t="shared" si="68"/>
        <v>1412.6502576488977</v>
      </c>
      <c r="R346" s="86">
        <v>30788.2</v>
      </c>
      <c r="S346" s="86"/>
      <c r="T346" s="86">
        <v>5970</v>
      </c>
      <c r="U346" s="112">
        <v>3540</v>
      </c>
      <c r="V346" s="112">
        <f t="shared" si="69"/>
        <v>21278.2</v>
      </c>
      <c r="W346" s="86">
        <v>14042</v>
      </c>
      <c r="X346" s="86">
        <v>11203.1</v>
      </c>
      <c r="Y346" s="62"/>
      <c r="Z346" s="402"/>
      <c r="AA346" s="53"/>
    </row>
    <row r="347" spans="1:29">
      <c r="A347" s="22" t="s">
        <v>54</v>
      </c>
      <c r="B347" s="337" t="s">
        <v>33</v>
      </c>
      <c r="C347" s="337">
        <v>176</v>
      </c>
      <c r="D347" s="317" t="s">
        <v>554</v>
      </c>
      <c r="E347" s="317" t="s">
        <v>555</v>
      </c>
      <c r="F347" s="337">
        <v>6100004040</v>
      </c>
      <c r="G347" s="337">
        <v>244</v>
      </c>
      <c r="H347" s="10">
        <v>6034.9</v>
      </c>
      <c r="I347" s="10">
        <f t="shared" si="61"/>
        <v>486.21547813988593</v>
      </c>
      <c r="J347" s="10">
        <f t="shared" si="62"/>
        <v>2772.6667872660487</v>
      </c>
      <c r="K347" s="10">
        <f t="shared" si="63"/>
        <v>1397.3629600639408</v>
      </c>
      <c r="L347" s="10">
        <f t="shared" si="64"/>
        <v>1378.6556082176169</v>
      </c>
      <c r="M347" s="88">
        <f>1605+38223.7+9999.59</f>
        <v>49828.289999999994</v>
      </c>
      <c r="N347" s="88">
        <f t="shared" si="65"/>
        <v>22173.588834159309</v>
      </c>
      <c r="O347" s="88">
        <f t="shared" si="66"/>
        <v>5730.252918318628</v>
      </c>
      <c r="P347" s="88">
        <f t="shared" si="67"/>
        <v>12457.072499999998</v>
      </c>
      <c r="Q347" s="88">
        <f t="shared" si="68"/>
        <v>9467.3768267254854</v>
      </c>
      <c r="R347" s="86">
        <v>44763.4</v>
      </c>
      <c r="S347" s="86"/>
      <c r="T347" s="86">
        <v>9000</v>
      </c>
      <c r="U347" s="112">
        <v>800</v>
      </c>
      <c r="V347" s="112">
        <f t="shared" si="69"/>
        <v>34963.4</v>
      </c>
      <c r="W347" s="86">
        <v>20456</v>
      </c>
      <c r="X347" s="86">
        <v>14436.7</v>
      </c>
      <c r="Y347" s="62"/>
      <c r="Z347" s="402"/>
    </row>
    <row r="348" spans="1:29">
      <c r="A348" s="22" t="s">
        <v>55</v>
      </c>
      <c r="B348" s="337" t="s">
        <v>33</v>
      </c>
      <c r="C348" s="337">
        <v>176</v>
      </c>
      <c r="D348" s="317" t="s">
        <v>554</v>
      </c>
      <c r="E348" s="317" t="s">
        <v>555</v>
      </c>
      <c r="F348" s="337">
        <v>6100004040</v>
      </c>
      <c r="G348" s="337">
        <v>244</v>
      </c>
      <c r="H348" s="10">
        <v>11407.9</v>
      </c>
      <c r="I348" s="10">
        <f t="shared" si="61"/>
        <v>919.10347364032623</v>
      </c>
      <c r="J348" s="10">
        <f t="shared" si="62"/>
        <v>5241.2310796288848</v>
      </c>
      <c r="K348" s="10">
        <f t="shared" si="63"/>
        <v>2641.4649641441333</v>
      </c>
      <c r="L348" s="10">
        <f t="shared" si="64"/>
        <v>2606.102058523878</v>
      </c>
      <c r="M348" s="88">
        <f>7490+8000+10060.73</f>
        <v>25550.73</v>
      </c>
      <c r="N348" s="88">
        <f t="shared" si="65"/>
        <v>11370.074739322168</v>
      </c>
      <c r="O348" s="88">
        <f t="shared" si="66"/>
        <v>2938.333728644337</v>
      </c>
      <c r="P348" s="88">
        <f t="shared" si="67"/>
        <v>6387.6824999999999</v>
      </c>
      <c r="Q348" s="88">
        <f t="shared" si="68"/>
        <v>4854.6395854226521</v>
      </c>
      <c r="R348" s="86">
        <v>32994.9</v>
      </c>
      <c r="S348" s="86"/>
      <c r="T348" s="86"/>
      <c r="U348" s="112">
        <f>730+7245</f>
        <v>7975</v>
      </c>
      <c r="V348" s="112">
        <f t="shared" si="69"/>
        <v>25019.9</v>
      </c>
      <c r="W348" s="86">
        <v>26212</v>
      </c>
      <c r="X348" s="86">
        <v>18898.3</v>
      </c>
      <c r="Y348" s="62"/>
      <c r="Z348" s="402"/>
    </row>
    <row r="349" spans="1:29">
      <c r="A349" s="22" t="s">
        <v>56</v>
      </c>
      <c r="B349" s="337" t="s">
        <v>33</v>
      </c>
      <c r="C349" s="337">
        <v>176</v>
      </c>
      <c r="D349" s="317" t="s">
        <v>554</v>
      </c>
      <c r="E349" s="317" t="s">
        <v>555</v>
      </c>
      <c r="F349" s="337">
        <v>6100004040</v>
      </c>
      <c r="G349" s="337">
        <v>244</v>
      </c>
      <c r="H349" s="10">
        <v>11000</v>
      </c>
      <c r="I349" s="10">
        <f t="shared" si="61"/>
        <v>886.24008012373793</v>
      </c>
      <c r="J349" s="10">
        <f t="shared" si="62"/>
        <v>5053.8260219600224</v>
      </c>
      <c r="K349" s="10">
        <f t="shared" si="63"/>
        <v>2547.0169448877946</v>
      </c>
      <c r="L349" s="10">
        <f t="shared" si="64"/>
        <v>2512.9184726165777</v>
      </c>
      <c r="M349" s="88">
        <f>267.5+6510+7950</f>
        <v>14727.5</v>
      </c>
      <c r="N349" s="88">
        <f t="shared" si="65"/>
        <v>6553.7374362050414</v>
      </c>
      <c r="O349" s="88">
        <f t="shared" si="66"/>
        <v>1693.6623724100828</v>
      </c>
      <c r="P349" s="88">
        <f t="shared" si="67"/>
        <v>3681.875</v>
      </c>
      <c r="Q349" s="88">
        <f t="shared" si="68"/>
        <v>2798.225510359669</v>
      </c>
      <c r="R349" s="86">
        <v>31567.9</v>
      </c>
      <c r="S349" s="86">
        <f>10672.9</f>
        <v>10672.9</v>
      </c>
      <c r="T349" s="86"/>
      <c r="U349" s="112"/>
      <c r="V349" s="112">
        <f t="shared" si="69"/>
        <v>20895</v>
      </c>
      <c r="W349" s="86">
        <v>23600</v>
      </c>
      <c r="X349" s="86">
        <v>16011.5</v>
      </c>
      <c r="Y349" s="62"/>
      <c r="Z349" s="402"/>
    </row>
    <row r="350" spans="1:29">
      <c r="A350" s="22" t="s">
        <v>57</v>
      </c>
      <c r="B350" s="337" t="s">
        <v>33</v>
      </c>
      <c r="C350" s="337">
        <v>176</v>
      </c>
      <c r="D350" s="317" t="s">
        <v>554</v>
      </c>
      <c r="E350" s="317" t="s">
        <v>555</v>
      </c>
      <c r="F350" s="337">
        <v>6100004040</v>
      </c>
      <c r="G350" s="337">
        <v>244</v>
      </c>
      <c r="H350" s="10">
        <v>19949.3</v>
      </c>
      <c r="I350" s="10">
        <f t="shared" si="61"/>
        <v>1607.2608391284077</v>
      </c>
      <c r="J350" s="10">
        <f t="shared" si="62"/>
        <v>9165.481041807916</v>
      </c>
      <c r="K350" s="10">
        <f t="shared" si="63"/>
        <v>4619.2004671500072</v>
      </c>
      <c r="L350" s="10">
        <f t="shared" si="64"/>
        <v>4557.3604077972632</v>
      </c>
      <c r="M350" s="88">
        <f>9095+10714+14000.08</f>
        <v>33809.08</v>
      </c>
      <c r="N350" s="88">
        <f t="shared" si="65"/>
        <v>15045.04045354956</v>
      </c>
      <c r="O350" s="88">
        <f t="shared" si="66"/>
        <v>3888.0439070991197</v>
      </c>
      <c r="P350" s="88">
        <f t="shared" si="67"/>
        <v>8452.27</v>
      </c>
      <c r="Q350" s="88">
        <f t="shared" si="68"/>
        <v>6423.7263716035231</v>
      </c>
      <c r="R350" s="86">
        <v>36599.75</v>
      </c>
      <c r="S350" s="86"/>
      <c r="T350" s="86"/>
      <c r="U350" s="112">
        <f>8234.8+1492.5</f>
        <v>9727.2999999999993</v>
      </c>
      <c r="V350" s="112">
        <f t="shared" si="69"/>
        <v>26872.45</v>
      </c>
      <c r="W350" s="86">
        <v>17129</v>
      </c>
      <c r="X350" s="86">
        <v>11841.9</v>
      </c>
      <c r="Y350" s="62"/>
      <c r="Z350" s="402"/>
    </row>
    <row r="351" spans="1:29">
      <c r="A351" s="22" t="s">
        <v>58</v>
      </c>
      <c r="B351" s="337" t="s">
        <v>33</v>
      </c>
      <c r="C351" s="337">
        <v>176</v>
      </c>
      <c r="D351" s="317" t="s">
        <v>554</v>
      </c>
      <c r="E351" s="317" t="s">
        <v>555</v>
      </c>
      <c r="F351" s="337">
        <v>6100004040</v>
      </c>
      <c r="G351" s="337">
        <v>244</v>
      </c>
      <c r="H351" s="10">
        <v>15290</v>
      </c>
      <c r="I351" s="10">
        <f t="shared" si="61"/>
        <v>1231.8737113719956</v>
      </c>
      <c r="J351" s="10">
        <f t="shared" si="62"/>
        <v>7024.8181705244315</v>
      </c>
      <c r="K351" s="10">
        <f t="shared" si="63"/>
        <v>3540.3535533940344</v>
      </c>
      <c r="L351" s="10">
        <f t="shared" si="64"/>
        <v>3492.9566769370431</v>
      </c>
      <c r="M351" s="88">
        <f>3210+8396.6+2992.38</f>
        <v>14598.98</v>
      </c>
      <c r="N351" s="88">
        <f t="shared" si="65"/>
        <v>6496.5460367617507</v>
      </c>
      <c r="O351" s="88">
        <f t="shared" si="66"/>
        <v>1678.8825735235002</v>
      </c>
      <c r="P351" s="88">
        <f t="shared" si="67"/>
        <v>3649.7449999999999</v>
      </c>
      <c r="Q351" s="88">
        <f t="shared" si="68"/>
        <v>2773.806705905999</v>
      </c>
      <c r="R351" s="86">
        <v>28400</v>
      </c>
      <c r="S351" s="86"/>
      <c r="T351" s="86">
        <f>8000</f>
        <v>8000</v>
      </c>
      <c r="U351" s="112">
        <v>500</v>
      </c>
      <c r="V351" s="112">
        <f t="shared" si="69"/>
        <v>19900</v>
      </c>
      <c r="W351" s="86">
        <v>14243.6</v>
      </c>
      <c r="X351" s="86">
        <v>10937</v>
      </c>
      <c r="Y351" s="62"/>
      <c r="Z351" s="402"/>
    </row>
    <row r="352" spans="1:29">
      <c r="A352" s="22" t="s">
        <v>59</v>
      </c>
      <c r="B352" s="337" t="s">
        <v>33</v>
      </c>
      <c r="C352" s="337">
        <v>176</v>
      </c>
      <c r="D352" s="317" t="s">
        <v>554</v>
      </c>
      <c r="E352" s="317" t="s">
        <v>555</v>
      </c>
      <c r="F352" s="337">
        <v>6100004040</v>
      </c>
      <c r="G352" s="337">
        <v>244</v>
      </c>
      <c r="H352" s="10">
        <v>17326.900000000001</v>
      </c>
      <c r="I352" s="10">
        <f t="shared" si="61"/>
        <v>1395.9812040269085</v>
      </c>
      <c r="J352" s="10">
        <f t="shared" si="62"/>
        <v>7960.6489181726474</v>
      </c>
      <c r="K352" s="10">
        <f t="shared" si="63"/>
        <v>4011.9916274887573</v>
      </c>
      <c r="L352" s="10">
        <f t="shared" si="64"/>
        <v>3958.2806439254718</v>
      </c>
      <c r="M352" s="88">
        <f>4280+8188.5+8167.37</f>
        <v>20635.87</v>
      </c>
      <c r="N352" s="88">
        <f t="shared" si="65"/>
        <v>9182.9620606118151</v>
      </c>
      <c r="O352" s="88">
        <f t="shared" si="66"/>
        <v>2373.1248712236329</v>
      </c>
      <c r="P352" s="88">
        <f t="shared" si="67"/>
        <v>5158.9674999999997</v>
      </c>
      <c r="Q352" s="88">
        <f t="shared" si="68"/>
        <v>3920.8160151054685</v>
      </c>
      <c r="R352" s="86">
        <v>39565.9</v>
      </c>
      <c r="S352" s="86"/>
      <c r="T352" s="86">
        <f>581.5</f>
        <v>581.5</v>
      </c>
      <c r="U352" s="112">
        <v>10207</v>
      </c>
      <c r="V352" s="112">
        <f t="shared" si="69"/>
        <v>28777.4</v>
      </c>
      <c r="W352" s="86">
        <v>11319.6</v>
      </c>
      <c r="X352" s="86">
        <v>7880</v>
      </c>
      <c r="Y352" s="62"/>
      <c r="Z352" s="402"/>
    </row>
    <row r="353" spans="1:27">
      <c r="A353" s="22" t="s">
        <v>60</v>
      </c>
      <c r="B353" s="337" t="s">
        <v>33</v>
      </c>
      <c r="C353" s="337">
        <v>176</v>
      </c>
      <c r="D353" s="317" t="s">
        <v>554</v>
      </c>
      <c r="E353" s="317" t="s">
        <v>555</v>
      </c>
      <c r="F353" s="337">
        <v>6100004040</v>
      </c>
      <c r="G353" s="337">
        <v>244</v>
      </c>
      <c r="H353" s="10">
        <v>44424.9</v>
      </c>
      <c r="I353" s="10">
        <f t="shared" si="61"/>
        <v>3579.1933577717314</v>
      </c>
      <c r="J353" s="10">
        <f t="shared" si="62"/>
        <v>20410.519603906527</v>
      </c>
      <c r="K353" s="10">
        <f t="shared" si="63"/>
        <v>10286.452097722346</v>
      </c>
      <c r="L353" s="10">
        <f t="shared" si="64"/>
        <v>10148.741077649474</v>
      </c>
      <c r="M353" s="88">
        <f>7490+11980.2</f>
        <v>19470.2</v>
      </c>
      <c r="N353" s="88">
        <f t="shared" si="65"/>
        <v>8664.2389156611371</v>
      </c>
      <c r="O353" s="88">
        <f t="shared" si="66"/>
        <v>2239.0728313222744</v>
      </c>
      <c r="P353" s="88">
        <f t="shared" si="67"/>
        <v>4867.55</v>
      </c>
      <c r="Q353" s="88">
        <f t="shared" si="68"/>
        <v>3699.3386747109034</v>
      </c>
      <c r="R353" s="86">
        <v>53555.1</v>
      </c>
      <c r="S353" s="86"/>
      <c r="T353" s="86"/>
      <c r="U353" s="112">
        <v>5000</v>
      </c>
      <c r="V353" s="112">
        <f t="shared" si="69"/>
        <v>48555.1</v>
      </c>
      <c r="W353" s="86">
        <v>30004.7</v>
      </c>
      <c r="X353" s="86">
        <v>21663.4</v>
      </c>
      <c r="Y353" s="62"/>
      <c r="Z353" s="402"/>
    </row>
    <row r="354" spans="1:27">
      <c r="A354" s="22" t="s">
        <v>61</v>
      </c>
      <c r="B354" s="337" t="s">
        <v>33</v>
      </c>
      <c r="C354" s="337">
        <v>176</v>
      </c>
      <c r="D354" s="317" t="s">
        <v>554</v>
      </c>
      <c r="E354" s="317" t="s">
        <v>555</v>
      </c>
      <c r="F354" s="337">
        <v>6100004040</v>
      </c>
      <c r="G354" s="337">
        <v>244</v>
      </c>
      <c r="H354" s="10">
        <v>22166.9</v>
      </c>
      <c r="I354" s="10">
        <f t="shared" si="61"/>
        <v>1785.9268392813533</v>
      </c>
      <c r="J354" s="10">
        <f t="shared" si="62"/>
        <v>10184.332367835057</v>
      </c>
      <c r="K354" s="10">
        <f t="shared" si="63"/>
        <v>5132.6790832393872</v>
      </c>
      <c r="L354" s="10">
        <f t="shared" si="64"/>
        <v>5063.9647718767665</v>
      </c>
      <c r="M354" s="88">
        <f>13340+745</f>
        <v>14085</v>
      </c>
      <c r="N354" s="88">
        <f t="shared" si="65"/>
        <v>6267.8249389881521</v>
      </c>
      <c r="O354" s="88">
        <f t="shared" si="66"/>
        <v>1619.774877976304</v>
      </c>
      <c r="P354" s="88">
        <f t="shared" si="67"/>
        <v>3521.25</v>
      </c>
      <c r="Q354" s="88">
        <f t="shared" si="68"/>
        <v>2676.1504880947846</v>
      </c>
      <c r="R354" s="86">
        <f>44972.566</f>
        <v>44972.565999999999</v>
      </c>
      <c r="S354" s="86"/>
      <c r="T354" s="86">
        <f>6790.6</f>
        <v>6790.6</v>
      </c>
      <c r="U354" s="112">
        <v>1700</v>
      </c>
      <c r="V354" s="112">
        <f t="shared" si="69"/>
        <v>36481.966</v>
      </c>
      <c r="W354" s="86">
        <v>22623</v>
      </c>
      <c r="X354" s="86">
        <v>16744.2</v>
      </c>
      <c r="Y354" s="62"/>
      <c r="Z354" s="402"/>
    </row>
    <row r="355" spans="1:27">
      <c r="A355" s="22" t="s">
        <v>62</v>
      </c>
      <c r="B355" s="337" t="s">
        <v>33</v>
      </c>
      <c r="C355" s="337">
        <v>176</v>
      </c>
      <c r="D355" s="317" t="s">
        <v>554</v>
      </c>
      <c r="E355" s="317" t="s">
        <v>555</v>
      </c>
      <c r="F355" s="337">
        <v>6100004040</v>
      </c>
      <c r="G355" s="337">
        <v>244</v>
      </c>
      <c r="H355" s="10">
        <v>17125</v>
      </c>
      <c r="I355" s="10">
        <f t="shared" si="61"/>
        <v>1379.7146701926374</v>
      </c>
      <c r="J355" s="10">
        <f t="shared" si="62"/>
        <v>7867.888238733216</v>
      </c>
      <c r="K355" s="10">
        <f t="shared" si="63"/>
        <v>3965.2422892003169</v>
      </c>
      <c r="L355" s="10">
        <f t="shared" si="64"/>
        <v>3912.1571675962632</v>
      </c>
      <c r="M355" s="88">
        <f>5350+11080.01</f>
        <v>16430.010000000002</v>
      </c>
      <c r="N355" s="88">
        <f t="shared" si="65"/>
        <v>7311.3543788302977</v>
      </c>
      <c r="O355" s="88">
        <f t="shared" si="66"/>
        <v>1889.4510076605934</v>
      </c>
      <c r="P355" s="88">
        <f t="shared" si="67"/>
        <v>4107.5025000000005</v>
      </c>
      <c r="Q355" s="88">
        <f t="shared" si="68"/>
        <v>3121.7024693576286</v>
      </c>
      <c r="R355" s="86">
        <v>36388.699999999997</v>
      </c>
      <c r="S355" s="86"/>
      <c r="T355" s="86"/>
      <c r="U355" s="112">
        <f>7018.8+3760</f>
        <v>10778.8</v>
      </c>
      <c r="V355" s="112">
        <f t="shared" si="69"/>
        <v>25609.899999999998</v>
      </c>
      <c r="W355" s="86">
        <v>19420</v>
      </c>
      <c r="X355" s="86">
        <v>15347.5</v>
      </c>
      <c r="Y355" s="62"/>
      <c r="Z355" s="402"/>
    </row>
    <row r="356" spans="1:27">
      <c r="A356" s="22" t="s">
        <v>63</v>
      </c>
      <c r="B356" s="337" t="s">
        <v>33</v>
      </c>
      <c r="C356" s="337">
        <v>176</v>
      </c>
      <c r="D356" s="317" t="s">
        <v>554</v>
      </c>
      <c r="E356" s="317" t="s">
        <v>555</v>
      </c>
      <c r="F356" s="337">
        <v>6100004040</v>
      </c>
      <c r="G356" s="337">
        <v>244</v>
      </c>
      <c r="H356" s="10">
        <v>8734.7999999999993</v>
      </c>
      <c r="I356" s="10">
        <f t="shared" si="61"/>
        <v>703.73907744225676</v>
      </c>
      <c r="J356" s="10">
        <f t="shared" si="62"/>
        <v>4013.1054124196726</v>
      </c>
      <c r="K356" s="10">
        <f t="shared" si="63"/>
        <v>2022.5166918369005</v>
      </c>
      <c r="L356" s="10">
        <f t="shared" si="64"/>
        <v>1995.4400249646621</v>
      </c>
      <c r="M356" s="88">
        <f>5350+8811.79</f>
        <v>14161.79</v>
      </c>
      <c r="N356" s="88">
        <f t="shared" si="65"/>
        <v>6301.9964886555217</v>
      </c>
      <c r="O356" s="88">
        <f t="shared" si="66"/>
        <v>1628.605727311043</v>
      </c>
      <c r="P356" s="88">
        <f t="shared" si="67"/>
        <v>3540.4475000000002</v>
      </c>
      <c r="Q356" s="88">
        <f t="shared" si="68"/>
        <v>2690.7405907558282</v>
      </c>
      <c r="R356" s="86">
        <v>37690.299999999996</v>
      </c>
      <c r="S356" s="86"/>
      <c r="T356" s="86">
        <v>8510</v>
      </c>
      <c r="U356" s="112">
        <v>286.60000000000002</v>
      </c>
      <c r="V356" s="112">
        <f t="shared" si="69"/>
        <v>28893.699999999997</v>
      </c>
      <c r="W356" s="86">
        <v>19770</v>
      </c>
      <c r="X356" s="86">
        <v>15448.7</v>
      </c>
      <c r="Y356" s="62"/>
      <c r="Z356" s="402"/>
    </row>
    <row r="357" spans="1:27">
      <c r="A357" s="22" t="s">
        <v>64</v>
      </c>
      <c r="B357" s="337" t="s">
        <v>33</v>
      </c>
      <c r="C357" s="337">
        <v>176</v>
      </c>
      <c r="D357" s="317" t="s">
        <v>554</v>
      </c>
      <c r="E357" s="317" t="s">
        <v>555</v>
      </c>
      <c r="F357" s="337">
        <v>6100004040</v>
      </c>
      <c r="G357" s="337">
        <v>244</v>
      </c>
      <c r="H357" s="10">
        <v>15175</v>
      </c>
      <c r="I357" s="10">
        <f t="shared" si="61"/>
        <v>1222.608474170702</v>
      </c>
      <c r="J357" s="10">
        <f t="shared" si="62"/>
        <v>6971.9827166584855</v>
      </c>
      <c r="K357" s="10">
        <f t="shared" si="63"/>
        <v>3513.7256489702077</v>
      </c>
      <c r="L357" s="10">
        <f t="shared" si="64"/>
        <v>3466.6852565415061</v>
      </c>
      <c r="M357" s="88">
        <f>267.5+3000+7527.69</f>
        <v>10795.189999999999</v>
      </c>
      <c r="N357" s="88">
        <f t="shared" si="65"/>
        <v>4803.8595032385874</v>
      </c>
      <c r="O357" s="88">
        <f t="shared" si="66"/>
        <v>1241.4467564771753</v>
      </c>
      <c r="P357" s="88">
        <f t="shared" si="67"/>
        <v>2698.7974999999992</v>
      </c>
      <c r="Q357" s="88">
        <f t="shared" si="68"/>
        <v>2051.086474091298</v>
      </c>
      <c r="R357" s="86">
        <v>33406.5</v>
      </c>
      <c r="S357" s="86">
        <v>8531.5</v>
      </c>
      <c r="T357" s="86"/>
      <c r="U357" s="112"/>
      <c r="V357" s="112">
        <f t="shared" si="69"/>
        <v>24875</v>
      </c>
      <c r="W357" s="86">
        <v>22011</v>
      </c>
      <c r="X357" s="86">
        <v>15219.1</v>
      </c>
      <c r="Y357" s="62"/>
      <c r="Z357" s="402"/>
    </row>
    <row r="358" spans="1:27">
      <c r="A358" s="22" t="s">
        <v>65</v>
      </c>
      <c r="B358" s="337" t="s">
        <v>33</v>
      </c>
      <c r="C358" s="337">
        <v>176</v>
      </c>
      <c r="D358" s="317" t="s">
        <v>554</v>
      </c>
      <c r="E358" s="317" t="s">
        <v>555</v>
      </c>
      <c r="F358" s="337">
        <v>6100004040</v>
      </c>
      <c r="G358" s="337">
        <v>244</v>
      </c>
      <c r="H358" s="10">
        <v>26650.400000000001</v>
      </c>
      <c r="I358" s="10">
        <f t="shared" si="61"/>
        <v>2147.1502392117877</v>
      </c>
      <c r="J358" s="10">
        <f t="shared" si="62"/>
        <v>12244.225910513036</v>
      </c>
      <c r="K358" s="10">
        <f t="shared" si="63"/>
        <v>6170.8200352761523</v>
      </c>
      <c r="L358" s="10">
        <f t="shared" si="64"/>
        <v>6088.2074966018954</v>
      </c>
      <c r="M358" s="88">
        <f>12305+18023.8+5164.76</f>
        <v>35493.56</v>
      </c>
      <c r="N358" s="88">
        <f t="shared" si="65"/>
        <v>15794.634046252915</v>
      </c>
      <c r="O358" s="88">
        <f t="shared" si="66"/>
        <v>4081.7590925058298</v>
      </c>
      <c r="P358" s="88">
        <f t="shared" si="67"/>
        <v>8873.39</v>
      </c>
      <c r="Q358" s="88">
        <f t="shared" si="68"/>
        <v>6743.7776299766792</v>
      </c>
      <c r="R358" s="86">
        <v>49669.85</v>
      </c>
      <c r="S358" s="86"/>
      <c r="T358" s="86">
        <v>5996</v>
      </c>
      <c r="U358" s="112">
        <v>9690.2999999999993</v>
      </c>
      <c r="V358" s="112">
        <f t="shared" si="69"/>
        <v>33983.550000000003</v>
      </c>
      <c r="W358" s="86">
        <v>40013</v>
      </c>
      <c r="X358" s="86">
        <v>31907.4</v>
      </c>
      <c r="Y358" s="62"/>
      <c r="Z358" s="402"/>
    </row>
    <row r="359" spans="1:27">
      <c r="A359" s="22" t="s">
        <v>66</v>
      </c>
      <c r="B359" s="337" t="s">
        <v>33</v>
      </c>
      <c r="C359" s="337">
        <v>176</v>
      </c>
      <c r="D359" s="317" t="s">
        <v>554</v>
      </c>
      <c r="E359" s="317" t="s">
        <v>555</v>
      </c>
      <c r="F359" s="337">
        <v>6100004040</v>
      </c>
      <c r="G359" s="337">
        <v>244</v>
      </c>
      <c r="H359" s="10">
        <v>9217.4</v>
      </c>
      <c r="I359" s="10">
        <f t="shared" si="61"/>
        <v>742.62084677568555</v>
      </c>
      <c r="J359" s="10">
        <f t="shared" si="62"/>
        <v>4234.8305431649369</v>
      </c>
      <c r="K359" s="10">
        <f t="shared" si="63"/>
        <v>2134.2612716189778</v>
      </c>
      <c r="L359" s="10">
        <f t="shared" si="64"/>
        <v>2105.6886117723675</v>
      </c>
      <c r="M359" s="88">
        <f>802.5+6510+9950</f>
        <v>17262.5</v>
      </c>
      <c r="N359" s="88">
        <f t="shared" si="65"/>
        <v>7681.8124252242087</v>
      </c>
      <c r="O359" s="88">
        <f t="shared" si="66"/>
        <v>1985.1873504484165</v>
      </c>
      <c r="P359" s="88">
        <f t="shared" si="67"/>
        <v>4315.625</v>
      </c>
      <c r="Q359" s="88">
        <f t="shared" si="68"/>
        <v>3279.875598206334</v>
      </c>
      <c r="R359" s="86">
        <v>37950</v>
      </c>
      <c r="S359" s="86"/>
      <c r="T359" s="86">
        <v>6840</v>
      </c>
      <c r="U359" s="112">
        <v>1039.0999999999999</v>
      </c>
      <c r="V359" s="112">
        <f t="shared" si="69"/>
        <v>30070.9</v>
      </c>
      <c r="W359" s="86">
        <v>14586</v>
      </c>
      <c r="X359" s="86">
        <v>10224.6</v>
      </c>
      <c r="Y359" s="62"/>
      <c r="Z359" s="402"/>
    </row>
    <row r="360" spans="1:27">
      <c r="A360" s="22" t="s">
        <v>67</v>
      </c>
      <c r="B360" s="337" t="s">
        <v>33</v>
      </c>
      <c r="C360" s="337">
        <v>176</v>
      </c>
      <c r="D360" s="317" t="s">
        <v>554</v>
      </c>
      <c r="E360" s="317" t="s">
        <v>555</v>
      </c>
      <c r="F360" s="337">
        <v>6100004040</v>
      </c>
      <c r="G360" s="337">
        <v>244</v>
      </c>
      <c r="H360" s="10">
        <v>13800</v>
      </c>
      <c r="I360" s="10">
        <f t="shared" si="61"/>
        <v>1111.8284641552348</v>
      </c>
      <c r="J360" s="10">
        <f t="shared" si="62"/>
        <v>6340.2544639134831</v>
      </c>
      <c r="K360" s="10">
        <f t="shared" si="63"/>
        <v>3195.3485308592335</v>
      </c>
      <c r="L360" s="10">
        <f t="shared" si="64"/>
        <v>3152.570447464434</v>
      </c>
      <c r="M360" s="88">
        <f>4280+7505</f>
        <v>11785</v>
      </c>
      <c r="N360" s="88">
        <f t="shared" si="65"/>
        <v>5244.3249489510381</v>
      </c>
      <c r="O360" s="88">
        <f t="shared" si="66"/>
        <v>1355.2748979020762</v>
      </c>
      <c r="P360" s="88">
        <f t="shared" si="67"/>
        <v>2946.25</v>
      </c>
      <c r="Q360" s="88">
        <f t="shared" si="68"/>
        <v>2239.1504083916961</v>
      </c>
      <c r="R360" s="86">
        <v>13614.8</v>
      </c>
      <c r="S360" s="86"/>
      <c r="T360" s="86">
        <v>6573.4</v>
      </c>
      <c r="U360" s="112">
        <f>5660+1695-313.6</f>
        <v>7041.4</v>
      </c>
      <c r="V360" s="112">
        <f t="shared" si="69"/>
        <v>0</v>
      </c>
      <c r="W360" s="86">
        <v>17703</v>
      </c>
      <c r="X360" s="86">
        <v>12131</v>
      </c>
      <c r="Y360" s="62"/>
      <c r="Z360" s="402"/>
    </row>
    <row r="361" spans="1:27">
      <c r="A361" s="22" t="s">
        <v>68</v>
      </c>
      <c r="B361" s="337" t="s">
        <v>33</v>
      </c>
      <c r="C361" s="337">
        <v>176</v>
      </c>
      <c r="D361" s="317" t="s">
        <v>554</v>
      </c>
      <c r="E361" s="317" t="s">
        <v>555</v>
      </c>
      <c r="F361" s="337">
        <v>6100004040</v>
      </c>
      <c r="G361" s="337">
        <v>244</v>
      </c>
      <c r="H361" s="10">
        <v>6330.2</v>
      </c>
      <c r="I361" s="10">
        <f t="shared" si="61"/>
        <v>510.00699592720775</v>
      </c>
      <c r="J361" s="10">
        <f t="shared" si="62"/>
        <v>2908.3390440192115</v>
      </c>
      <c r="K361" s="10">
        <f t="shared" si="63"/>
        <v>1465.7387876844286</v>
      </c>
      <c r="L361" s="10">
        <f t="shared" si="64"/>
        <v>1446.1160468506782</v>
      </c>
      <c r="M361" s="88">
        <f>2140+8749.99</f>
        <v>10889.99</v>
      </c>
      <c r="N361" s="88">
        <f t="shared" si="65"/>
        <v>4846.045502827943</v>
      </c>
      <c r="O361" s="88">
        <f t="shared" si="66"/>
        <v>1252.3487556558871</v>
      </c>
      <c r="P361" s="88">
        <f t="shared" si="67"/>
        <v>2722.4974999999999</v>
      </c>
      <c r="Q361" s="88">
        <f t="shared" si="68"/>
        <v>2069.0984773764517</v>
      </c>
      <c r="R361" s="86">
        <v>19948.2</v>
      </c>
      <c r="S361" s="86"/>
      <c r="T361" s="86">
        <v>6388.2</v>
      </c>
      <c r="U361" s="112">
        <v>2559.3000000000002</v>
      </c>
      <c r="V361" s="112">
        <f t="shared" si="69"/>
        <v>11000.7</v>
      </c>
      <c r="W361" s="86">
        <v>21242.400000000001</v>
      </c>
      <c r="X361" s="86">
        <v>15181.1</v>
      </c>
      <c r="Y361" s="62"/>
      <c r="Z361" s="402"/>
    </row>
    <row r="362" spans="1:27">
      <c r="A362" s="22" t="s">
        <v>69</v>
      </c>
      <c r="B362" s="337" t="s">
        <v>33</v>
      </c>
      <c r="C362" s="337">
        <v>176</v>
      </c>
      <c r="D362" s="317" t="s">
        <v>554</v>
      </c>
      <c r="E362" s="317" t="s">
        <v>555</v>
      </c>
      <c r="F362" s="337">
        <v>6100004040</v>
      </c>
      <c r="G362" s="337">
        <v>244</v>
      </c>
      <c r="H362" s="10">
        <v>19339</v>
      </c>
      <c r="I362" s="10">
        <f t="shared" si="61"/>
        <v>1558.0906281375424</v>
      </c>
      <c r="J362" s="10">
        <f t="shared" si="62"/>
        <v>8885.0855853349876</v>
      </c>
      <c r="K362" s="10">
        <f t="shared" si="63"/>
        <v>4477.8873361077331</v>
      </c>
      <c r="L362" s="10">
        <f t="shared" si="64"/>
        <v>4417.9391219938179</v>
      </c>
      <c r="M362" s="88">
        <f>12251.5+4862.6+431.18</f>
        <v>17545.28</v>
      </c>
      <c r="N362" s="88">
        <f t="shared" si="65"/>
        <v>7807.6495239992919</v>
      </c>
      <c r="O362" s="88">
        <f t="shared" si="66"/>
        <v>2017.7070479985862</v>
      </c>
      <c r="P362" s="88">
        <f t="shared" si="67"/>
        <v>4386.32</v>
      </c>
      <c r="Q362" s="88">
        <f t="shared" si="68"/>
        <v>3333.6038080056555</v>
      </c>
      <c r="R362" s="86">
        <v>12540</v>
      </c>
      <c r="S362" s="86"/>
      <c r="T362" s="86"/>
      <c r="U362" s="112">
        <f>R362</f>
        <v>12540</v>
      </c>
      <c r="V362" s="112">
        <f t="shared" si="69"/>
        <v>0</v>
      </c>
      <c r="W362" s="86">
        <v>12508</v>
      </c>
      <c r="X362" s="86">
        <v>8835.7999999999993</v>
      </c>
      <c r="Y362" s="62"/>
      <c r="Z362" s="402"/>
    </row>
    <row r="363" spans="1:27">
      <c r="A363" s="22" t="s">
        <v>70</v>
      </c>
      <c r="B363" s="337" t="s">
        <v>33</v>
      </c>
      <c r="C363" s="337">
        <v>176</v>
      </c>
      <c r="D363" s="317" t="s">
        <v>554</v>
      </c>
      <c r="E363" s="317" t="s">
        <v>555</v>
      </c>
      <c r="F363" s="337">
        <v>6100004040</v>
      </c>
      <c r="G363" s="337">
        <v>244</v>
      </c>
      <c r="H363" s="10">
        <v>7453.9</v>
      </c>
      <c r="I363" s="10">
        <f t="shared" si="61"/>
        <v>600.54044847584805</v>
      </c>
      <c r="J363" s="10">
        <f t="shared" si="62"/>
        <v>3424.6103440988913</v>
      </c>
      <c r="K363" s="10">
        <f t="shared" si="63"/>
        <v>1725.9281459544666</v>
      </c>
      <c r="L363" s="10">
        <f t="shared" si="64"/>
        <v>1702.8220911851552</v>
      </c>
      <c r="M363" s="88"/>
      <c r="N363" s="88"/>
      <c r="O363" s="88"/>
      <c r="P363" s="88"/>
      <c r="Q363" s="88"/>
      <c r="R363" s="86">
        <v>16990</v>
      </c>
      <c r="S363" s="86"/>
      <c r="T363" s="86"/>
      <c r="U363" s="112">
        <v>7040</v>
      </c>
      <c r="V363" s="112">
        <f t="shared" si="69"/>
        <v>9950</v>
      </c>
      <c r="W363" s="86">
        <v>14760</v>
      </c>
      <c r="X363" s="86">
        <v>9836.2000000000007</v>
      </c>
      <c r="Y363" s="62"/>
      <c r="Z363" s="402"/>
    </row>
    <row r="364" spans="1:27" ht="24" customHeight="1">
      <c r="A364" s="22" t="s">
        <v>71</v>
      </c>
      <c r="B364" s="337" t="s">
        <v>33</v>
      </c>
      <c r="C364" s="337">
        <v>176</v>
      </c>
      <c r="D364" s="317" t="s">
        <v>554</v>
      </c>
      <c r="E364" s="317" t="s">
        <v>555</v>
      </c>
      <c r="F364" s="337">
        <v>6100004040</v>
      </c>
      <c r="G364" s="337">
        <v>244</v>
      </c>
      <c r="H364" s="10">
        <v>7484</v>
      </c>
      <c r="I364" s="10">
        <f t="shared" si="61"/>
        <v>602.96552360418673</v>
      </c>
      <c r="J364" s="10">
        <f t="shared" si="62"/>
        <v>3438.4394498498914</v>
      </c>
      <c r="K364" s="10">
        <f t="shared" si="63"/>
        <v>1732.8977105036593</v>
      </c>
      <c r="L364" s="10">
        <f t="shared" si="64"/>
        <v>1709.69834991477</v>
      </c>
      <c r="M364" s="88">
        <f>3210+24441.5</f>
        <v>27651.5</v>
      </c>
      <c r="N364" s="88">
        <f t="shared" si="65"/>
        <v>12304.917380222285</v>
      </c>
      <c r="O364" s="88">
        <f t="shared" si="66"/>
        <v>3179.9222604445699</v>
      </c>
      <c r="P364" s="88">
        <f t="shared" si="67"/>
        <v>6912.875</v>
      </c>
      <c r="Q364" s="88">
        <f t="shared" si="68"/>
        <v>5253.7859582217206</v>
      </c>
      <c r="R364" s="86">
        <v>65704.800000000003</v>
      </c>
      <c r="S364" s="86"/>
      <c r="T364" s="86"/>
      <c r="U364" s="112">
        <f>7435.5+3639.9</f>
        <v>11075.4</v>
      </c>
      <c r="V364" s="112">
        <f t="shared" si="69"/>
        <v>54629.4</v>
      </c>
      <c r="W364" s="86">
        <v>20767</v>
      </c>
      <c r="X364" s="86">
        <v>15304.4</v>
      </c>
      <c r="Y364" s="62"/>
      <c r="Z364" s="405"/>
    </row>
    <row r="365" spans="1:27" ht="28.5" hidden="1" customHeight="1">
      <c r="A365" s="22" t="s">
        <v>558</v>
      </c>
      <c r="B365" s="337" t="s">
        <v>33</v>
      </c>
      <c r="C365" s="337">
        <v>176</v>
      </c>
      <c r="D365" s="317" t="s">
        <v>554</v>
      </c>
      <c r="E365" s="317" t="s">
        <v>555</v>
      </c>
      <c r="F365" s="337">
        <v>6100004040</v>
      </c>
      <c r="G365" s="337">
        <v>244</v>
      </c>
      <c r="H365" s="10">
        <v>66165.5</v>
      </c>
      <c r="I365" s="10">
        <v>66165.5</v>
      </c>
      <c r="J365" s="10">
        <v>0</v>
      </c>
      <c r="K365" s="10">
        <v>0</v>
      </c>
      <c r="L365" s="10">
        <v>0</v>
      </c>
      <c r="M365" s="88">
        <v>1955.5</v>
      </c>
      <c r="N365" s="88">
        <v>1955.5</v>
      </c>
      <c r="O365" s="88"/>
      <c r="P365" s="88"/>
      <c r="Q365" s="88"/>
      <c r="R365" s="86">
        <v>1250.9000000000001</v>
      </c>
      <c r="S365" s="86">
        <v>1250.9000000000001</v>
      </c>
      <c r="T365" s="86"/>
      <c r="U365" s="112"/>
      <c r="V365" s="112"/>
      <c r="W365" s="86"/>
      <c r="X365" s="86"/>
      <c r="Y365" s="62"/>
      <c r="Z365" s="264" t="s">
        <v>559</v>
      </c>
      <c r="AA365" s="277">
        <f>R324-R365</f>
        <v>1005089.4720000001</v>
      </c>
    </row>
    <row r="366" spans="1:27" ht="40.5" hidden="1" customHeight="1">
      <c r="A366" s="22"/>
      <c r="B366" s="337"/>
      <c r="C366" s="337"/>
      <c r="D366" s="317"/>
      <c r="E366" s="337"/>
      <c r="F366" s="337"/>
      <c r="G366" s="337"/>
      <c r="H366" s="1"/>
      <c r="I366" s="1"/>
      <c r="J366" s="1"/>
      <c r="K366" s="1"/>
      <c r="L366" s="1"/>
      <c r="M366" s="76"/>
      <c r="N366" s="76"/>
      <c r="O366" s="76"/>
      <c r="P366" s="76"/>
      <c r="Q366" s="76"/>
      <c r="R366" s="75"/>
      <c r="S366" s="75"/>
      <c r="T366" s="75"/>
      <c r="U366" s="117"/>
      <c r="V366" s="117"/>
      <c r="W366" s="75"/>
      <c r="X366" s="75"/>
      <c r="Y366" s="62"/>
      <c r="Z366" s="62"/>
      <c r="AA366" s="278"/>
    </row>
    <row r="367" spans="1:27" s="108" customFormat="1" ht="26.45" customHeight="1">
      <c r="A367" s="397" t="s">
        <v>573</v>
      </c>
      <c r="B367" s="319" t="s">
        <v>667</v>
      </c>
      <c r="C367" s="12"/>
      <c r="D367" s="12"/>
      <c r="E367" s="12"/>
      <c r="F367" s="12"/>
      <c r="G367" s="12"/>
      <c r="H367" s="34"/>
      <c r="I367" s="12"/>
      <c r="J367" s="12"/>
      <c r="K367" s="12"/>
      <c r="L367" s="34"/>
      <c r="M367" s="84"/>
      <c r="N367" s="84"/>
      <c r="O367" s="84"/>
      <c r="P367" s="84"/>
      <c r="Q367" s="84"/>
      <c r="R367" s="84"/>
      <c r="S367" s="84"/>
      <c r="T367" s="84"/>
      <c r="U367" s="110"/>
      <c r="V367" s="110"/>
      <c r="W367" s="110"/>
      <c r="X367" s="110"/>
      <c r="Y367" s="392"/>
      <c r="Z367" s="392" t="s">
        <v>576</v>
      </c>
    </row>
    <row r="368" spans="1:27" s="108" customFormat="1" ht="30" customHeight="1">
      <c r="A368" s="398"/>
      <c r="B368" s="12" t="s">
        <v>560</v>
      </c>
      <c r="C368" s="12"/>
      <c r="D368" s="12"/>
      <c r="E368" s="12"/>
      <c r="F368" s="12"/>
      <c r="G368" s="12"/>
      <c r="H368" s="13"/>
      <c r="I368" s="13"/>
      <c r="J368" s="13"/>
      <c r="K368" s="13"/>
      <c r="L368" s="13"/>
      <c r="M368" s="59"/>
      <c r="N368" s="59"/>
      <c r="O368" s="59"/>
      <c r="P368" s="59"/>
      <c r="Q368" s="59"/>
      <c r="R368" s="59"/>
      <c r="S368" s="59"/>
      <c r="T368" s="59"/>
      <c r="U368" s="111"/>
      <c r="V368" s="111"/>
      <c r="W368" s="111"/>
      <c r="X368" s="111"/>
      <c r="Y368" s="393"/>
      <c r="Z368" s="393"/>
    </row>
    <row r="369" spans="1:27" s="108" customFormat="1" ht="30.75" customHeight="1">
      <c r="A369" s="398"/>
      <c r="B369" s="12" t="s">
        <v>561</v>
      </c>
      <c r="C369" s="12">
        <v>176</v>
      </c>
      <c r="D369" s="178" t="s">
        <v>554</v>
      </c>
      <c r="E369" s="178" t="s">
        <v>555</v>
      </c>
      <c r="F369" s="12">
        <v>6100004040</v>
      </c>
      <c r="G369" s="12">
        <v>244</v>
      </c>
      <c r="H369" s="13"/>
      <c r="I369" s="13"/>
      <c r="J369" s="13"/>
      <c r="K369" s="13"/>
      <c r="L369" s="13"/>
      <c r="M369" s="59"/>
      <c r="N369" s="59"/>
      <c r="O369" s="59"/>
      <c r="P369" s="59"/>
      <c r="Q369" s="59"/>
      <c r="R369" s="59">
        <f>R370</f>
        <v>1250.9000000000001</v>
      </c>
      <c r="S369" s="59">
        <f>S370</f>
        <v>1250.9000000000001</v>
      </c>
      <c r="T369" s="59"/>
      <c r="U369" s="111"/>
      <c r="V369" s="111"/>
      <c r="W369" s="111"/>
      <c r="X369" s="111"/>
      <c r="Y369" s="393"/>
      <c r="Z369" s="393"/>
    </row>
    <row r="370" spans="1:27" s="108" customFormat="1" ht="32.450000000000003" customHeight="1">
      <c r="A370" s="398"/>
      <c r="B370" s="12" t="s">
        <v>563</v>
      </c>
      <c r="C370" s="12">
        <v>176</v>
      </c>
      <c r="D370" s="178" t="s">
        <v>554</v>
      </c>
      <c r="E370" s="178" t="s">
        <v>555</v>
      </c>
      <c r="F370" s="12">
        <v>6100004040</v>
      </c>
      <c r="G370" s="12">
        <v>244</v>
      </c>
      <c r="H370" s="13"/>
      <c r="I370" s="13"/>
      <c r="J370" s="13"/>
      <c r="K370" s="13"/>
      <c r="L370" s="13"/>
      <c r="M370" s="59"/>
      <c r="N370" s="59"/>
      <c r="O370" s="59"/>
      <c r="P370" s="59"/>
      <c r="Q370" s="59"/>
      <c r="R370" s="59">
        <f>1251-0.1</f>
        <v>1250.9000000000001</v>
      </c>
      <c r="S370" s="59">
        <f>1251-0.1</f>
        <v>1250.9000000000001</v>
      </c>
      <c r="T370" s="59"/>
      <c r="U370" s="111"/>
      <c r="V370" s="111"/>
      <c r="W370" s="111"/>
      <c r="X370" s="111"/>
      <c r="Y370" s="393"/>
      <c r="Z370" s="393"/>
    </row>
    <row r="371" spans="1:27" s="108" customFormat="1" ht="25.5" customHeight="1">
      <c r="A371" s="398"/>
      <c r="B371" s="280" t="s">
        <v>463</v>
      </c>
      <c r="C371" s="12"/>
      <c r="D371" s="178"/>
      <c r="E371" s="178"/>
      <c r="F371" s="12"/>
      <c r="G371" s="12"/>
      <c r="H371" s="13"/>
      <c r="I371" s="13"/>
      <c r="J371" s="13"/>
      <c r="K371" s="13"/>
      <c r="L371" s="13"/>
      <c r="M371" s="59"/>
      <c r="N371" s="59"/>
      <c r="O371" s="59"/>
      <c r="P371" s="59"/>
      <c r="Q371" s="59"/>
      <c r="R371" s="59"/>
      <c r="S371" s="59"/>
      <c r="T371" s="59"/>
      <c r="U371" s="111"/>
      <c r="V371" s="111"/>
      <c r="W371" s="111"/>
      <c r="X371" s="111"/>
      <c r="Y371" s="393"/>
      <c r="Z371" s="393"/>
    </row>
    <row r="372" spans="1:27" s="108" customFormat="1" ht="30" customHeight="1">
      <c r="A372" s="398"/>
      <c r="B372" s="12" t="s">
        <v>462</v>
      </c>
      <c r="C372" s="12"/>
      <c r="D372" s="178"/>
      <c r="E372" s="178"/>
      <c r="F372" s="12"/>
      <c r="G372" s="12"/>
      <c r="H372" s="13"/>
      <c r="I372" s="13"/>
      <c r="J372" s="13"/>
      <c r="K372" s="13"/>
      <c r="L372" s="13"/>
      <c r="M372" s="59"/>
      <c r="N372" s="59"/>
      <c r="O372" s="59"/>
      <c r="P372" s="59"/>
      <c r="Q372" s="59"/>
      <c r="R372" s="59"/>
      <c r="S372" s="59"/>
      <c r="T372" s="59"/>
      <c r="U372" s="111"/>
      <c r="V372" s="111"/>
      <c r="W372" s="111"/>
      <c r="X372" s="111"/>
      <c r="Y372" s="393"/>
      <c r="Z372" s="393"/>
    </row>
    <row r="373" spans="1:27" s="108" customFormat="1" ht="30" hidden="1" customHeight="1">
      <c r="A373" s="398"/>
      <c r="B373" s="12" t="s">
        <v>484</v>
      </c>
      <c r="C373" s="12"/>
      <c r="D373" s="178"/>
      <c r="E373" s="178"/>
      <c r="F373" s="12"/>
      <c r="G373" s="12"/>
      <c r="H373" s="13"/>
      <c r="I373" s="13"/>
      <c r="J373" s="13"/>
      <c r="K373" s="13"/>
      <c r="L373" s="13"/>
      <c r="M373" s="59"/>
      <c r="N373" s="59"/>
      <c r="O373" s="59"/>
      <c r="P373" s="59"/>
      <c r="Q373" s="59"/>
      <c r="R373" s="59"/>
      <c r="S373" s="59"/>
      <c r="T373" s="59"/>
      <c r="U373" s="111"/>
      <c r="V373" s="111"/>
      <c r="W373" s="111"/>
      <c r="X373" s="111"/>
      <c r="Y373" s="393"/>
      <c r="Z373" s="393"/>
    </row>
    <row r="374" spans="1:27" s="108" customFormat="1" ht="30" customHeight="1">
      <c r="A374" s="418"/>
      <c r="B374" s="12" t="s">
        <v>484</v>
      </c>
      <c r="C374" s="12"/>
      <c r="D374" s="178"/>
      <c r="E374" s="178"/>
      <c r="F374" s="12"/>
      <c r="G374" s="12"/>
      <c r="H374" s="13"/>
      <c r="I374" s="13"/>
      <c r="J374" s="13"/>
      <c r="K374" s="13"/>
      <c r="L374" s="13"/>
      <c r="M374" s="59"/>
      <c r="N374" s="59"/>
      <c r="O374" s="59"/>
      <c r="P374" s="59"/>
      <c r="Q374" s="59"/>
      <c r="R374" s="59"/>
      <c r="S374" s="59"/>
      <c r="T374" s="59"/>
      <c r="U374" s="111"/>
      <c r="V374" s="111"/>
      <c r="W374" s="111"/>
      <c r="X374" s="111"/>
      <c r="Y374" s="394"/>
      <c r="Z374" s="394"/>
    </row>
    <row r="375" spans="1:27" ht="44.45" customHeight="1">
      <c r="A375" s="415" t="s">
        <v>408</v>
      </c>
      <c r="B375" s="12" t="s">
        <v>74</v>
      </c>
      <c r="C375" s="12"/>
      <c r="D375" s="178"/>
      <c r="E375" s="178"/>
      <c r="F375" s="12"/>
      <c r="G375" s="12"/>
      <c r="H375" s="8">
        <v>35</v>
      </c>
      <c r="I375" s="8">
        <v>30</v>
      </c>
      <c r="J375" s="8">
        <v>29</v>
      </c>
      <c r="K375" s="8">
        <v>31</v>
      </c>
      <c r="L375" s="8">
        <v>31</v>
      </c>
      <c r="M375" s="95">
        <v>35</v>
      </c>
      <c r="N375" s="95"/>
      <c r="O375" s="95"/>
      <c r="P375" s="95"/>
      <c r="Q375" s="95"/>
      <c r="R375" s="111">
        <v>35</v>
      </c>
      <c r="S375" s="111"/>
      <c r="T375" s="111"/>
      <c r="U375" s="111"/>
      <c r="V375" s="111"/>
      <c r="W375" s="59">
        <v>35</v>
      </c>
      <c r="X375" s="59">
        <v>35</v>
      </c>
      <c r="Y375" s="401" t="s">
        <v>207</v>
      </c>
      <c r="Z375" s="401" t="s">
        <v>206</v>
      </c>
      <c r="AA375" s="277">
        <f>S326-S365</f>
        <v>24347.3</v>
      </c>
    </row>
    <row r="376" spans="1:27" ht="1.1499999999999999" hidden="1" customHeight="1">
      <c r="A376" s="416"/>
      <c r="B376" s="12" t="s">
        <v>24</v>
      </c>
      <c r="C376" s="12"/>
      <c r="D376" s="178"/>
      <c r="E376" s="178"/>
      <c r="F376" s="12"/>
      <c r="G376" s="12"/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0"/>
      <c r="N376" s="90"/>
      <c r="O376" s="90"/>
      <c r="P376" s="90"/>
      <c r="Q376" s="90"/>
      <c r="R376" s="111"/>
      <c r="S376" s="111"/>
      <c r="T376" s="111"/>
      <c r="U376" s="111"/>
      <c r="V376" s="111"/>
      <c r="W376" s="59"/>
      <c r="X376" s="59"/>
      <c r="Y376" s="402"/>
      <c r="Z376" s="402"/>
      <c r="AA376" s="278"/>
    </row>
    <row r="377" spans="1:27" ht="30" customHeight="1">
      <c r="A377" s="416"/>
      <c r="B377" s="12" t="s">
        <v>25</v>
      </c>
      <c r="C377" s="12">
        <v>176</v>
      </c>
      <c r="D377" s="178" t="s">
        <v>554</v>
      </c>
      <c r="E377" s="178" t="s">
        <v>555</v>
      </c>
      <c r="F377" s="12" t="s">
        <v>490</v>
      </c>
      <c r="G377" s="12" t="s">
        <v>491</v>
      </c>
      <c r="H377" s="7">
        <f t="shared" ref="H377:Q377" si="70">SUM(H380:H382)</f>
        <v>338311.1</v>
      </c>
      <c r="I377" s="7">
        <f t="shared" si="70"/>
        <v>23511.642</v>
      </c>
      <c r="J377" s="7">
        <f t="shared" si="70"/>
        <v>50374.6</v>
      </c>
      <c r="K377" s="7">
        <f t="shared" si="70"/>
        <v>50374.6</v>
      </c>
      <c r="L377" s="7">
        <f t="shared" si="70"/>
        <v>214050.258</v>
      </c>
      <c r="M377" s="90" t="e">
        <f t="shared" si="70"/>
        <v>#REF!</v>
      </c>
      <c r="N377" s="90" t="e">
        <f t="shared" si="70"/>
        <v>#REF!</v>
      </c>
      <c r="O377" s="90" t="e">
        <f t="shared" si="70"/>
        <v>#REF!</v>
      </c>
      <c r="P377" s="90" t="e">
        <f t="shared" si="70"/>
        <v>#REF!</v>
      </c>
      <c r="Q377" s="90" t="e">
        <f t="shared" si="70"/>
        <v>#REF!</v>
      </c>
      <c r="R377" s="113">
        <f>R379+R380+R381</f>
        <v>2971414.5000000005</v>
      </c>
      <c r="S377" s="113">
        <f t="shared" ref="S377:X377" si="71">SUM(S379:S381)</f>
        <v>157786.68421052632</v>
      </c>
      <c r="T377" s="113">
        <f t="shared" si="71"/>
        <v>315573.36842105264</v>
      </c>
      <c r="U377" s="113">
        <f t="shared" si="71"/>
        <v>471946.68421052635</v>
      </c>
      <c r="V377" s="113">
        <f t="shared" si="71"/>
        <v>2026107.789473684</v>
      </c>
      <c r="W377" s="113">
        <f t="shared" si="71"/>
        <v>2411381.9999999995</v>
      </c>
      <c r="X377" s="113">
        <f t="shared" si="71"/>
        <v>1810526.3157894735</v>
      </c>
      <c r="Y377" s="402"/>
      <c r="Z377" s="402"/>
      <c r="AA377" s="278"/>
    </row>
    <row r="378" spans="1:27">
      <c r="A378" s="416"/>
      <c r="B378" s="12" t="s">
        <v>9</v>
      </c>
      <c r="C378" s="12"/>
      <c r="D378" s="178"/>
      <c r="E378" s="178"/>
      <c r="F378" s="12"/>
      <c r="G378" s="12"/>
      <c r="H378" s="7"/>
      <c r="I378" s="7"/>
      <c r="J378" s="7"/>
      <c r="K378" s="7"/>
      <c r="L378" s="7"/>
      <c r="M378" s="90"/>
      <c r="N378" s="90"/>
      <c r="O378" s="90"/>
      <c r="P378" s="90"/>
      <c r="Q378" s="90"/>
      <c r="R378" s="111"/>
      <c r="S378" s="111"/>
      <c r="T378" s="111"/>
      <c r="U378" s="111"/>
      <c r="V378" s="111"/>
      <c r="W378" s="59"/>
      <c r="X378" s="59"/>
      <c r="Y378" s="402"/>
      <c r="Z378" s="402"/>
      <c r="AA378" s="278"/>
    </row>
    <row r="379" spans="1:27" ht="25.9" customHeight="1">
      <c r="A379" s="416"/>
      <c r="B379" s="12" t="s">
        <v>10</v>
      </c>
      <c r="C379" s="12">
        <v>176</v>
      </c>
      <c r="D379" s="178" t="s">
        <v>554</v>
      </c>
      <c r="E379" s="178" t="s">
        <v>555</v>
      </c>
      <c r="F379" s="12">
        <v>6100070760</v>
      </c>
      <c r="G379" s="12" t="s">
        <v>491</v>
      </c>
      <c r="H379" s="7"/>
      <c r="I379" s="7"/>
      <c r="J379" s="7"/>
      <c r="K379" s="7"/>
      <c r="L379" s="7"/>
      <c r="M379" s="90"/>
      <c r="N379" s="90"/>
      <c r="O379" s="90"/>
      <c r="P379" s="90"/>
      <c r="Q379" s="90"/>
      <c r="R379" s="111">
        <f>R384+R386+R388+R390+R392+R394+R396+R398+R400+R402+R404+R406+R408+R410+R412+R414+R416+R418+R420+R422+R426+R428+R430+R432+R434+R436+R438+R440+R442+R445+R449+R453+R457+R461+R462+R424</f>
        <v>2245827.7000000002</v>
      </c>
      <c r="S379" s="111">
        <f>S384+S386+S388+S390+S392+S394+S396+S398+S400+S402+S404+S406+S408+S410+S412+S414+S416+S418+S420+S422+S426+S428+S430+S432+S434+S436+S438+S440+S442+S445+S449+S453+S457+S461+S462+S424</f>
        <v>149897.35</v>
      </c>
      <c r="T379" s="111">
        <f>T384+T386+T388+T390+T392+T394+T396+T398+T400+T402+T404+T406+T408+T410+T412+T414+T416+T418+T420+T422+T426+T428+T430+T432+T434+T436+T438+T440+T442+T445+T449+T453+T457+T461+T462+T424</f>
        <v>299794.7</v>
      </c>
      <c r="U379" s="111">
        <f>U384+U386+U388+U390+U392+U394+U396+U398+U400+U402+U404+U406+U408+U410+U412+U414+U416+U418+U420+U422+U426+U428+U430+U432+U434+U436+U438+U440+U442+U445+U449+U453+U457+U461+U462+U424</f>
        <v>448349.35000000003</v>
      </c>
      <c r="V379" s="111">
        <f>V384+V386+V388+V390+V392+V394+V396+V398+V400+V402+V404+V406+V408+V410+V412+V414+V416+V418+V420+V422+V426+V428+V430+V432+V434+V436+V438+V440+V442+V445+V449+V453+V457+V461+V462+V424</f>
        <v>1347786.3</v>
      </c>
      <c r="W379" s="111">
        <f>W384+W386+W388+W390+W392+W394+W396+W398+W400+W402+W404+W406+W408+W410+W412+W414+W416+W418+W420+W422+W424+W426+W428+W430+W432+W434+W436+W438+W440+W442+W445+W449+W453+W457+W462</f>
        <v>1690812.8999999994</v>
      </c>
      <c r="X379" s="111">
        <f>X384+X386+X388+X390+X392+X394+X396+X398+X400+X402+X404+X406+X408+X410+X412+X414+X416+X418+X420+X422+X424+X426+X428+X430+X432+X434+X436+X438+X440+X442+X445+X449+X453+X457+X462</f>
        <v>1719999.9999999998</v>
      </c>
      <c r="Y379" s="402"/>
      <c r="Z379" s="402"/>
      <c r="AA379" s="278"/>
    </row>
    <row r="380" spans="1:27" ht="30.75" customHeight="1">
      <c r="A380" s="416"/>
      <c r="B380" s="12" t="s">
        <v>664</v>
      </c>
      <c r="C380" s="12">
        <v>176</v>
      </c>
      <c r="D380" s="178" t="s">
        <v>554</v>
      </c>
      <c r="E380" s="178" t="s">
        <v>555</v>
      </c>
      <c r="F380" s="12">
        <v>6100053901</v>
      </c>
      <c r="G380" s="12">
        <v>521</v>
      </c>
      <c r="H380" s="7">
        <v>0</v>
      </c>
      <c r="I380" s="7">
        <v>0</v>
      </c>
      <c r="J380" s="7">
        <v>0</v>
      </c>
      <c r="K380" s="35">
        <v>0</v>
      </c>
      <c r="L380" s="35">
        <v>0</v>
      </c>
      <c r="M380" s="96"/>
      <c r="N380" s="96"/>
      <c r="O380" s="96"/>
      <c r="P380" s="96"/>
      <c r="Q380" s="96"/>
      <c r="R380" s="118">
        <f>R446+R450+R454+R458+R463</f>
        <v>577016.1</v>
      </c>
      <c r="S380" s="118">
        <f t="shared" ref="S380:X380" si="72">S446+S450+S454+S458+S463</f>
        <v>0</v>
      </c>
      <c r="T380" s="118">
        <f t="shared" si="72"/>
        <v>0</v>
      </c>
      <c r="U380" s="118">
        <f t="shared" si="72"/>
        <v>0</v>
      </c>
      <c r="V380" s="118">
        <f t="shared" si="72"/>
        <v>577016.1</v>
      </c>
      <c r="W380" s="118">
        <f t="shared" si="72"/>
        <v>600000</v>
      </c>
      <c r="X380" s="118">
        <f t="shared" si="72"/>
        <v>0</v>
      </c>
      <c r="Y380" s="402"/>
      <c r="Z380" s="402"/>
      <c r="AA380" s="278"/>
    </row>
    <row r="381" spans="1:27" ht="28.5" customHeight="1">
      <c r="A381" s="416"/>
      <c r="B381" s="12" t="s">
        <v>11</v>
      </c>
      <c r="C381" s="12"/>
      <c r="D381" s="178"/>
      <c r="E381" s="178"/>
      <c r="F381" s="12"/>
      <c r="G381" s="12"/>
      <c r="H381" s="7">
        <v>338311.1</v>
      </c>
      <c r="I381" s="7">
        <f>8011.642+15500</f>
        <v>23511.642</v>
      </c>
      <c r="J381" s="7">
        <v>50374.6</v>
      </c>
      <c r="K381" s="7">
        <v>50374.6</v>
      </c>
      <c r="L381" s="7">
        <f>H381-I381-J381-K381</f>
        <v>214050.258</v>
      </c>
      <c r="M381" s="59" t="e">
        <f>#REF!/0.95*0.05</f>
        <v>#REF!</v>
      </c>
      <c r="N381" s="59" t="e">
        <f>#REF!/0.95*0.05</f>
        <v>#REF!</v>
      </c>
      <c r="O381" s="59" t="e">
        <f>#REF!/0.95*0.05</f>
        <v>#REF!</v>
      </c>
      <c r="P381" s="59" t="e">
        <f>#REF!/0.95*0.05</f>
        <v>#REF!</v>
      </c>
      <c r="Q381" s="59" t="e">
        <f>#REF!/0.95*0.05</f>
        <v>#REF!</v>
      </c>
      <c r="R381" s="111">
        <v>148570.70000000001</v>
      </c>
      <c r="S381" s="111">
        <f t="shared" ref="S381:V381" si="73">(S379+S380)/0.95*0.05</f>
        <v>7889.3342105263164</v>
      </c>
      <c r="T381" s="111">
        <f t="shared" si="73"/>
        <v>15778.668421052633</v>
      </c>
      <c r="U381" s="111">
        <f t="shared" si="73"/>
        <v>23597.334210526318</v>
      </c>
      <c r="V381" s="111">
        <f t="shared" si="73"/>
        <v>101305.38947368422</v>
      </c>
      <c r="W381" s="59">
        <f>(W379/0.95*0.05)+(W380/0.95*0.05)</f>
        <v>120569.09999999998</v>
      </c>
      <c r="X381" s="59">
        <f>X379/0.95*0.05</f>
        <v>90526.31578947368</v>
      </c>
      <c r="Y381" s="402"/>
      <c r="Z381" s="402"/>
      <c r="AA381" s="278"/>
    </row>
    <row r="382" spans="1:27" ht="23.25" customHeight="1">
      <c r="A382" s="417"/>
      <c r="B382" s="12" t="s">
        <v>484</v>
      </c>
      <c r="C382" s="12"/>
      <c r="D382" s="178"/>
      <c r="E382" s="178"/>
      <c r="F382" s="12"/>
      <c r="G382" s="12"/>
      <c r="H382" s="7">
        <v>0</v>
      </c>
      <c r="I382" s="7">
        <v>0</v>
      </c>
      <c r="J382" s="7">
        <v>0</v>
      </c>
      <c r="K382" s="36">
        <v>0</v>
      </c>
      <c r="L382" s="36">
        <v>0</v>
      </c>
      <c r="M382" s="97" t="s">
        <v>283</v>
      </c>
      <c r="N382" s="97"/>
      <c r="O382" s="97"/>
      <c r="P382" s="97"/>
      <c r="Q382" s="97"/>
      <c r="R382" s="119"/>
      <c r="S382" s="119"/>
      <c r="T382" s="119"/>
      <c r="U382" s="119"/>
      <c r="V382" s="119"/>
      <c r="W382" s="119"/>
      <c r="X382" s="119"/>
      <c r="Y382" s="405"/>
      <c r="Z382" s="402"/>
      <c r="AA382" s="278"/>
    </row>
    <row r="383" spans="1:27" ht="20.45" customHeight="1">
      <c r="A383" s="22" t="s">
        <v>41</v>
      </c>
      <c r="B383" s="62"/>
      <c r="C383" s="62"/>
      <c r="D383" s="317"/>
      <c r="E383" s="317"/>
      <c r="F383" s="62"/>
      <c r="G383" s="62"/>
      <c r="H383" s="6"/>
      <c r="I383" s="6"/>
      <c r="J383" s="6"/>
      <c r="K383" s="6"/>
      <c r="L383" s="6"/>
      <c r="M383" s="93"/>
      <c r="N383" s="93"/>
      <c r="O383" s="93"/>
      <c r="P383" s="93"/>
      <c r="Q383" s="93"/>
      <c r="R383" s="112"/>
      <c r="S383" s="112"/>
      <c r="T383" s="112"/>
      <c r="U383" s="112"/>
      <c r="V383" s="112"/>
      <c r="W383" s="86"/>
      <c r="X383" s="86"/>
      <c r="Y383" s="62"/>
      <c r="Z383" s="402"/>
      <c r="AA383" s="278"/>
    </row>
    <row r="384" spans="1:27" ht="19.899999999999999" customHeight="1">
      <c r="A384" s="412" t="s">
        <v>42</v>
      </c>
      <c r="B384" s="62" t="s">
        <v>10</v>
      </c>
      <c r="C384" s="62">
        <v>176</v>
      </c>
      <c r="D384" s="317" t="s">
        <v>554</v>
      </c>
      <c r="E384" s="317" t="s">
        <v>555</v>
      </c>
      <c r="F384" s="62">
        <v>6100070760</v>
      </c>
      <c r="G384" s="62">
        <v>521</v>
      </c>
      <c r="H384" s="25">
        <v>24508</v>
      </c>
      <c r="I384" s="26">
        <v>7125.1819999999998</v>
      </c>
      <c r="J384" s="25">
        <f>7500-0.0002</f>
        <v>7499.9997999999996</v>
      </c>
      <c r="K384" s="25">
        <v>9869.5759999999991</v>
      </c>
      <c r="L384" s="25">
        <f>H384-I384-J384-K384</f>
        <v>13.242200000000594</v>
      </c>
      <c r="M384" s="98">
        <v>30742.400000000001</v>
      </c>
      <c r="N384" s="98">
        <v>2663.4</v>
      </c>
      <c r="O384" s="98"/>
      <c r="P384" s="98">
        <f t="shared" ref="P384:P402" si="74">AA384-O384-N384</f>
        <v>-2663.4</v>
      </c>
      <c r="Q384" s="98">
        <f>M384-N384-O384-P384</f>
        <v>30742.400000000001</v>
      </c>
      <c r="R384" s="120">
        <f>14726.1+3000+903+5000</f>
        <v>23629.1</v>
      </c>
      <c r="S384" s="120">
        <v>1472.61</v>
      </c>
      <c r="T384" s="120">
        <v>2945.22</v>
      </c>
      <c r="U384" s="120">
        <v>4417.829999999999</v>
      </c>
      <c r="V384" s="120">
        <f>5890.44+3000+903+5000</f>
        <v>14793.439999999999</v>
      </c>
      <c r="W384" s="52">
        <v>19328</v>
      </c>
      <c r="X384" s="52">
        <v>19034.900000000001</v>
      </c>
      <c r="Y384" s="45"/>
      <c r="Z384" s="402"/>
      <c r="AA384" s="279"/>
    </row>
    <row r="385" spans="1:27" ht="20.45" customHeight="1">
      <c r="A385" s="414"/>
      <c r="B385" s="301" t="s">
        <v>519</v>
      </c>
      <c r="C385" s="301"/>
      <c r="D385" s="317"/>
      <c r="E385" s="317"/>
      <c r="F385" s="301"/>
      <c r="G385" s="301"/>
      <c r="H385" s="25"/>
      <c r="I385" s="26"/>
      <c r="J385" s="25"/>
      <c r="K385" s="25"/>
      <c r="L385" s="25"/>
      <c r="M385" s="98"/>
      <c r="N385" s="98"/>
      <c r="O385" s="98"/>
      <c r="P385" s="98"/>
      <c r="Q385" s="98"/>
      <c r="R385" s="120">
        <f>R384/0.95*0.05</f>
        <v>1243.6368421052632</v>
      </c>
      <c r="S385" s="120">
        <f t="shared" ref="S385:X385" si="75">S384/0.95*0.05</f>
        <v>77.505789473684217</v>
      </c>
      <c r="T385" s="120">
        <f t="shared" si="75"/>
        <v>155.01157894736843</v>
      </c>
      <c r="U385" s="120">
        <f t="shared" si="75"/>
        <v>232.51736842105262</v>
      </c>
      <c r="V385" s="120">
        <f t="shared" si="75"/>
        <v>778.60210526315791</v>
      </c>
      <c r="W385" s="120">
        <f t="shared" si="75"/>
        <v>1017.2631578947369</v>
      </c>
      <c r="X385" s="120">
        <f t="shared" si="75"/>
        <v>1001.8368421052634</v>
      </c>
      <c r="Y385" s="45"/>
      <c r="Z385" s="402"/>
      <c r="AA385" s="279"/>
    </row>
    <row r="386" spans="1:27" ht="22.15" customHeight="1">
      <c r="A386" s="412" t="s">
        <v>43</v>
      </c>
      <c r="B386" s="62" t="s">
        <v>10</v>
      </c>
      <c r="C386" s="62">
        <v>176</v>
      </c>
      <c r="D386" s="317" t="s">
        <v>554</v>
      </c>
      <c r="E386" s="317" t="s">
        <v>555</v>
      </c>
      <c r="F386" s="62">
        <v>6100070760</v>
      </c>
      <c r="G386" s="62">
        <v>521</v>
      </c>
      <c r="H386" s="25">
        <v>19723.599999999999</v>
      </c>
      <c r="I386" s="26">
        <v>5553.4560000000001</v>
      </c>
      <c r="J386" s="25">
        <v>0</v>
      </c>
      <c r="K386" s="25">
        <v>10696</v>
      </c>
      <c r="L386" s="25">
        <f t="shared" ref="L386:L460" si="76">H386-I386-J386-K386</f>
        <v>3474.1439999999984</v>
      </c>
      <c r="M386" s="98">
        <v>30826.2</v>
      </c>
      <c r="N386" s="98">
        <v>1290.51</v>
      </c>
      <c r="O386" s="98"/>
      <c r="P386" s="98">
        <f t="shared" si="74"/>
        <v>-1290.51</v>
      </c>
      <c r="Q386" s="98">
        <f t="shared" ref="Q386:Q460" si="77">M386-N386-O386-P386</f>
        <v>30826.2</v>
      </c>
      <c r="R386" s="120">
        <f>25243.2+6000</f>
        <v>31243.200000000001</v>
      </c>
      <c r="S386" s="120">
        <v>2524.3200000000006</v>
      </c>
      <c r="T386" s="120">
        <v>5048.6400000000012</v>
      </c>
      <c r="U386" s="120">
        <v>7572.9600000000009</v>
      </c>
      <c r="V386" s="120">
        <f>10097.28+6000</f>
        <v>16097.28</v>
      </c>
      <c r="W386" s="52">
        <v>32687.500000000004</v>
      </c>
      <c r="X386" s="52">
        <v>34761.9</v>
      </c>
      <c r="Y386" s="45"/>
      <c r="Z386" s="402"/>
      <c r="AA386" s="279"/>
    </row>
    <row r="387" spans="1:27" ht="21.6" customHeight="1">
      <c r="A387" s="414"/>
      <c r="B387" s="301" t="s">
        <v>519</v>
      </c>
      <c r="C387" s="301"/>
      <c r="D387" s="317"/>
      <c r="E387" s="317"/>
      <c r="F387" s="301"/>
      <c r="G387" s="301"/>
      <c r="H387" s="25"/>
      <c r="I387" s="26"/>
      <c r="J387" s="25"/>
      <c r="K387" s="25"/>
      <c r="L387" s="25"/>
      <c r="M387" s="98"/>
      <c r="N387" s="98"/>
      <c r="O387" s="98"/>
      <c r="P387" s="98"/>
      <c r="Q387" s="98"/>
      <c r="R387" s="120">
        <f>R386/0.95*0.05</f>
        <v>1644.378947368421</v>
      </c>
      <c r="S387" s="120">
        <f t="shared" ref="S387:X387" si="78">S386/0.95*0.05</f>
        <v>132.8589473684211</v>
      </c>
      <c r="T387" s="120">
        <f t="shared" si="78"/>
        <v>265.7178947368422</v>
      </c>
      <c r="U387" s="120">
        <f t="shared" si="78"/>
        <v>398.57684210526327</v>
      </c>
      <c r="V387" s="120">
        <f t="shared" si="78"/>
        <v>847.2252631578948</v>
      </c>
      <c r="W387" s="120">
        <f t="shared" si="78"/>
        <v>1720.3947368421059</v>
      </c>
      <c r="X387" s="120">
        <f t="shared" si="78"/>
        <v>1829.5736842105264</v>
      </c>
      <c r="Y387" s="45"/>
      <c r="Z387" s="402"/>
      <c r="AA387" s="279"/>
    </row>
    <row r="388" spans="1:27" ht="18.600000000000001" customHeight="1">
      <c r="A388" s="412" t="s">
        <v>44</v>
      </c>
      <c r="B388" s="62" t="s">
        <v>10</v>
      </c>
      <c r="C388" s="62">
        <v>176</v>
      </c>
      <c r="D388" s="317" t="s">
        <v>554</v>
      </c>
      <c r="E388" s="317" t="s">
        <v>555</v>
      </c>
      <c r="F388" s="62">
        <v>6100070760</v>
      </c>
      <c r="G388" s="271" t="s">
        <v>496</v>
      </c>
      <c r="H388" s="25">
        <v>27619.3</v>
      </c>
      <c r="I388" s="26">
        <f>3566.323+0.02281</f>
        <v>3566.3458099999998</v>
      </c>
      <c r="J388" s="25">
        <v>4989.1400000000003</v>
      </c>
      <c r="K388" s="25">
        <f>10382.2+0.03-0.02281</f>
        <v>10382.207190000001</v>
      </c>
      <c r="L388" s="25">
        <f t="shared" si="76"/>
        <v>8681.607</v>
      </c>
      <c r="M388" s="98">
        <f>33974.2+9072.7</f>
        <v>43046.899999999994</v>
      </c>
      <c r="N388" s="98">
        <v>824.77</v>
      </c>
      <c r="O388" s="98">
        <v>1473.9280000000001</v>
      </c>
      <c r="P388" s="98">
        <f t="shared" si="74"/>
        <v>-2298.6980000000003</v>
      </c>
      <c r="Q388" s="98">
        <f t="shared" si="77"/>
        <v>43046.899999999994</v>
      </c>
      <c r="R388" s="120">
        <f>S388+T388+U388+V388</f>
        <v>47226.399999999994</v>
      </c>
      <c r="S388" s="120">
        <v>3868.88</v>
      </c>
      <c r="T388" s="120">
        <v>7737.76</v>
      </c>
      <c r="U388" s="120">
        <v>11606.64</v>
      </c>
      <c r="V388" s="120">
        <f>15475.52+10000-1462.4</f>
        <v>24013.119999999999</v>
      </c>
      <c r="W388" s="52">
        <v>49793.100000000006</v>
      </c>
      <c r="X388" s="52">
        <v>54867.8</v>
      </c>
      <c r="Y388" s="45"/>
      <c r="Z388" s="402"/>
      <c r="AA388" s="279"/>
    </row>
    <row r="389" spans="1:27" ht="17.45" customHeight="1">
      <c r="A389" s="414"/>
      <c r="B389" s="301" t="s">
        <v>519</v>
      </c>
      <c r="C389" s="301"/>
      <c r="D389" s="317"/>
      <c r="E389" s="317"/>
      <c r="F389" s="301"/>
      <c r="G389" s="301"/>
      <c r="H389" s="25"/>
      <c r="I389" s="26"/>
      <c r="J389" s="25"/>
      <c r="K389" s="25"/>
      <c r="L389" s="25"/>
      <c r="M389" s="98"/>
      <c r="N389" s="98"/>
      <c r="O389" s="98"/>
      <c r="P389" s="98"/>
      <c r="Q389" s="98"/>
      <c r="R389" s="120">
        <f>R388/0.95*0.05</f>
        <v>2485.6</v>
      </c>
      <c r="S389" s="120">
        <f t="shared" ref="S389:X389" si="79">S388/0.95*0.05</f>
        <v>203.62526315789478</v>
      </c>
      <c r="T389" s="120">
        <f t="shared" si="79"/>
        <v>407.25052631578956</v>
      </c>
      <c r="U389" s="120">
        <f t="shared" si="79"/>
        <v>610.87578947368422</v>
      </c>
      <c r="V389" s="120">
        <f t="shared" si="79"/>
        <v>1263.8484210526317</v>
      </c>
      <c r="W389" s="120">
        <f t="shared" si="79"/>
        <v>2620.6894736842114</v>
      </c>
      <c r="X389" s="120">
        <f t="shared" si="79"/>
        <v>2887.7789473684215</v>
      </c>
      <c r="Y389" s="45"/>
      <c r="Z389" s="402"/>
      <c r="AA389" s="279"/>
    </row>
    <row r="390" spans="1:27" ht="23.45" customHeight="1">
      <c r="A390" s="24" t="s">
        <v>45</v>
      </c>
      <c r="B390" s="62" t="s">
        <v>10</v>
      </c>
      <c r="C390" s="62">
        <v>176</v>
      </c>
      <c r="D390" s="317" t="s">
        <v>554</v>
      </c>
      <c r="E390" s="317" t="s">
        <v>555</v>
      </c>
      <c r="F390" s="62">
        <v>6100070760</v>
      </c>
      <c r="G390" s="271">
        <v>521</v>
      </c>
      <c r="H390" s="25">
        <f>30194.7</f>
        <v>30194.7</v>
      </c>
      <c r="I390" s="26">
        <v>4034.8229999999999</v>
      </c>
      <c r="J390" s="25">
        <f>5388.581-0.003</f>
        <v>5388.5780000000004</v>
      </c>
      <c r="K390" s="25">
        <v>16782.23</v>
      </c>
      <c r="L390" s="25">
        <f t="shared" si="76"/>
        <v>3989.0689999999995</v>
      </c>
      <c r="M390" s="98">
        <f>68408.3+2500</f>
        <v>70908.3</v>
      </c>
      <c r="N390" s="98">
        <v>8302.17</v>
      </c>
      <c r="O390" s="98">
        <v>5000</v>
      </c>
      <c r="P390" s="98">
        <f t="shared" si="74"/>
        <v>-13302.17</v>
      </c>
      <c r="Q390" s="98">
        <f t="shared" si="77"/>
        <v>70908.3</v>
      </c>
      <c r="R390" s="120">
        <v>18728.2</v>
      </c>
      <c r="S390" s="120">
        <v>1872.82</v>
      </c>
      <c r="T390" s="120">
        <v>3745.64</v>
      </c>
      <c r="U390" s="120">
        <v>5618.46</v>
      </c>
      <c r="V390" s="120">
        <v>7491.28</v>
      </c>
      <c r="W390" s="52">
        <v>24399.1</v>
      </c>
      <c r="X390" s="52">
        <v>25019.8</v>
      </c>
      <c r="Y390" s="45"/>
      <c r="Z390" s="402"/>
      <c r="AA390" s="279"/>
    </row>
    <row r="391" spans="1:27" ht="23.45" customHeight="1">
      <c r="A391" s="24"/>
      <c r="B391" s="301" t="s">
        <v>519</v>
      </c>
      <c r="C391" s="301"/>
      <c r="D391" s="317"/>
      <c r="E391" s="317"/>
      <c r="F391" s="301"/>
      <c r="G391" s="301"/>
      <c r="H391" s="25"/>
      <c r="I391" s="26"/>
      <c r="J391" s="25"/>
      <c r="K391" s="25"/>
      <c r="L391" s="25"/>
      <c r="M391" s="98"/>
      <c r="N391" s="98"/>
      <c r="O391" s="98"/>
      <c r="P391" s="98"/>
      <c r="Q391" s="98"/>
      <c r="R391" s="120">
        <f>R390/0.95*0.05</f>
        <v>985.69473684210539</v>
      </c>
      <c r="S391" s="120">
        <f t="shared" ref="S391:X391" si="80">S390/0.95*0.05</f>
        <v>98.569473684210536</v>
      </c>
      <c r="T391" s="120">
        <f t="shared" si="80"/>
        <v>197.13894736842107</v>
      </c>
      <c r="U391" s="120">
        <f t="shared" si="80"/>
        <v>295.70842105263159</v>
      </c>
      <c r="V391" s="120">
        <f t="shared" si="80"/>
        <v>394.27789473684214</v>
      </c>
      <c r="W391" s="120">
        <f t="shared" si="80"/>
        <v>1284.163157894737</v>
      </c>
      <c r="X391" s="120">
        <f t="shared" si="80"/>
        <v>1316.8315789473686</v>
      </c>
      <c r="Y391" s="45"/>
      <c r="Z391" s="402"/>
      <c r="AA391" s="279"/>
    </row>
    <row r="392" spans="1:27" ht="16.899999999999999" customHeight="1">
      <c r="A392" s="412" t="s">
        <v>46</v>
      </c>
      <c r="B392" s="62" t="s">
        <v>10</v>
      </c>
      <c r="C392" s="62">
        <v>176</v>
      </c>
      <c r="D392" s="317" t="s">
        <v>554</v>
      </c>
      <c r="E392" s="317" t="s">
        <v>555</v>
      </c>
      <c r="F392" s="62">
        <v>6100070760</v>
      </c>
      <c r="G392" s="271">
        <v>521</v>
      </c>
      <c r="H392" s="25">
        <v>28039.8</v>
      </c>
      <c r="I392" s="26">
        <v>0</v>
      </c>
      <c r="J392" s="25">
        <f>949.384-0.004</f>
        <v>949.38</v>
      </c>
      <c r="K392" s="25">
        <v>13872.55</v>
      </c>
      <c r="L392" s="25">
        <f t="shared" si="76"/>
        <v>13217.869999999999</v>
      </c>
      <c r="M392" s="98">
        <v>34306.6</v>
      </c>
      <c r="N392" s="98"/>
      <c r="O392" s="98"/>
      <c r="P392" s="98">
        <f t="shared" si="74"/>
        <v>0</v>
      </c>
      <c r="Q392" s="98">
        <f t="shared" si="77"/>
        <v>34306.6</v>
      </c>
      <c r="R392" s="120">
        <f>23063+5000-4199</f>
        <v>23864</v>
      </c>
      <c r="S392" s="120">
        <v>2306.2999999999997</v>
      </c>
      <c r="T392" s="120">
        <v>4612.5999999999995</v>
      </c>
      <c r="U392" s="120">
        <v>6918.8999999999987</v>
      </c>
      <c r="V392" s="120">
        <f>9225.2+5000-4199</f>
        <v>10026.200000000001</v>
      </c>
      <c r="W392" s="52">
        <v>29913.899999999998</v>
      </c>
      <c r="X392" s="52">
        <v>31501.8</v>
      </c>
      <c r="Y392" s="45"/>
      <c r="Z392" s="402"/>
      <c r="AA392" s="279"/>
    </row>
    <row r="393" spans="1:27" ht="24.6" customHeight="1">
      <c r="A393" s="414"/>
      <c r="B393" s="301" t="s">
        <v>519</v>
      </c>
      <c r="C393" s="301"/>
      <c r="D393" s="317"/>
      <c r="E393" s="317"/>
      <c r="F393" s="301"/>
      <c r="G393" s="301"/>
      <c r="H393" s="25"/>
      <c r="I393" s="26"/>
      <c r="J393" s="25"/>
      <c r="K393" s="25"/>
      <c r="L393" s="25"/>
      <c r="M393" s="98"/>
      <c r="N393" s="98"/>
      <c r="O393" s="98"/>
      <c r="P393" s="98"/>
      <c r="Q393" s="98"/>
      <c r="R393" s="120">
        <f>R392/0.95*0.05</f>
        <v>1256</v>
      </c>
      <c r="S393" s="120">
        <f t="shared" ref="S393:X393" si="81">S392/0.95*0.05</f>
        <v>121.3842105263158</v>
      </c>
      <c r="T393" s="120">
        <f t="shared" si="81"/>
        <v>242.7684210526316</v>
      </c>
      <c r="U393" s="120">
        <f t="shared" si="81"/>
        <v>364.15263157894736</v>
      </c>
      <c r="V393" s="120">
        <f t="shared" si="81"/>
        <v>527.69473684210539</v>
      </c>
      <c r="W393" s="120">
        <f t="shared" si="81"/>
        <v>1574.4157894736843</v>
      </c>
      <c r="X393" s="120">
        <f t="shared" si="81"/>
        <v>1657.9894736842107</v>
      </c>
      <c r="Y393" s="45"/>
      <c r="Z393" s="402"/>
      <c r="AA393" s="279"/>
    </row>
    <row r="394" spans="1:27" ht="22.15" customHeight="1">
      <c r="A394" s="412" t="s">
        <v>47</v>
      </c>
      <c r="B394" s="62" t="s">
        <v>10</v>
      </c>
      <c r="C394" s="62">
        <v>176</v>
      </c>
      <c r="D394" s="317" t="s">
        <v>554</v>
      </c>
      <c r="E394" s="317" t="s">
        <v>555</v>
      </c>
      <c r="F394" s="62">
        <v>6100070760</v>
      </c>
      <c r="G394" s="271">
        <v>521</v>
      </c>
      <c r="H394" s="25">
        <v>20913.7</v>
      </c>
      <c r="I394" s="26">
        <v>59.9</v>
      </c>
      <c r="J394" s="25">
        <v>8559.0319999999992</v>
      </c>
      <c r="K394" s="25">
        <v>8112.0680000000002</v>
      </c>
      <c r="L394" s="25">
        <f t="shared" si="76"/>
        <v>4182.7</v>
      </c>
      <c r="M394" s="98">
        <v>27115.100000000002</v>
      </c>
      <c r="N394" s="98">
        <v>328.27</v>
      </c>
      <c r="O394" s="98">
        <v>3181.33</v>
      </c>
      <c r="P394" s="98">
        <f t="shared" si="74"/>
        <v>-3509.6</v>
      </c>
      <c r="Q394" s="98">
        <f t="shared" si="77"/>
        <v>27115.1</v>
      </c>
      <c r="R394" s="120">
        <f>17507.1+4000</f>
        <v>21507.1</v>
      </c>
      <c r="S394" s="120">
        <v>1750.7100000000003</v>
      </c>
      <c r="T394" s="120">
        <v>3501.4200000000005</v>
      </c>
      <c r="U394" s="120">
        <v>5252.130000000001</v>
      </c>
      <c r="V394" s="120">
        <f>7002.84+4000</f>
        <v>11002.84</v>
      </c>
      <c r="W394" s="52">
        <v>22845.600000000002</v>
      </c>
      <c r="X394" s="52">
        <v>23193.7</v>
      </c>
      <c r="Y394" s="45"/>
      <c r="Z394" s="402"/>
      <c r="AA394" s="279"/>
    </row>
    <row r="395" spans="1:27" ht="23.45" customHeight="1">
      <c r="A395" s="414"/>
      <c r="B395" s="301" t="s">
        <v>519</v>
      </c>
      <c r="C395" s="301"/>
      <c r="D395" s="317"/>
      <c r="E395" s="317"/>
      <c r="F395" s="301"/>
      <c r="G395" s="301"/>
      <c r="H395" s="25"/>
      <c r="I395" s="26"/>
      <c r="J395" s="25"/>
      <c r="K395" s="25"/>
      <c r="L395" s="25"/>
      <c r="M395" s="98"/>
      <c r="N395" s="98"/>
      <c r="O395" s="98"/>
      <c r="P395" s="98"/>
      <c r="Q395" s="98"/>
      <c r="R395" s="120">
        <f>R394/0.95*0.05</f>
        <v>1131.9526315789474</v>
      </c>
      <c r="S395" s="120">
        <f t="shared" ref="S395:X395" si="82">S394/0.95*0.05</f>
        <v>92.142631578947388</v>
      </c>
      <c r="T395" s="120">
        <f t="shared" si="82"/>
        <v>184.28526315789478</v>
      </c>
      <c r="U395" s="120">
        <f t="shared" si="82"/>
        <v>276.42789473684218</v>
      </c>
      <c r="V395" s="120">
        <f t="shared" si="82"/>
        <v>579.09684210526325</v>
      </c>
      <c r="W395" s="120">
        <f t="shared" si="82"/>
        <v>1202.4000000000003</v>
      </c>
      <c r="X395" s="120">
        <f t="shared" si="82"/>
        <v>1220.7210526315791</v>
      </c>
      <c r="Y395" s="45"/>
      <c r="Z395" s="402"/>
      <c r="AA395" s="279"/>
    </row>
    <row r="396" spans="1:27" ht="21.6" customHeight="1">
      <c r="A396" s="412" t="s">
        <v>48</v>
      </c>
      <c r="B396" s="62" t="s">
        <v>10</v>
      </c>
      <c r="C396" s="62">
        <v>176</v>
      </c>
      <c r="D396" s="317" t="s">
        <v>554</v>
      </c>
      <c r="E396" s="317" t="s">
        <v>555</v>
      </c>
      <c r="F396" s="62">
        <v>6100070760</v>
      </c>
      <c r="G396" s="271" t="s">
        <v>496</v>
      </c>
      <c r="H396" s="25">
        <v>32946.400000000001</v>
      </c>
      <c r="I396" s="26">
        <v>0</v>
      </c>
      <c r="J396" s="25">
        <v>0</v>
      </c>
      <c r="K396" s="25">
        <v>26000</v>
      </c>
      <c r="L396" s="25">
        <f t="shared" si="76"/>
        <v>6946.4000000000015</v>
      </c>
      <c r="M396" s="98">
        <v>39258.699999999997</v>
      </c>
      <c r="N396" s="98"/>
      <c r="O396" s="98"/>
      <c r="P396" s="98">
        <f t="shared" si="74"/>
        <v>0</v>
      </c>
      <c r="Q396" s="98">
        <f t="shared" si="77"/>
        <v>39258.699999999997</v>
      </c>
      <c r="R396" s="120">
        <f>45178.3+5000+1500</f>
        <v>51678.3</v>
      </c>
      <c r="S396" s="120">
        <v>4517.83</v>
      </c>
      <c r="T396" s="120">
        <v>9035.66</v>
      </c>
      <c r="U396" s="120">
        <v>13553.49</v>
      </c>
      <c r="V396" s="120">
        <f>18071.32+5000+1500</f>
        <v>24571.32</v>
      </c>
      <c r="W396" s="52">
        <f>58049</f>
        <v>58049</v>
      </c>
      <c r="X396" s="52">
        <v>64571.7</v>
      </c>
      <c r="Y396" s="45"/>
      <c r="Z396" s="402"/>
      <c r="AA396" s="279"/>
    </row>
    <row r="397" spans="1:27" ht="22.15" customHeight="1">
      <c r="A397" s="414"/>
      <c r="B397" s="301" t="s">
        <v>519</v>
      </c>
      <c r="C397" s="301"/>
      <c r="D397" s="317"/>
      <c r="E397" s="317"/>
      <c r="F397" s="301"/>
      <c r="G397" s="301"/>
      <c r="H397" s="25"/>
      <c r="I397" s="26"/>
      <c r="J397" s="25"/>
      <c r="K397" s="25"/>
      <c r="L397" s="25"/>
      <c r="M397" s="98"/>
      <c r="N397" s="98"/>
      <c r="O397" s="98"/>
      <c r="P397" s="98"/>
      <c r="Q397" s="98"/>
      <c r="R397" s="120">
        <f>R396/0.95*0.05</f>
        <v>2719.9105263157899</v>
      </c>
      <c r="S397" s="120">
        <f t="shared" ref="S397:X397" si="83">S396/0.95*0.05</f>
        <v>237.7805263157895</v>
      </c>
      <c r="T397" s="120">
        <f t="shared" si="83"/>
        <v>475.561052631579</v>
      </c>
      <c r="U397" s="120">
        <f t="shared" si="83"/>
        <v>713.34157894736848</v>
      </c>
      <c r="V397" s="120">
        <f t="shared" si="83"/>
        <v>1293.2273684210527</v>
      </c>
      <c r="W397" s="120">
        <f t="shared" si="83"/>
        <v>3055.21052631579</v>
      </c>
      <c r="X397" s="120">
        <f t="shared" si="83"/>
        <v>3398.5105263157893</v>
      </c>
      <c r="Y397" s="45"/>
      <c r="Z397" s="402"/>
      <c r="AA397" s="279"/>
    </row>
    <row r="398" spans="1:27" ht="19.899999999999999" customHeight="1">
      <c r="A398" s="412" t="s">
        <v>49</v>
      </c>
      <c r="B398" s="62" t="s">
        <v>10</v>
      </c>
      <c r="C398" s="62">
        <v>176</v>
      </c>
      <c r="D398" s="317" t="s">
        <v>554</v>
      </c>
      <c r="E398" s="317" t="s">
        <v>555</v>
      </c>
      <c r="F398" s="62">
        <v>6100070760</v>
      </c>
      <c r="G398" s="271">
        <v>521</v>
      </c>
      <c r="H398" s="25">
        <f>21639.8</f>
        <v>21639.8</v>
      </c>
      <c r="I398" s="26">
        <v>21639.8</v>
      </c>
      <c r="J398" s="25">
        <v>0</v>
      </c>
      <c r="K398" s="25">
        <v>0</v>
      </c>
      <c r="L398" s="25">
        <f t="shared" si="76"/>
        <v>0</v>
      </c>
      <c r="M398" s="98">
        <f>28963+2000</f>
        <v>30963</v>
      </c>
      <c r="N398" s="98">
        <v>2230.1999999999998</v>
      </c>
      <c r="O398" s="98"/>
      <c r="P398" s="98">
        <f t="shared" si="74"/>
        <v>-2230.1999999999998</v>
      </c>
      <c r="Q398" s="98">
        <f t="shared" si="77"/>
        <v>30963</v>
      </c>
      <c r="R398" s="120">
        <f>27295.6+5000</f>
        <v>32295.599999999999</v>
      </c>
      <c r="S398" s="120">
        <v>2729.56</v>
      </c>
      <c r="T398" s="120">
        <v>5459.12</v>
      </c>
      <c r="U398" s="120">
        <v>8188.6800000000012</v>
      </c>
      <c r="V398" s="120">
        <f>10918.24+5000</f>
        <v>15918.24</v>
      </c>
      <c r="W398" s="52">
        <v>35298.5</v>
      </c>
      <c r="X398" s="52">
        <v>37830.9</v>
      </c>
      <c r="Y398" s="45"/>
      <c r="Z398" s="402"/>
      <c r="AA398" s="279"/>
    </row>
    <row r="399" spans="1:27" ht="21.6" customHeight="1">
      <c r="A399" s="414"/>
      <c r="B399" s="301" t="s">
        <v>519</v>
      </c>
      <c r="C399" s="301"/>
      <c r="D399" s="317"/>
      <c r="E399" s="317"/>
      <c r="F399" s="301"/>
      <c r="G399" s="301"/>
      <c r="H399" s="25"/>
      <c r="I399" s="26"/>
      <c r="J399" s="25"/>
      <c r="K399" s="25"/>
      <c r="L399" s="25"/>
      <c r="M399" s="98"/>
      <c r="N399" s="98"/>
      <c r="O399" s="98"/>
      <c r="P399" s="98"/>
      <c r="Q399" s="98"/>
      <c r="R399" s="120">
        <f>R398/0.95*0.05</f>
        <v>1699.7684210526318</v>
      </c>
      <c r="S399" s="120">
        <f t="shared" ref="S399:X399" si="84">S398/0.95*0.05</f>
        <v>143.66105263157894</v>
      </c>
      <c r="T399" s="120">
        <f t="shared" si="84"/>
        <v>287.32210526315788</v>
      </c>
      <c r="U399" s="120">
        <f t="shared" si="84"/>
        <v>430.98315789473691</v>
      </c>
      <c r="V399" s="120">
        <f t="shared" si="84"/>
        <v>837.80210526315796</v>
      </c>
      <c r="W399" s="120">
        <f t="shared" si="84"/>
        <v>1857.8157894736844</v>
      </c>
      <c r="X399" s="120">
        <f t="shared" si="84"/>
        <v>1991.1000000000001</v>
      </c>
      <c r="Y399" s="45"/>
      <c r="Z399" s="402"/>
      <c r="AA399" s="279"/>
    </row>
    <row r="400" spans="1:27" ht="21.6" customHeight="1">
      <c r="A400" s="412" t="s">
        <v>50</v>
      </c>
      <c r="B400" s="62" t="s">
        <v>10</v>
      </c>
      <c r="C400" s="62">
        <v>176</v>
      </c>
      <c r="D400" s="317" t="s">
        <v>554</v>
      </c>
      <c r="E400" s="317" t="s">
        <v>555</v>
      </c>
      <c r="F400" s="62">
        <v>6100070760</v>
      </c>
      <c r="G400" s="271">
        <v>521</v>
      </c>
      <c r="H400" s="25">
        <v>22060.3</v>
      </c>
      <c r="I400" s="26">
        <v>47.16</v>
      </c>
      <c r="J400" s="25">
        <v>2430.5</v>
      </c>
      <c r="K400" s="25">
        <v>14476.28</v>
      </c>
      <c r="L400" s="25">
        <f t="shared" si="76"/>
        <v>5106.3599999999988</v>
      </c>
      <c r="M400" s="98">
        <v>28181</v>
      </c>
      <c r="N400" s="98">
        <v>156.4</v>
      </c>
      <c r="O400" s="98">
        <v>11116</v>
      </c>
      <c r="P400" s="98">
        <f t="shared" si="74"/>
        <v>-11272.4</v>
      </c>
      <c r="Q400" s="98">
        <f t="shared" si="77"/>
        <v>28181</v>
      </c>
      <c r="R400" s="120">
        <f>17858.7+4000</f>
        <v>21858.7</v>
      </c>
      <c r="S400" s="120">
        <v>1785.87</v>
      </c>
      <c r="T400" s="120">
        <v>3571.74</v>
      </c>
      <c r="U400" s="120">
        <v>5357.61</v>
      </c>
      <c r="V400" s="120">
        <f>7143.48+4000</f>
        <v>11143.48</v>
      </c>
      <c r="W400" s="52">
        <v>23293</v>
      </c>
      <c r="X400" s="52">
        <v>23719.5</v>
      </c>
      <c r="Y400" s="45"/>
      <c r="Z400" s="402"/>
      <c r="AA400" s="279"/>
    </row>
    <row r="401" spans="1:27" ht="19.149999999999999" customHeight="1">
      <c r="A401" s="414"/>
      <c r="B401" s="301" t="s">
        <v>519</v>
      </c>
      <c r="C401" s="301"/>
      <c r="D401" s="317"/>
      <c r="E401" s="317"/>
      <c r="F401" s="301"/>
      <c r="G401" s="301"/>
      <c r="H401" s="25"/>
      <c r="I401" s="26"/>
      <c r="J401" s="25"/>
      <c r="K401" s="25"/>
      <c r="L401" s="25"/>
      <c r="M401" s="98"/>
      <c r="N401" s="98"/>
      <c r="O401" s="98"/>
      <c r="P401" s="98"/>
      <c r="Q401" s="98"/>
      <c r="R401" s="120">
        <f>R400/0.95*0.05</f>
        <v>1150.4578947368423</v>
      </c>
      <c r="S401" s="120">
        <f t="shared" ref="S401:X401" si="85">S400/0.95*0.05</f>
        <v>93.993157894736839</v>
      </c>
      <c r="T401" s="120">
        <f t="shared" si="85"/>
        <v>187.98631578947368</v>
      </c>
      <c r="U401" s="120">
        <f t="shared" si="85"/>
        <v>281.97947368421052</v>
      </c>
      <c r="V401" s="120">
        <f t="shared" si="85"/>
        <v>586.49894736842111</v>
      </c>
      <c r="W401" s="120">
        <f t="shared" si="85"/>
        <v>1225.9473684210527</v>
      </c>
      <c r="X401" s="120">
        <f t="shared" si="85"/>
        <v>1248.3947368421054</v>
      </c>
      <c r="Y401" s="45"/>
      <c r="Z401" s="402"/>
      <c r="AA401" s="279"/>
    </row>
    <row r="402" spans="1:27" ht="18.600000000000001" customHeight="1">
      <c r="A402" s="412" t="s">
        <v>51</v>
      </c>
      <c r="B402" s="62" t="s">
        <v>10</v>
      </c>
      <c r="C402" s="62">
        <v>176</v>
      </c>
      <c r="D402" s="317" t="s">
        <v>554</v>
      </c>
      <c r="E402" s="317" t="s">
        <v>555</v>
      </c>
      <c r="F402" s="62">
        <v>6100070760</v>
      </c>
      <c r="G402" s="271" t="s">
        <v>496</v>
      </c>
      <c r="H402" s="25">
        <f>24859.7</f>
        <v>24859.7</v>
      </c>
      <c r="I402" s="26">
        <v>0</v>
      </c>
      <c r="J402" s="25">
        <v>18165.41</v>
      </c>
      <c r="K402" s="25">
        <v>1722.39</v>
      </c>
      <c r="L402" s="25">
        <f t="shared" si="76"/>
        <v>4971.9000000000005</v>
      </c>
      <c r="M402" s="98">
        <f>35597.3+2500</f>
        <v>38097.300000000003</v>
      </c>
      <c r="N402" s="98">
        <v>12279.986000000001</v>
      </c>
      <c r="O402" s="98">
        <v>464.46300000000002</v>
      </c>
      <c r="P402" s="98">
        <f t="shared" si="74"/>
        <v>-12744.449000000001</v>
      </c>
      <c r="Q402" s="98">
        <f t="shared" si="77"/>
        <v>38097.300000000003</v>
      </c>
      <c r="R402" s="120">
        <f>32122.7+15212+15000</f>
        <v>62334.7</v>
      </c>
      <c r="S402" s="120">
        <v>3212.27</v>
      </c>
      <c r="T402" s="120">
        <v>6424.54</v>
      </c>
      <c r="U402" s="120">
        <v>9636.81</v>
      </c>
      <c r="V402" s="120">
        <f>12849.08+15212+15000</f>
        <v>43061.08</v>
      </c>
      <c r="W402" s="52">
        <v>41439.599999999999</v>
      </c>
      <c r="X402" s="52">
        <v>45049.1</v>
      </c>
      <c r="Y402" s="45"/>
      <c r="Z402" s="402"/>
      <c r="AA402" s="279"/>
    </row>
    <row r="403" spans="1:27" ht="22.15" customHeight="1">
      <c r="A403" s="414"/>
      <c r="B403" s="301" t="s">
        <v>519</v>
      </c>
      <c r="C403" s="301"/>
      <c r="D403" s="317"/>
      <c r="E403" s="317"/>
      <c r="F403" s="301"/>
      <c r="G403" s="301"/>
      <c r="H403" s="25"/>
      <c r="I403" s="26"/>
      <c r="J403" s="25"/>
      <c r="K403" s="25"/>
      <c r="L403" s="25"/>
      <c r="M403" s="98"/>
      <c r="N403" s="98"/>
      <c r="O403" s="98"/>
      <c r="P403" s="98"/>
      <c r="Q403" s="98"/>
      <c r="R403" s="120">
        <f>R402/0.95*0.05</f>
        <v>3280.773684210526</v>
      </c>
      <c r="S403" s="120">
        <f t="shared" ref="S403:X403" si="86">S402/0.95*0.05</f>
        <v>169.06684210526316</v>
      </c>
      <c r="T403" s="120">
        <f t="shared" si="86"/>
        <v>338.13368421052633</v>
      </c>
      <c r="U403" s="120">
        <f t="shared" si="86"/>
        <v>507.20052631578949</v>
      </c>
      <c r="V403" s="120">
        <f t="shared" si="86"/>
        <v>2266.3726315789477</v>
      </c>
      <c r="W403" s="120">
        <f t="shared" si="86"/>
        <v>2181.0315789473684</v>
      </c>
      <c r="X403" s="120">
        <f t="shared" si="86"/>
        <v>2371.0052631578947</v>
      </c>
      <c r="Y403" s="45"/>
      <c r="Z403" s="402"/>
      <c r="AA403" s="279"/>
    </row>
    <row r="404" spans="1:27" ht="22.15" customHeight="1">
      <c r="A404" s="412" t="s">
        <v>52</v>
      </c>
      <c r="B404" s="164" t="s">
        <v>10</v>
      </c>
      <c r="C404" s="164">
        <v>176</v>
      </c>
      <c r="D404" s="317" t="s">
        <v>554</v>
      </c>
      <c r="E404" s="317" t="s">
        <v>555</v>
      </c>
      <c r="F404" s="164">
        <v>6100070760</v>
      </c>
      <c r="G404" s="271">
        <v>521</v>
      </c>
      <c r="H404" s="25"/>
      <c r="I404" s="26"/>
      <c r="J404" s="25"/>
      <c r="K404" s="25"/>
      <c r="L404" s="25"/>
      <c r="M404" s="98"/>
      <c r="N404" s="98"/>
      <c r="O404" s="98"/>
      <c r="P404" s="98"/>
      <c r="Q404" s="98"/>
      <c r="R404" s="120">
        <f>33529.2+27289.2-1250.4</f>
        <v>59567.999999999993</v>
      </c>
      <c r="S404" s="120">
        <v>3352.92</v>
      </c>
      <c r="T404" s="120">
        <v>6705.84</v>
      </c>
      <c r="U404" s="120">
        <v>10058.759999999998</v>
      </c>
      <c r="V404" s="120">
        <f>13411.68+27289.2-1250.4</f>
        <v>39450.480000000003</v>
      </c>
      <c r="W404" s="52">
        <v>43229</v>
      </c>
      <c r="X404" s="52">
        <v>47152.4</v>
      </c>
      <c r="Y404" s="45"/>
      <c r="Z404" s="402"/>
      <c r="AA404" s="279"/>
    </row>
    <row r="405" spans="1:27" ht="21" customHeight="1">
      <c r="A405" s="414"/>
      <c r="B405" s="301" t="s">
        <v>519</v>
      </c>
      <c r="C405" s="301"/>
      <c r="D405" s="317"/>
      <c r="E405" s="317"/>
      <c r="F405" s="301"/>
      <c r="G405" s="301"/>
      <c r="H405" s="25"/>
      <c r="I405" s="26"/>
      <c r="J405" s="25"/>
      <c r="K405" s="25"/>
      <c r="L405" s="25"/>
      <c r="M405" s="98"/>
      <c r="N405" s="98"/>
      <c r="O405" s="98"/>
      <c r="P405" s="98"/>
      <c r="Q405" s="98"/>
      <c r="R405" s="120">
        <f>R404/0.95*0.05</f>
        <v>3135.1578947368421</v>
      </c>
      <c r="S405" s="120">
        <f t="shared" ref="S405:X405" si="87">S404/0.95*0.05</f>
        <v>176.46947368421056</v>
      </c>
      <c r="T405" s="120">
        <f t="shared" si="87"/>
        <v>352.93894736842111</v>
      </c>
      <c r="U405" s="120">
        <f t="shared" si="87"/>
        <v>529.40842105263152</v>
      </c>
      <c r="V405" s="120">
        <f t="shared" si="87"/>
        <v>2076.3410526315793</v>
      </c>
      <c r="W405" s="120">
        <f t="shared" si="87"/>
        <v>2275.2105263157896</v>
      </c>
      <c r="X405" s="120">
        <f t="shared" si="87"/>
        <v>2481.7052631578954</v>
      </c>
      <c r="Y405" s="45"/>
      <c r="Z405" s="402"/>
      <c r="AA405" s="279"/>
    </row>
    <row r="406" spans="1:27" ht="18" customHeight="1">
      <c r="A406" s="412" t="s">
        <v>53</v>
      </c>
      <c r="B406" s="62" t="s">
        <v>10</v>
      </c>
      <c r="C406" s="62">
        <v>176</v>
      </c>
      <c r="D406" s="317" t="s">
        <v>554</v>
      </c>
      <c r="E406" s="317" t="s">
        <v>555</v>
      </c>
      <c r="F406" s="62">
        <v>6100070760</v>
      </c>
      <c r="G406" s="271" t="s">
        <v>496</v>
      </c>
      <c r="H406" s="25">
        <f>30287.4</f>
        <v>30287.4</v>
      </c>
      <c r="I406" s="26">
        <v>15039.482</v>
      </c>
      <c r="J406" s="25">
        <v>4831.6940000000004</v>
      </c>
      <c r="K406" s="25">
        <v>7844.8710000000001</v>
      </c>
      <c r="L406" s="25">
        <f t="shared" si="76"/>
        <v>2571.3530000000019</v>
      </c>
      <c r="M406" s="98">
        <f>22044.5+3852.8</f>
        <v>25897.3</v>
      </c>
      <c r="N406" s="98">
        <v>9294.5849999999991</v>
      </c>
      <c r="O406" s="98">
        <v>87.68</v>
      </c>
      <c r="P406" s="98">
        <f t="shared" ref="P406:P424" si="88">AA406-O406-N406</f>
        <v>-9382.2649999999994</v>
      </c>
      <c r="Q406" s="98">
        <f t="shared" si="77"/>
        <v>25897.3</v>
      </c>
      <c r="R406" s="120">
        <f>17778.6+54000+4750.6</f>
        <v>76529.200000000012</v>
      </c>
      <c r="S406" s="120">
        <v>1777.86</v>
      </c>
      <c r="T406" s="120">
        <v>3555.72</v>
      </c>
      <c r="U406" s="120">
        <v>5333.58</v>
      </c>
      <c r="V406" s="120">
        <f>7111.44+54000+4750.6</f>
        <v>65862.040000000008</v>
      </c>
      <c r="W406" s="52">
        <v>23164.1</v>
      </c>
      <c r="X406" s="52">
        <v>23576.1</v>
      </c>
      <c r="Y406" s="45"/>
      <c r="Z406" s="402"/>
      <c r="AA406" s="279"/>
    </row>
    <row r="407" spans="1:27" ht="18" customHeight="1">
      <c r="A407" s="414"/>
      <c r="B407" s="301" t="s">
        <v>519</v>
      </c>
      <c r="C407" s="301"/>
      <c r="D407" s="317"/>
      <c r="E407" s="317"/>
      <c r="F407" s="301"/>
      <c r="G407" s="301"/>
      <c r="H407" s="25"/>
      <c r="I407" s="26"/>
      <c r="J407" s="25"/>
      <c r="K407" s="25"/>
      <c r="L407" s="25"/>
      <c r="M407" s="98"/>
      <c r="N407" s="98"/>
      <c r="O407" s="98"/>
      <c r="P407" s="98"/>
      <c r="Q407" s="98"/>
      <c r="R407" s="120">
        <f>R406/0.95*0.05</f>
        <v>4027.8526315789481</v>
      </c>
      <c r="S407" s="120">
        <f t="shared" ref="S407:X407" si="89">S406/0.95*0.05</f>
        <v>93.571578947368437</v>
      </c>
      <c r="T407" s="120">
        <f t="shared" si="89"/>
        <v>187.14315789473687</v>
      </c>
      <c r="U407" s="120">
        <f t="shared" si="89"/>
        <v>280.71473684210531</v>
      </c>
      <c r="V407" s="120">
        <f t="shared" si="89"/>
        <v>3466.4231578947374</v>
      </c>
      <c r="W407" s="120">
        <f t="shared" si="89"/>
        <v>1219.163157894737</v>
      </c>
      <c r="X407" s="120">
        <f t="shared" si="89"/>
        <v>1240.8473684210528</v>
      </c>
      <c r="Y407" s="45"/>
      <c r="Z407" s="402"/>
      <c r="AA407" s="279"/>
    </row>
    <row r="408" spans="1:27" ht="18.600000000000001" customHeight="1">
      <c r="A408" s="412" t="s">
        <v>54</v>
      </c>
      <c r="B408" s="62" t="s">
        <v>10</v>
      </c>
      <c r="C408" s="62">
        <v>176</v>
      </c>
      <c r="D408" s="317" t="s">
        <v>554</v>
      </c>
      <c r="E408" s="317" t="s">
        <v>555</v>
      </c>
      <c r="F408" s="62">
        <v>6100070760</v>
      </c>
      <c r="G408" s="271">
        <v>521</v>
      </c>
      <c r="H408" s="25">
        <v>30565.3</v>
      </c>
      <c r="I408" s="26">
        <v>18649.994999999999</v>
      </c>
      <c r="J408" s="25">
        <v>6928.5</v>
      </c>
      <c r="K408" s="25">
        <v>4986.8050000000003</v>
      </c>
      <c r="L408" s="25">
        <f t="shared" si="76"/>
        <v>0</v>
      </c>
      <c r="M408" s="98">
        <v>35956.300000000003</v>
      </c>
      <c r="N408" s="98">
        <v>3700.34</v>
      </c>
      <c r="O408" s="98">
        <v>7191.3059999999996</v>
      </c>
      <c r="P408" s="98">
        <f t="shared" si="88"/>
        <v>-10891.646000000001</v>
      </c>
      <c r="Q408" s="98">
        <f t="shared" si="77"/>
        <v>35956.300000000003</v>
      </c>
      <c r="R408" s="120">
        <f>32435.9+5000</f>
        <v>37435.9</v>
      </c>
      <c r="S408" s="120">
        <v>3243.59</v>
      </c>
      <c r="T408" s="120">
        <v>6487.18</v>
      </c>
      <c r="U408" s="120">
        <v>9730.7699999999986</v>
      </c>
      <c r="V408" s="120">
        <f>12974.36+5000</f>
        <v>17974.36</v>
      </c>
      <c r="W408" s="52">
        <v>41838.1</v>
      </c>
      <c r="X408" s="52">
        <v>45517.5</v>
      </c>
      <c r="Y408" s="45"/>
      <c r="Z408" s="402"/>
      <c r="AA408" s="279"/>
    </row>
    <row r="409" spans="1:27" ht="18.600000000000001" customHeight="1">
      <c r="A409" s="414"/>
      <c r="B409" s="301" t="s">
        <v>519</v>
      </c>
      <c r="C409" s="301"/>
      <c r="D409" s="317"/>
      <c r="E409" s="317"/>
      <c r="F409" s="301"/>
      <c r="G409" s="301"/>
      <c r="H409" s="25"/>
      <c r="I409" s="26"/>
      <c r="J409" s="25"/>
      <c r="K409" s="25"/>
      <c r="L409" s="25"/>
      <c r="M409" s="98"/>
      <c r="N409" s="98"/>
      <c r="O409" s="98"/>
      <c r="P409" s="98"/>
      <c r="Q409" s="98"/>
      <c r="R409" s="120">
        <f>R408/0.95*0.05</f>
        <v>1970.3105263157897</v>
      </c>
      <c r="S409" s="120">
        <f t="shared" ref="S409:X409" si="90">S408/0.95*0.05</f>
        <v>170.71526315789475</v>
      </c>
      <c r="T409" s="120">
        <f t="shared" si="90"/>
        <v>341.43052631578951</v>
      </c>
      <c r="U409" s="120">
        <f t="shared" si="90"/>
        <v>512.1457894736842</v>
      </c>
      <c r="V409" s="120">
        <f t="shared" si="90"/>
        <v>946.01894736842121</v>
      </c>
      <c r="W409" s="120">
        <f t="shared" si="90"/>
        <v>2202.0052631578947</v>
      </c>
      <c r="X409" s="120">
        <f t="shared" si="90"/>
        <v>2395.6578947368425</v>
      </c>
      <c r="Y409" s="45"/>
      <c r="Z409" s="402"/>
      <c r="AA409" s="279"/>
    </row>
    <row r="410" spans="1:27" ht="24" customHeight="1">
      <c r="A410" s="412" t="s">
        <v>55</v>
      </c>
      <c r="B410" s="62" t="s">
        <v>10</v>
      </c>
      <c r="C410" s="62">
        <v>176</v>
      </c>
      <c r="D410" s="317" t="s">
        <v>554</v>
      </c>
      <c r="E410" s="317" t="s">
        <v>555</v>
      </c>
      <c r="F410" s="62">
        <v>6100070760</v>
      </c>
      <c r="G410" s="271">
        <v>521</v>
      </c>
      <c r="H410" s="25">
        <v>30658.7</v>
      </c>
      <c r="I410" s="26">
        <v>12421.8</v>
      </c>
      <c r="J410" s="25">
        <v>3312.47</v>
      </c>
      <c r="K410" s="25">
        <v>13578.2</v>
      </c>
      <c r="L410" s="25">
        <f t="shared" si="76"/>
        <v>1346.2300000000014</v>
      </c>
      <c r="M410" s="98">
        <v>67041.600000000006</v>
      </c>
      <c r="N410" s="98">
        <v>27197.643</v>
      </c>
      <c r="O410" s="98">
        <v>1446.3</v>
      </c>
      <c r="P410" s="98">
        <f t="shared" si="88"/>
        <v>-28643.942999999999</v>
      </c>
      <c r="Q410" s="98">
        <f t="shared" si="77"/>
        <v>67041.600000000006</v>
      </c>
      <c r="R410" s="120">
        <f>31419.4+10000+15000</f>
        <v>56419.4</v>
      </c>
      <c r="S410" s="120">
        <v>3141.94</v>
      </c>
      <c r="T410" s="120">
        <v>6283.88</v>
      </c>
      <c r="U410" s="120">
        <v>9425.82</v>
      </c>
      <c r="V410" s="120">
        <f>12567.76+10000+15000</f>
        <v>37567.760000000002</v>
      </c>
      <c r="W410" s="52">
        <v>40544.9</v>
      </c>
      <c r="X410" s="52">
        <v>43997.4</v>
      </c>
      <c r="Y410" s="45"/>
      <c r="Z410" s="402"/>
      <c r="AA410" s="279"/>
    </row>
    <row r="411" spans="1:27" ht="24.6" customHeight="1">
      <c r="A411" s="414"/>
      <c r="B411" s="301" t="s">
        <v>519</v>
      </c>
      <c r="C411" s="301"/>
      <c r="D411" s="317"/>
      <c r="E411" s="317"/>
      <c r="F411" s="301"/>
      <c r="G411" s="301"/>
      <c r="H411" s="25"/>
      <c r="I411" s="26"/>
      <c r="J411" s="25"/>
      <c r="K411" s="25"/>
      <c r="L411" s="25"/>
      <c r="M411" s="98"/>
      <c r="N411" s="98"/>
      <c r="O411" s="98"/>
      <c r="P411" s="98"/>
      <c r="Q411" s="98"/>
      <c r="R411" s="120">
        <f>R410/0.95*0.05</f>
        <v>2969.4421052631583</v>
      </c>
      <c r="S411" s="120">
        <f t="shared" ref="S411:X411" si="91">S410/0.95*0.05</f>
        <v>165.36526315789476</v>
      </c>
      <c r="T411" s="120">
        <f t="shared" si="91"/>
        <v>330.73052631578952</v>
      </c>
      <c r="U411" s="120">
        <f t="shared" si="91"/>
        <v>496.09578947368419</v>
      </c>
      <c r="V411" s="120">
        <f t="shared" si="91"/>
        <v>1977.25052631579</v>
      </c>
      <c r="W411" s="120">
        <f t="shared" si="91"/>
        <v>2133.9421052631583</v>
      </c>
      <c r="X411" s="120">
        <f t="shared" si="91"/>
        <v>2315.6526315789479</v>
      </c>
      <c r="Y411" s="45"/>
      <c r="Z411" s="402"/>
      <c r="AA411" s="279"/>
    </row>
    <row r="412" spans="1:27" ht="22.15" customHeight="1">
      <c r="A412" s="412" t="s">
        <v>56</v>
      </c>
      <c r="B412" s="62" t="s">
        <v>10</v>
      </c>
      <c r="C412" s="62">
        <v>176</v>
      </c>
      <c r="D412" s="317" t="s">
        <v>554</v>
      </c>
      <c r="E412" s="317" t="s">
        <v>555</v>
      </c>
      <c r="F412" s="62">
        <v>6100070760</v>
      </c>
      <c r="G412" s="271" t="s">
        <v>496</v>
      </c>
      <c r="H412" s="25">
        <v>22749.599999999999</v>
      </c>
      <c r="I412" s="26">
        <v>8077.2969999999996</v>
      </c>
      <c r="J412" s="25">
        <f>2923.968-0.005</f>
        <v>2923.9629999999997</v>
      </c>
      <c r="K412" s="25">
        <v>11138.74</v>
      </c>
      <c r="L412" s="25">
        <f t="shared" si="76"/>
        <v>609.60000000000036</v>
      </c>
      <c r="M412" s="98">
        <v>28968.2</v>
      </c>
      <c r="N412" s="98">
        <v>612.80899999999997</v>
      </c>
      <c r="O412" s="98">
        <v>10974.48</v>
      </c>
      <c r="P412" s="98">
        <f t="shared" si="88"/>
        <v>-11587.288999999999</v>
      </c>
      <c r="Q412" s="98">
        <f t="shared" si="77"/>
        <v>28968.199999999997</v>
      </c>
      <c r="R412" s="120">
        <f>25441.4+5000</f>
        <v>30441.4</v>
      </c>
      <c r="S412" s="120">
        <v>2544.14</v>
      </c>
      <c r="T412" s="120">
        <v>5088.28</v>
      </c>
      <c r="U412" s="120">
        <v>7632.4199999999992</v>
      </c>
      <c r="V412" s="120">
        <f>10176.56+5000</f>
        <v>15176.56</v>
      </c>
      <c r="W412" s="52">
        <v>32939.699999999997</v>
      </c>
      <c r="X412" s="52">
        <v>35058.300000000003</v>
      </c>
      <c r="Y412" s="45"/>
      <c r="Z412" s="402"/>
      <c r="AA412" s="279"/>
    </row>
    <row r="413" spans="1:27" ht="19.899999999999999" customHeight="1">
      <c r="A413" s="414"/>
      <c r="B413" s="301" t="s">
        <v>519</v>
      </c>
      <c r="C413" s="301"/>
      <c r="D413" s="317"/>
      <c r="E413" s="317"/>
      <c r="F413" s="301"/>
      <c r="G413" s="301"/>
      <c r="H413" s="25"/>
      <c r="I413" s="26"/>
      <c r="J413" s="25"/>
      <c r="K413" s="25"/>
      <c r="L413" s="25"/>
      <c r="M413" s="98"/>
      <c r="N413" s="98"/>
      <c r="O413" s="98"/>
      <c r="P413" s="98"/>
      <c r="Q413" s="98"/>
      <c r="R413" s="120">
        <f>R412/0.95*0.05</f>
        <v>1602.1789473684212</v>
      </c>
      <c r="S413" s="120">
        <f t="shared" ref="S413:X413" si="92">S412/0.95*0.05</f>
        <v>133.90210526315789</v>
      </c>
      <c r="T413" s="120">
        <f t="shared" si="92"/>
        <v>267.80421052631579</v>
      </c>
      <c r="U413" s="120">
        <f t="shared" si="92"/>
        <v>401.70631578947365</v>
      </c>
      <c r="V413" s="120">
        <f t="shared" si="92"/>
        <v>798.76631578947377</v>
      </c>
      <c r="W413" s="120">
        <f t="shared" si="92"/>
        <v>1733.6684210526319</v>
      </c>
      <c r="X413" s="120">
        <f t="shared" si="92"/>
        <v>1845.1736842105267</v>
      </c>
      <c r="Y413" s="45"/>
      <c r="Z413" s="402"/>
      <c r="AA413" s="279"/>
    </row>
    <row r="414" spans="1:27" ht="19.149999999999999" customHeight="1">
      <c r="A414" s="412" t="s">
        <v>57</v>
      </c>
      <c r="B414" s="62" t="s">
        <v>10</v>
      </c>
      <c r="C414" s="62">
        <v>176</v>
      </c>
      <c r="D414" s="317" t="s">
        <v>554</v>
      </c>
      <c r="E414" s="317" t="s">
        <v>555</v>
      </c>
      <c r="F414" s="62">
        <v>6100070760</v>
      </c>
      <c r="G414" s="271">
        <v>521</v>
      </c>
      <c r="H414" s="25">
        <v>26906.6</v>
      </c>
      <c r="I414" s="26">
        <v>6479.3050000000003</v>
      </c>
      <c r="J414" s="25">
        <v>0</v>
      </c>
      <c r="K414" s="25">
        <f>17520.69+0.005</f>
        <v>17520.695</v>
      </c>
      <c r="L414" s="25">
        <f t="shared" si="76"/>
        <v>2906.5999999999985</v>
      </c>
      <c r="M414" s="98">
        <v>33163.300000000003</v>
      </c>
      <c r="N414" s="98">
        <v>3097.68</v>
      </c>
      <c r="O414" s="98"/>
      <c r="P414" s="98">
        <f t="shared" si="88"/>
        <v>-3097.68</v>
      </c>
      <c r="Q414" s="98">
        <f t="shared" si="77"/>
        <v>33163.300000000003</v>
      </c>
      <c r="R414" s="120">
        <f>19367.6+3000+4199+6727.8+4000</f>
        <v>37294.400000000001</v>
      </c>
      <c r="S414" s="120">
        <v>1936.7600000000002</v>
      </c>
      <c r="T414" s="120">
        <v>3873.5200000000004</v>
      </c>
      <c r="U414" s="120">
        <v>5810.2800000000016</v>
      </c>
      <c r="V414" s="120">
        <f>7747.04+3000+4199+6727.8+4000</f>
        <v>25673.84</v>
      </c>
      <c r="W414" s="52">
        <v>25212.500000000004</v>
      </c>
      <c r="X414" s="52">
        <v>25975.8</v>
      </c>
      <c r="Y414" s="45"/>
      <c r="Z414" s="402"/>
      <c r="AA414" s="279"/>
    </row>
    <row r="415" spans="1:27" ht="20.45" customHeight="1">
      <c r="A415" s="414"/>
      <c r="B415" s="301" t="s">
        <v>519</v>
      </c>
      <c r="C415" s="301"/>
      <c r="D415" s="317"/>
      <c r="E415" s="317"/>
      <c r="F415" s="301"/>
      <c r="G415" s="301"/>
      <c r="H415" s="25"/>
      <c r="I415" s="26"/>
      <c r="J415" s="25"/>
      <c r="K415" s="25"/>
      <c r="L415" s="25"/>
      <c r="M415" s="98"/>
      <c r="N415" s="98"/>
      <c r="O415" s="98"/>
      <c r="P415" s="98"/>
      <c r="Q415" s="98"/>
      <c r="R415" s="120">
        <f>R414/0.95*0.05</f>
        <v>1962.863157894737</v>
      </c>
      <c r="S415" s="120">
        <f t="shared" ref="S415:X415" si="93">S414/0.95*0.05</f>
        <v>101.93473684210528</v>
      </c>
      <c r="T415" s="120">
        <f t="shared" si="93"/>
        <v>203.86947368421056</v>
      </c>
      <c r="U415" s="120">
        <f t="shared" si="93"/>
        <v>305.8042105263159</v>
      </c>
      <c r="V415" s="120">
        <f t="shared" si="93"/>
        <v>1351.2547368421056</v>
      </c>
      <c r="W415" s="120">
        <f t="shared" si="93"/>
        <v>1326.9736842105267</v>
      </c>
      <c r="X415" s="120">
        <f t="shared" si="93"/>
        <v>1367.1473684210528</v>
      </c>
      <c r="Y415" s="45"/>
      <c r="Z415" s="402"/>
      <c r="AA415" s="279"/>
    </row>
    <row r="416" spans="1:27" ht="16.899999999999999" customHeight="1">
      <c r="A416" s="412" t="s">
        <v>58</v>
      </c>
      <c r="B416" s="62" t="s">
        <v>10</v>
      </c>
      <c r="C416" s="62">
        <v>176</v>
      </c>
      <c r="D416" s="317" t="s">
        <v>554</v>
      </c>
      <c r="E416" s="317" t="s">
        <v>555</v>
      </c>
      <c r="F416" s="62">
        <v>6100070760</v>
      </c>
      <c r="G416" s="271">
        <v>521</v>
      </c>
      <c r="H416" s="25">
        <v>20913.7</v>
      </c>
      <c r="I416" s="26">
        <v>7079.7997999999998</v>
      </c>
      <c r="J416" s="25">
        <f>2766.404+0.00184</f>
        <v>2766.4058399999999</v>
      </c>
      <c r="K416" s="25">
        <f>7992.76-0.00164</f>
        <v>7992.7583599999998</v>
      </c>
      <c r="L416" s="25">
        <f t="shared" si="76"/>
        <v>3074.7360000000008</v>
      </c>
      <c r="M416" s="98">
        <v>32115.1</v>
      </c>
      <c r="N416" s="98"/>
      <c r="O416" s="98"/>
      <c r="P416" s="98">
        <f t="shared" si="88"/>
        <v>0</v>
      </c>
      <c r="Q416" s="98">
        <f t="shared" si="77"/>
        <v>32115.1</v>
      </c>
      <c r="R416" s="120">
        <f>25185.7+10000</f>
        <v>35185.699999999997</v>
      </c>
      <c r="S416" s="120">
        <f>2518.57</f>
        <v>2518.5700000000002</v>
      </c>
      <c r="T416" s="120">
        <v>5037.1400000000003</v>
      </c>
      <c r="U416" s="120">
        <v>7555.71</v>
      </c>
      <c r="V416" s="120">
        <f>10074.28+10000</f>
        <v>20074.28</v>
      </c>
      <c r="W416" s="52">
        <v>32614.400000000001</v>
      </c>
      <c r="X416" s="52">
        <v>34675.699999999997</v>
      </c>
      <c r="Y416" s="45"/>
      <c r="Z416" s="402"/>
      <c r="AA416" s="279"/>
    </row>
    <row r="417" spans="1:27" ht="17.45" customHeight="1">
      <c r="A417" s="414"/>
      <c r="B417" s="301" t="s">
        <v>519</v>
      </c>
      <c r="C417" s="301"/>
      <c r="D417" s="317"/>
      <c r="E417" s="317"/>
      <c r="F417" s="301"/>
      <c r="G417" s="301"/>
      <c r="H417" s="25"/>
      <c r="I417" s="26"/>
      <c r="J417" s="25"/>
      <c r="K417" s="25"/>
      <c r="L417" s="25"/>
      <c r="M417" s="98"/>
      <c r="N417" s="98"/>
      <c r="O417" s="98"/>
      <c r="P417" s="98"/>
      <c r="Q417" s="98"/>
      <c r="R417" s="120">
        <f>R416/0.95*0.05</f>
        <v>1851.878947368421</v>
      </c>
      <c r="S417" s="120">
        <f t="shared" ref="S417:X417" si="94">S416/0.95*0.05</f>
        <v>132.5563157894737</v>
      </c>
      <c r="T417" s="120">
        <f t="shared" si="94"/>
        <v>265.1126315789474</v>
      </c>
      <c r="U417" s="120">
        <f t="shared" si="94"/>
        <v>397.66894736842113</v>
      </c>
      <c r="V417" s="120">
        <f t="shared" si="94"/>
        <v>1056.5410526315789</v>
      </c>
      <c r="W417" s="120">
        <f t="shared" si="94"/>
        <v>1716.5473684210529</v>
      </c>
      <c r="X417" s="120">
        <f t="shared" si="94"/>
        <v>1825.0368421052631</v>
      </c>
      <c r="Y417" s="45"/>
      <c r="Z417" s="402"/>
      <c r="AA417" s="279"/>
    </row>
    <row r="418" spans="1:27">
      <c r="A418" s="412" t="s">
        <v>59</v>
      </c>
      <c r="B418" s="62" t="s">
        <v>10</v>
      </c>
      <c r="C418" s="62">
        <v>176</v>
      </c>
      <c r="D418" s="317" t="s">
        <v>554</v>
      </c>
      <c r="E418" s="317" t="s">
        <v>555</v>
      </c>
      <c r="F418" s="62">
        <v>6100070760</v>
      </c>
      <c r="G418" s="271">
        <v>521</v>
      </c>
      <c r="H418" s="25">
        <v>21749.200000000001</v>
      </c>
      <c r="I418" s="26">
        <v>10089.971</v>
      </c>
      <c r="J418" s="25">
        <v>3333.625</v>
      </c>
      <c r="K418" s="25">
        <v>4576.4040000000005</v>
      </c>
      <c r="L418" s="25">
        <f t="shared" si="76"/>
        <v>3749.2000000000007</v>
      </c>
      <c r="M418" s="98">
        <v>32958.9</v>
      </c>
      <c r="N418" s="98">
        <v>19104.877</v>
      </c>
      <c r="O418" s="98"/>
      <c r="P418" s="98">
        <f t="shared" si="88"/>
        <v>-19104.877</v>
      </c>
      <c r="Q418" s="98">
        <f t="shared" si="77"/>
        <v>32958.9</v>
      </c>
      <c r="R418" s="120">
        <f>30473.2+5000</f>
        <v>35473.199999999997</v>
      </c>
      <c r="S418" s="120">
        <v>3047.32</v>
      </c>
      <c r="T418" s="120">
        <v>6094.64</v>
      </c>
      <c r="U418" s="120">
        <v>9141.9599999999991</v>
      </c>
      <c r="V418" s="120">
        <f>12189.28+5000</f>
        <v>17189.28</v>
      </c>
      <c r="W418" s="52">
        <v>39340.899999999994</v>
      </c>
      <c r="X418" s="52">
        <v>42582.5</v>
      </c>
      <c r="Y418" s="45"/>
      <c r="Z418" s="402"/>
      <c r="AA418" s="279"/>
    </row>
    <row r="419" spans="1:27">
      <c r="A419" s="414"/>
      <c r="B419" s="301" t="s">
        <v>519</v>
      </c>
      <c r="C419" s="301"/>
      <c r="D419" s="317"/>
      <c r="E419" s="317"/>
      <c r="F419" s="301"/>
      <c r="G419" s="301"/>
      <c r="H419" s="25"/>
      <c r="I419" s="26"/>
      <c r="J419" s="25"/>
      <c r="K419" s="25"/>
      <c r="L419" s="25"/>
      <c r="M419" s="98"/>
      <c r="N419" s="98"/>
      <c r="O419" s="98"/>
      <c r="P419" s="98"/>
      <c r="Q419" s="98"/>
      <c r="R419" s="120">
        <f>R418/0.95*0.05</f>
        <v>1867.0105263157893</v>
      </c>
      <c r="S419" s="120">
        <f t="shared" ref="S419:X419" si="95">S418/0.95*0.05</f>
        <v>160.38526315789477</v>
      </c>
      <c r="T419" s="120">
        <f t="shared" si="95"/>
        <v>320.77052631578954</v>
      </c>
      <c r="U419" s="120">
        <f t="shared" si="95"/>
        <v>481.15578947368425</v>
      </c>
      <c r="V419" s="120">
        <f t="shared" si="95"/>
        <v>904.69894736842116</v>
      </c>
      <c r="W419" s="120">
        <f t="shared" si="95"/>
        <v>2070.5736842105262</v>
      </c>
      <c r="X419" s="120">
        <f t="shared" si="95"/>
        <v>2241.1842105263163</v>
      </c>
      <c r="Y419" s="45"/>
      <c r="Z419" s="402"/>
      <c r="AA419" s="279"/>
    </row>
    <row r="420" spans="1:27">
      <c r="A420" s="412" t="s">
        <v>60</v>
      </c>
      <c r="B420" s="62" t="s">
        <v>10</v>
      </c>
      <c r="C420" s="62">
        <v>176</v>
      </c>
      <c r="D420" s="317" t="s">
        <v>554</v>
      </c>
      <c r="E420" s="317" t="s">
        <v>555</v>
      </c>
      <c r="F420" s="62">
        <v>6100070760</v>
      </c>
      <c r="G420" s="271" t="s">
        <v>496</v>
      </c>
      <c r="H420" s="25">
        <f>42682.9</f>
        <v>42682.9</v>
      </c>
      <c r="I420" s="26">
        <v>1000</v>
      </c>
      <c r="J420" s="25">
        <v>8795.3089999999993</v>
      </c>
      <c r="K420" s="25">
        <f>28204.69+0.001</f>
        <v>28204.690999999999</v>
      </c>
      <c r="L420" s="25">
        <f t="shared" si="76"/>
        <v>4682.9000000000015</v>
      </c>
      <c r="M420" s="98">
        <v>85083.9</v>
      </c>
      <c r="N420" s="98">
        <v>6416.7479999999996</v>
      </c>
      <c r="O420" s="98">
        <v>14594.87</v>
      </c>
      <c r="P420" s="98">
        <f t="shared" si="88"/>
        <v>-21011.618000000002</v>
      </c>
      <c r="Q420" s="98">
        <f t="shared" si="77"/>
        <v>85083.9</v>
      </c>
      <c r="R420" s="120">
        <f>55212.8+12195.6+8000</f>
        <v>75408.400000000009</v>
      </c>
      <c r="S420" s="120">
        <v>5521.28</v>
      </c>
      <c r="T420" s="120">
        <v>11042.56</v>
      </c>
      <c r="U420" s="120">
        <v>16563.84</v>
      </c>
      <c r="V420" s="120">
        <f>22085.12+12195.6+8000</f>
        <v>42280.72</v>
      </c>
      <c r="W420" s="52">
        <v>70242</v>
      </c>
      <c r="X420" s="52">
        <v>69992.5</v>
      </c>
      <c r="Y420" s="45"/>
      <c r="Z420" s="402"/>
      <c r="AA420" s="279"/>
    </row>
    <row r="421" spans="1:27">
      <c r="A421" s="414"/>
      <c r="B421" s="301" t="s">
        <v>519</v>
      </c>
      <c r="C421" s="301"/>
      <c r="D421" s="317"/>
      <c r="E421" s="317"/>
      <c r="F421" s="301"/>
      <c r="G421" s="301"/>
      <c r="H421" s="25"/>
      <c r="I421" s="26"/>
      <c r="J421" s="25"/>
      <c r="K421" s="25"/>
      <c r="L421" s="25"/>
      <c r="M421" s="98"/>
      <c r="N421" s="98"/>
      <c r="O421" s="98"/>
      <c r="P421" s="98"/>
      <c r="Q421" s="98"/>
      <c r="R421" s="120">
        <f>R420/0.95*0.05</f>
        <v>3968.8631578947375</v>
      </c>
      <c r="S421" s="120">
        <f t="shared" ref="S421:X421" si="96">S420/0.95*0.05</f>
        <v>290.59368421052631</v>
      </c>
      <c r="T421" s="120">
        <f t="shared" si="96"/>
        <v>581.18736842105261</v>
      </c>
      <c r="U421" s="120">
        <f t="shared" si="96"/>
        <v>871.78105263157909</v>
      </c>
      <c r="V421" s="120">
        <f t="shared" si="96"/>
        <v>2225.3010526315788</v>
      </c>
      <c r="W421" s="120">
        <f t="shared" si="96"/>
        <v>3696.9473684210529</v>
      </c>
      <c r="X421" s="120">
        <f t="shared" si="96"/>
        <v>3683.8157894736851</v>
      </c>
      <c r="Y421" s="45"/>
      <c r="Z421" s="402"/>
      <c r="AA421" s="279"/>
    </row>
    <row r="422" spans="1:27">
      <c r="A422" s="412" t="s">
        <v>61</v>
      </c>
      <c r="B422" s="62" t="s">
        <v>10</v>
      </c>
      <c r="C422" s="62">
        <v>176</v>
      </c>
      <c r="D422" s="317" t="s">
        <v>554</v>
      </c>
      <c r="E422" s="317" t="s">
        <v>555</v>
      </c>
      <c r="F422" s="62">
        <v>6100070760</v>
      </c>
      <c r="G422" s="271" t="s">
        <v>496</v>
      </c>
      <c r="H422" s="25">
        <v>30983.3</v>
      </c>
      <c r="I422" s="26">
        <v>5142.3068000000003</v>
      </c>
      <c r="J422" s="25">
        <v>0</v>
      </c>
      <c r="K422" s="25">
        <f>19644.39+0.0032</f>
        <v>19644.393199999999</v>
      </c>
      <c r="L422" s="25">
        <f t="shared" si="76"/>
        <v>6196.5999999999985</v>
      </c>
      <c r="M422" s="98">
        <f>33148.8+14500</f>
        <v>47648.800000000003</v>
      </c>
      <c r="N422" s="98">
        <v>8087.1090000000004</v>
      </c>
      <c r="O422" s="98">
        <v>9832.85</v>
      </c>
      <c r="P422" s="98">
        <f t="shared" si="88"/>
        <v>-17919.959000000003</v>
      </c>
      <c r="Q422" s="98">
        <f t="shared" si="77"/>
        <v>47648.80000000001</v>
      </c>
      <c r="R422" s="120">
        <f>37463.2+5000</f>
        <v>42463.199999999997</v>
      </c>
      <c r="S422" s="120">
        <v>3746.32</v>
      </c>
      <c r="T422" s="120">
        <v>7492.64</v>
      </c>
      <c r="U422" s="120">
        <v>11238.96</v>
      </c>
      <c r="V422" s="120">
        <f>14985.28+5000</f>
        <v>19985.28</v>
      </c>
      <c r="W422" s="52">
        <v>48033.100000000006</v>
      </c>
      <c r="X422" s="52">
        <v>51684.1</v>
      </c>
      <c r="Y422" s="45"/>
      <c r="Z422" s="402"/>
      <c r="AA422" s="279"/>
    </row>
    <row r="423" spans="1:27">
      <c r="A423" s="414"/>
      <c r="B423" s="301" t="s">
        <v>519</v>
      </c>
      <c r="C423" s="301"/>
      <c r="D423" s="317"/>
      <c r="E423" s="317"/>
      <c r="F423" s="301"/>
      <c r="G423" s="301"/>
      <c r="H423" s="25"/>
      <c r="I423" s="26"/>
      <c r="J423" s="25"/>
      <c r="K423" s="25"/>
      <c r="L423" s="25"/>
      <c r="M423" s="98"/>
      <c r="N423" s="98"/>
      <c r="O423" s="98"/>
      <c r="P423" s="98"/>
      <c r="Q423" s="98"/>
      <c r="R423" s="120">
        <f>R422/0.95*0.05</f>
        <v>2234.9052631578948</v>
      </c>
      <c r="S423" s="120">
        <f t="shared" ref="S423:X423" si="97">S422/0.95*0.05</f>
        <v>197.17473684210529</v>
      </c>
      <c r="T423" s="120">
        <f t="shared" si="97"/>
        <v>394.34947368421058</v>
      </c>
      <c r="U423" s="120">
        <f t="shared" si="97"/>
        <v>591.52421052631587</v>
      </c>
      <c r="V423" s="120">
        <f t="shared" si="97"/>
        <v>1051.856842105263</v>
      </c>
      <c r="W423" s="120">
        <f t="shared" si="97"/>
        <v>2528.0578947368426</v>
      </c>
      <c r="X423" s="120">
        <f t="shared" si="97"/>
        <v>2720.2157894736847</v>
      </c>
      <c r="Y423" s="45"/>
      <c r="Z423" s="402"/>
      <c r="AA423" s="279"/>
    </row>
    <row r="424" spans="1:27" ht="18" customHeight="1">
      <c r="A424" s="412" t="s">
        <v>62</v>
      </c>
      <c r="B424" s="62" t="s">
        <v>10</v>
      </c>
      <c r="C424" s="62">
        <v>176</v>
      </c>
      <c r="D424" s="317" t="s">
        <v>554</v>
      </c>
      <c r="E424" s="317" t="s">
        <v>555</v>
      </c>
      <c r="F424" s="62">
        <v>6100070760</v>
      </c>
      <c r="G424" s="271" t="s">
        <v>496</v>
      </c>
      <c r="H424" s="272">
        <v>22655</v>
      </c>
      <c r="I424" s="273">
        <v>2161.13</v>
      </c>
      <c r="J424" s="272">
        <v>8240.6370000000006</v>
      </c>
      <c r="K424" s="272">
        <v>7722.2330000000002</v>
      </c>
      <c r="L424" s="272">
        <f t="shared" si="76"/>
        <v>4530.9999999999982</v>
      </c>
      <c r="M424" s="274">
        <v>27817.599999999999</v>
      </c>
      <c r="N424" s="274"/>
      <c r="O424" s="274">
        <v>10968.106</v>
      </c>
      <c r="P424" s="274">
        <f t="shared" si="88"/>
        <v>-10968.106</v>
      </c>
      <c r="Q424" s="274">
        <f t="shared" si="77"/>
        <v>27817.599999999999</v>
      </c>
      <c r="R424" s="275">
        <f>16503.3+3000</f>
        <v>19503.3</v>
      </c>
      <c r="S424" s="120">
        <v>1650.33</v>
      </c>
      <c r="T424" s="120">
        <v>3300.66</v>
      </c>
      <c r="U424" s="120">
        <v>4950.99</v>
      </c>
      <c r="V424" s="120">
        <f>6601.32+3000</f>
        <v>9601.32</v>
      </c>
      <c r="W424" s="52">
        <v>21568.6</v>
      </c>
      <c r="X424" s="52">
        <v>21692.7</v>
      </c>
      <c r="Y424" s="45"/>
      <c r="Z424" s="402"/>
      <c r="AA424" s="279"/>
    </row>
    <row r="425" spans="1:27" ht="18" customHeight="1">
      <c r="A425" s="414"/>
      <c r="B425" s="301" t="s">
        <v>519</v>
      </c>
      <c r="C425" s="301"/>
      <c r="D425" s="317"/>
      <c r="E425" s="317"/>
      <c r="F425" s="301"/>
      <c r="G425" s="301"/>
      <c r="H425" s="272"/>
      <c r="I425" s="273"/>
      <c r="J425" s="272"/>
      <c r="K425" s="272"/>
      <c r="L425" s="272"/>
      <c r="M425" s="274"/>
      <c r="N425" s="274"/>
      <c r="O425" s="274"/>
      <c r="P425" s="274"/>
      <c r="Q425" s="274"/>
      <c r="R425" s="275">
        <f>R424/0.95*0.05</f>
        <v>1026.4894736842105</v>
      </c>
      <c r="S425" s="275">
        <f t="shared" ref="S425:X425" si="98">S424/0.95*0.05</f>
        <v>86.859473684210528</v>
      </c>
      <c r="T425" s="275">
        <f t="shared" si="98"/>
        <v>173.71894736842106</v>
      </c>
      <c r="U425" s="275">
        <f t="shared" si="98"/>
        <v>260.5784210526316</v>
      </c>
      <c r="V425" s="275">
        <f t="shared" si="98"/>
        <v>505.33263157894737</v>
      </c>
      <c r="W425" s="275">
        <f t="shared" si="98"/>
        <v>1135.1894736842105</v>
      </c>
      <c r="X425" s="275">
        <f t="shared" si="98"/>
        <v>1141.7210526315791</v>
      </c>
      <c r="Y425" s="45"/>
      <c r="Z425" s="402"/>
      <c r="AA425" s="279"/>
    </row>
    <row r="426" spans="1:27" ht="21.6" customHeight="1">
      <c r="A426" s="412" t="s">
        <v>63</v>
      </c>
      <c r="B426" s="164" t="s">
        <v>10</v>
      </c>
      <c r="C426" s="164">
        <v>176</v>
      </c>
      <c r="D426" s="317" t="s">
        <v>554</v>
      </c>
      <c r="E426" s="317" t="s">
        <v>555</v>
      </c>
      <c r="F426" s="164">
        <v>6100070760</v>
      </c>
      <c r="G426" s="271">
        <v>521</v>
      </c>
      <c r="H426" s="25"/>
      <c r="I426" s="26"/>
      <c r="J426" s="25"/>
      <c r="K426" s="25"/>
      <c r="L426" s="25"/>
      <c r="M426" s="98"/>
      <c r="N426" s="98"/>
      <c r="O426" s="98"/>
      <c r="P426" s="98"/>
      <c r="Q426" s="98"/>
      <c r="R426" s="120">
        <f>44526.1+17000+6649.4</f>
        <v>68175.5</v>
      </c>
      <c r="S426" s="120">
        <v>4452.6099999999997</v>
      </c>
      <c r="T426" s="120">
        <v>8905.2199999999993</v>
      </c>
      <c r="U426" s="120">
        <v>13357.83</v>
      </c>
      <c r="V426" s="120">
        <f>17810.44+17000+6649.4</f>
        <v>41459.840000000004</v>
      </c>
      <c r="W426" s="52">
        <v>57219.3</v>
      </c>
      <c r="X426" s="52">
        <v>63596.5</v>
      </c>
      <c r="Y426" s="45"/>
      <c r="Z426" s="402"/>
      <c r="AA426" s="279"/>
    </row>
    <row r="427" spans="1:27" ht="21.6" customHeight="1">
      <c r="A427" s="414"/>
      <c r="B427" s="301" t="s">
        <v>519</v>
      </c>
      <c r="C427" s="301"/>
      <c r="D427" s="317"/>
      <c r="E427" s="317"/>
      <c r="F427" s="301"/>
      <c r="G427" s="301"/>
      <c r="H427" s="25"/>
      <c r="I427" s="26"/>
      <c r="J427" s="25"/>
      <c r="K427" s="25"/>
      <c r="L427" s="25"/>
      <c r="M427" s="98"/>
      <c r="N427" s="98"/>
      <c r="O427" s="98"/>
      <c r="P427" s="98"/>
      <c r="Q427" s="98"/>
      <c r="R427" s="120">
        <f>R426/0.95*0.05</f>
        <v>3588.1842105263163</v>
      </c>
      <c r="S427" s="120">
        <f t="shared" ref="S427:X427" si="99">S426/0.95*0.05</f>
        <v>234.34789473684211</v>
      </c>
      <c r="T427" s="120">
        <f t="shared" si="99"/>
        <v>468.69578947368421</v>
      </c>
      <c r="U427" s="120">
        <f t="shared" si="99"/>
        <v>703.04368421052641</v>
      </c>
      <c r="V427" s="120">
        <f t="shared" si="99"/>
        <v>2182.0968421052635</v>
      </c>
      <c r="W427" s="120">
        <f t="shared" si="99"/>
        <v>3011.5421052631582</v>
      </c>
      <c r="X427" s="120">
        <f t="shared" si="99"/>
        <v>3347.1842105263163</v>
      </c>
      <c r="Y427" s="45"/>
      <c r="Z427" s="402"/>
      <c r="AA427" s="279"/>
    </row>
    <row r="428" spans="1:27">
      <c r="A428" s="412" t="s">
        <v>64</v>
      </c>
      <c r="B428" s="62" t="s">
        <v>10</v>
      </c>
      <c r="C428" s="62">
        <v>176</v>
      </c>
      <c r="D428" s="317" t="s">
        <v>554</v>
      </c>
      <c r="E428" s="317" t="s">
        <v>555</v>
      </c>
      <c r="F428" s="62">
        <v>6100070760</v>
      </c>
      <c r="G428" s="271">
        <v>521</v>
      </c>
      <c r="H428" s="25">
        <v>32877.199999999997</v>
      </c>
      <c r="I428" s="26">
        <v>14002.699000000001</v>
      </c>
      <c r="J428" s="25">
        <v>10045.549999999999</v>
      </c>
      <c r="K428" s="25">
        <f>8346.65+0.001</f>
        <v>8346.6509999999998</v>
      </c>
      <c r="L428" s="25">
        <f t="shared" si="76"/>
        <v>482.29999999999745</v>
      </c>
      <c r="M428" s="98">
        <v>34234.400000000001</v>
      </c>
      <c r="N428" s="98">
        <v>1922.308</v>
      </c>
      <c r="O428" s="98">
        <v>11771.46</v>
      </c>
      <c r="P428" s="98">
        <f t="shared" ref="P428:P444" si="100">AA428-O428-N428</f>
        <v>-13693.768</v>
      </c>
      <c r="Q428" s="98">
        <f t="shared" si="77"/>
        <v>34234.400000000001</v>
      </c>
      <c r="R428" s="120">
        <f>27442.6+5000</f>
        <v>32442.6</v>
      </c>
      <c r="S428" s="120">
        <v>2744.26</v>
      </c>
      <c r="T428" s="120">
        <v>5488.52</v>
      </c>
      <c r="U428" s="120">
        <v>8232.7800000000007</v>
      </c>
      <c r="V428" s="120">
        <f>10977.04+5000</f>
        <v>15977.04</v>
      </c>
      <c r="W428" s="52">
        <v>35485.599999999999</v>
      </c>
      <c r="X428" s="52">
        <v>38050.800000000003</v>
      </c>
      <c r="Y428" s="45"/>
      <c r="Z428" s="402"/>
      <c r="AA428" s="279"/>
    </row>
    <row r="429" spans="1:27" ht="20.45" customHeight="1">
      <c r="A429" s="414"/>
      <c r="B429" s="301" t="s">
        <v>519</v>
      </c>
      <c r="C429" s="301"/>
      <c r="D429" s="317"/>
      <c r="E429" s="317"/>
      <c r="F429" s="301"/>
      <c r="G429" s="301"/>
      <c r="H429" s="25"/>
      <c r="I429" s="26"/>
      <c r="J429" s="25"/>
      <c r="K429" s="25"/>
      <c r="L429" s="25"/>
      <c r="M429" s="98"/>
      <c r="N429" s="98"/>
      <c r="O429" s="98"/>
      <c r="P429" s="98"/>
      <c r="Q429" s="98"/>
      <c r="R429" s="120">
        <f>R428/0.95*0.05</f>
        <v>1707.5052631578947</v>
      </c>
      <c r="S429" s="120">
        <f t="shared" ref="S429:X429" si="101">S428/0.95*0.05</f>
        <v>144.43473684210528</v>
      </c>
      <c r="T429" s="120">
        <f t="shared" si="101"/>
        <v>288.86947368421056</v>
      </c>
      <c r="U429" s="120">
        <f t="shared" si="101"/>
        <v>433.30421052631584</v>
      </c>
      <c r="V429" s="120">
        <f t="shared" si="101"/>
        <v>840.8968421052632</v>
      </c>
      <c r="W429" s="120">
        <f t="shared" si="101"/>
        <v>1867.6631578947372</v>
      </c>
      <c r="X429" s="120">
        <f t="shared" si="101"/>
        <v>2002.6736842105267</v>
      </c>
      <c r="Y429" s="45"/>
      <c r="Z429" s="402"/>
      <c r="AA429" s="279"/>
    </row>
    <row r="430" spans="1:27">
      <c r="A430" s="412" t="s">
        <v>65</v>
      </c>
      <c r="B430" s="62" t="s">
        <v>10</v>
      </c>
      <c r="C430" s="62">
        <v>176</v>
      </c>
      <c r="D430" s="317" t="s">
        <v>554</v>
      </c>
      <c r="E430" s="317" t="s">
        <v>555</v>
      </c>
      <c r="F430" s="62">
        <v>6100070760</v>
      </c>
      <c r="G430" s="271">
        <v>521</v>
      </c>
      <c r="H430" s="25">
        <f>40390.7+24200</f>
        <v>64590.7</v>
      </c>
      <c r="I430" s="26">
        <v>29857.859</v>
      </c>
      <c r="J430" s="25">
        <v>0</v>
      </c>
      <c r="K430" s="25">
        <f>9609.967+0.0002</f>
        <v>9609.967200000001</v>
      </c>
      <c r="L430" s="25">
        <f t="shared" si="76"/>
        <v>25122.873800000001</v>
      </c>
      <c r="M430" s="98">
        <v>56955</v>
      </c>
      <c r="N430" s="98">
        <v>30867.142</v>
      </c>
      <c r="O430" s="98">
        <v>7302.38</v>
      </c>
      <c r="P430" s="98">
        <f t="shared" si="100"/>
        <v>-38169.521999999997</v>
      </c>
      <c r="Q430" s="98">
        <f t="shared" si="77"/>
        <v>56955</v>
      </c>
      <c r="R430" s="120">
        <f>52780.2+15000</f>
        <v>67780.2</v>
      </c>
      <c r="S430" s="120">
        <v>5278.02</v>
      </c>
      <c r="T430" s="120">
        <v>10556.04</v>
      </c>
      <c r="U430" s="120">
        <v>15834.06</v>
      </c>
      <c r="V430" s="120">
        <f>21112.08+15000</f>
        <v>36112.080000000002</v>
      </c>
      <c r="W430" s="52">
        <v>67720.2</v>
      </c>
      <c r="X430" s="52">
        <v>75939.199999999997</v>
      </c>
      <c r="Y430" s="45"/>
      <c r="Z430" s="402"/>
      <c r="AA430" s="279"/>
    </row>
    <row r="431" spans="1:27" ht="22.15" customHeight="1">
      <c r="A431" s="414"/>
      <c r="B431" s="301" t="s">
        <v>519</v>
      </c>
      <c r="C431" s="301"/>
      <c r="D431" s="317"/>
      <c r="E431" s="317"/>
      <c r="F431" s="301"/>
      <c r="G431" s="301"/>
      <c r="H431" s="25"/>
      <c r="I431" s="26"/>
      <c r="J431" s="25"/>
      <c r="K431" s="25"/>
      <c r="L431" s="25"/>
      <c r="M431" s="98"/>
      <c r="N431" s="98"/>
      <c r="O431" s="98"/>
      <c r="P431" s="98"/>
      <c r="Q431" s="98"/>
      <c r="R431" s="120">
        <f>R430/0.95*0.05</f>
        <v>3567.3789473684214</v>
      </c>
      <c r="S431" s="120">
        <f t="shared" ref="S431:X431" si="102">S430/0.95*0.05</f>
        <v>277.79052631578952</v>
      </c>
      <c r="T431" s="120">
        <f t="shared" si="102"/>
        <v>555.58105263157904</v>
      </c>
      <c r="U431" s="120">
        <f t="shared" si="102"/>
        <v>833.37157894736856</v>
      </c>
      <c r="V431" s="120">
        <f t="shared" si="102"/>
        <v>1900.6357894736846</v>
      </c>
      <c r="W431" s="120">
        <f t="shared" si="102"/>
        <v>3564.2210526315789</v>
      </c>
      <c r="X431" s="120">
        <f t="shared" si="102"/>
        <v>3996.8</v>
      </c>
      <c r="Y431" s="45"/>
      <c r="Z431" s="402"/>
      <c r="AA431" s="279"/>
    </row>
    <row r="432" spans="1:27">
      <c r="A432" s="412" t="s">
        <v>66</v>
      </c>
      <c r="B432" s="62" t="s">
        <v>10</v>
      </c>
      <c r="C432" s="62">
        <v>176</v>
      </c>
      <c r="D432" s="317" t="s">
        <v>554</v>
      </c>
      <c r="E432" s="317" t="s">
        <v>555</v>
      </c>
      <c r="F432" s="62">
        <v>6100070760</v>
      </c>
      <c r="G432" s="271">
        <v>521</v>
      </c>
      <c r="H432" s="25">
        <v>28811.4</v>
      </c>
      <c r="I432" s="26">
        <v>0</v>
      </c>
      <c r="J432" s="25">
        <v>12314.44</v>
      </c>
      <c r="K432" s="25">
        <v>10734.76</v>
      </c>
      <c r="L432" s="25">
        <f t="shared" si="76"/>
        <v>5762.1999999999989</v>
      </c>
      <c r="M432" s="98">
        <v>24994</v>
      </c>
      <c r="N432" s="98"/>
      <c r="O432" s="98">
        <v>4998.8</v>
      </c>
      <c r="P432" s="98">
        <f t="shared" si="100"/>
        <v>-4998.8</v>
      </c>
      <c r="Q432" s="98">
        <f t="shared" si="77"/>
        <v>24994</v>
      </c>
      <c r="R432" s="120">
        <f>22097.6+5000</f>
        <v>27097.599999999999</v>
      </c>
      <c r="S432" s="120">
        <v>2209.7600000000002</v>
      </c>
      <c r="T432" s="120">
        <v>4419.5200000000004</v>
      </c>
      <c r="U432" s="120">
        <v>6629.2800000000016</v>
      </c>
      <c r="V432" s="120">
        <f>8839.04+5000</f>
        <v>13839.04</v>
      </c>
      <c r="W432" s="52">
        <v>28685.7</v>
      </c>
      <c r="X432" s="52">
        <v>30058.2</v>
      </c>
      <c r="Y432" s="45"/>
      <c r="Z432" s="402"/>
      <c r="AA432" s="279"/>
    </row>
    <row r="433" spans="1:27">
      <c r="A433" s="414"/>
      <c r="B433" s="301" t="s">
        <v>519</v>
      </c>
      <c r="C433" s="301"/>
      <c r="D433" s="317"/>
      <c r="E433" s="317"/>
      <c r="F433" s="301"/>
      <c r="G433" s="301"/>
      <c r="H433" s="25"/>
      <c r="I433" s="26"/>
      <c r="J433" s="25"/>
      <c r="K433" s="25"/>
      <c r="L433" s="25"/>
      <c r="M433" s="98"/>
      <c r="N433" s="98"/>
      <c r="O433" s="98"/>
      <c r="P433" s="98"/>
      <c r="Q433" s="98"/>
      <c r="R433" s="120">
        <f>R432/0.95*0.05</f>
        <v>1426.1894736842105</v>
      </c>
      <c r="S433" s="120">
        <f t="shared" ref="S433:X433" si="103">S432/0.95*0.05</f>
        <v>116.30315789473687</v>
      </c>
      <c r="T433" s="120">
        <f t="shared" si="103"/>
        <v>232.60631578947374</v>
      </c>
      <c r="U433" s="120">
        <f t="shared" si="103"/>
        <v>348.90947368421064</v>
      </c>
      <c r="V433" s="120">
        <f t="shared" si="103"/>
        <v>728.37052631578956</v>
      </c>
      <c r="W433" s="120">
        <f t="shared" si="103"/>
        <v>1509.7736842105264</v>
      </c>
      <c r="X433" s="120">
        <f t="shared" si="103"/>
        <v>1582.0105263157895</v>
      </c>
      <c r="Y433" s="45"/>
      <c r="Z433" s="402"/>
      <c r="AA433" s="279"/>
    </row>
    <row r="434" spans="1:27" ht="16.899999999999999" customHeight="1">
      <c r="A434" s="412" t="s">
        <v>67</v>
      </c>
      <c r="B434" s="62" t="s">
        <v>10</v>
      </c>
      <c r="C434" s="62">
        <v>176</v>
      </c>
      <c r="D434" s="317" t="s">
        <v>554</v>
      </c>
      <c r="E434" s="317" t="s">
        <v>555</v>
      </c>
      <c r="F434" s="62">
        <v>6100070760</v>
      </c>
      <c r="G434" s="271">
        <v>521</v>
      </c>
      <c r="H434" s="25">
        <v>23803.200000000001</v>
      </c>
      <c r="I434" s="26">
        <f>7877.528</f>
        <v>7877.5280000000002</v>
      </c>
      <c r="J434" s="25">
        <f>2572.839+250.933</f>
        <v>2823.7719999999999</v>
      </c>
      <c r="K434" s="25">
        <v>8611.3150000000005</v>
      </c>
      <c r="L434" s="25">
        <f t="shared" si="76"/>
        <v>4490.5850000000009</v>
      </c>
      <c r="M434" s="98">
        <v>28976.7</v>
      </c>
      <c r="N434" s="98"/>
      <c r="O434" s="98">
        <v>5795.34</v>
      </c>
      <c r="P434" s="98">
        <f t="shared" si="100"/>
        <v>-5795.34</v>
      </c>
      <c r="Q434" s="98">
        <f t="shared" si="77"/>
        <v>28976.7</v>
      </c>
      <c r="R434" s="120">
        <f>12897.5+3000</f>
        <v>15897.5</v>
      </c>
      <c r="S434" s="120">
        <v>1289.75</v>
      </c>
      <c r="T434" s="120">
        <v>2579.5</v>
      </c>
      <c r="U434" s="120">
        <v>3869.25</v>
      </c>
      <c r="V434" s="120">
        <f>5159+3000</f>
        <v>8159</v>
      </c>
      <c r="W434" s="52">
        <v>16981.2</v>
      </c>
      <c r="X434" s="52">
        <v>16300.6</v>
      </c>
      <c r="Y434" s="45"/>
      <c r="Z434" s="402"/>
      <c r="AA434" s="279"/>
    </row>
    <row r="435" spans="1:27" ht="20.45" customHeight="1">
      <c r="A435" s="414"/>
      <c r="B435" s="301" t="s">
        <v>519</v>
      </c>
      <c r="C435" s="301"/>
      <c r="D435" s="317"/>
      <c r="E435" s="317"/>
      <c r="F435" s="301"/>
      <c r="G435" s="301"/>
      <c r="H435" s="25"/>
      <c r="I435" s="26"/>
      <c r="J435" s="25"/>
      <c r="K435" s="25"/>
      <c r="L435" s="25"/>
      <c r="M435" s="98"/>
      <c r="N435" s="98"/>
      <c r="O435" s="98"/>
      <c r="P435" s="98"/>
      <c r="Q435" s="98"/>
      <c r="R435" s="120">
        <f>R434/0.95*0.05</f>
        <v>836.71052631578959</v>
      </c>
      <c r="S435" s="120">
        <f t="shared" ref="S435:X435" si="104">S434/0.95*0.05</f>
        <v>67.881578947368425</v>
      </c>
      <c r="T435" s="120">
        <f t="shared" si="104"/>
        <v>135.76315789473685</v>
      </c>
      <c r="U435" s="120">
        <f t="shared" si="104"/>
        <v>203.64473684210529</v>
      </c>
      <c r="V435" s="120">
        <f t="shared" si="104"/>
        <v>429.42105263157902</v>
      </c>
      <c r="W435" s="120">
        <f t="shared" si="104"/>
        <v>893.74736842105267</v>
      </c>
      <c r="X435" s="120">
        <f t="shared" si="104"/>
        <v>857.92631578947373</v>
      </c>
      <c r="Y435" s="45"/>
      <c r="Z435" s="402"/>
      <c r="AA435" s="279"/>
    </row>
    <row r="436" spans="1:27">
      <c r="A436" s="412" t="s">
        <v>68</v>
      </c>
      <c r="B436" s="62" t="s">
        <v>10</v>
      </c>
      <c r="C436" s="62">
        <v>176</v>
      </c>
      <c r="D436" s="317" t="s">
        <v>554</v>
      </c>
      <c r="E436" s="317" t="s">
        <v>555</v>
      </c>
      <c r="F436" s="62">
        <v>6100070760</v>
      </c>
      <c r="G436" s="271" t="s">
        <v>496</v>
      </c>
      <c r="H436" s="25">
        <v>24594</v>
      </c>
      <c r="I436" s="26">
        <v>2473.1266999999998</v>
      </c>
      <c r="J436" s="25">
        <v>7106.9</v>
      </c>
      <c r="K436" s="25">
        <f>10095.17+0.0033</f>
        <v>10095.1733</v>
      </c>
      <c r="L436" s="25">
        <f t="shared" si="76"/>
        <v>4918.7999999999993</v>
      </c>
      <c r="M436" s="98">
        <v>30829.200000000001</v>
      </c>
      <c r="N436" s="98">
        <v>1323.0650000000001</v>
      </c>
      <c r="O436" s="98">
        <v>6165.8050000000003</v>
      </c>
      <c r="P436" s="98">
        <f t="shared" si="100"/>
        <v>-7488.8700000000008</v>
      </c>
      <c r="Q436" s="98">
        <f t="shared" si="77"/>
        <v>30829.200000000004</v>
      </c>
      <c r="R436" s="120">
        <f>55060.8+5000+10000</f>
        <v>70060.800000000003</v>
      </c>
      <c r="S436" s="120">
        <v>5506.08</v>
      </c>
      <c r="T436" s="120">
        <v>11012.16</v>
      </c>
      <c r="U436" s="120">
        <v>16518.239999999998</v>
      </c>
      <c r="V436" s="120">
        <f>22024.32+5000+10000</f>
        <v>37024.32</v>
      </c>
      <c r="W436" s="52">
        <v>26659.499999999996</v>
      </c>
      <c r="X436" s="52">
        <v>32400.5</v>
      </c>
      <c r="Y436" s="45"/>
      <c r="Z436" s="402"/>
      <c r="AA436" s="279"/>
    </row>
    <row r="437" spans="1:27" ht="19.149999999999999" customHeight="1">
      <c r="A437" s="414"/>
      <c r="B437" s="301" t="s">
        <v>519</v>
      </c>
      <c r="C437" s="301"/>
      <c r="D437" s="317"/>
      <c r="E437" s="317"/>
      <c r="F437" s="301"/>
      <c r="G437" s="301"/>
      <c r="H437" s="25"/>
      <c r="I437" s="26"/>
      <c r="J437" s="25"/>
      <c r="K437" s="25"/>
      <c r="L437" s="25"/>
      <c r="M437" s="98"/>
      <c r="N437" s="98"/>
      <c r="O437" s="98"/>
      <c r="P437" s="98"/>
      <c r="Q437" s="98"/>
      <c r="R437" s="120">
        <f>R436/0.95*0.05</f>
        <v>3687.4105263157903</v>
      </c>
      <c r="S437" s="120">
        <f t="shared" ref="S437:X437" si="105">S436/0.95*0.05</f>
        <v>289.79368421052635</v>
      </c>
      <c r="T437" s="120">
        <f t="shared" si="105"/>
        <v>579.5873684210527</v>
      </c>
      <c r="U437" s="120">
        <f t="shared" si="105"/>
        <v>869.38105263157888</v>
      </c>
      <c r="V437" s="120">
        <f t="shared" si="105"/>
        <v>1948.6484210526316</v>
      </c>
      <c r="W437" s="120">
        <f t="shared" si="105"/>
        <v>1403.1315789473683</v>
      </c>
      <c r="X437" s="120">
        <f t="shared" si="105"/>
        <v>1705.2894736842109</v>
      </c>
      <c r="Y437" s="45"/>
      <c r="Z437" s="402"/>
      <c r="AA437" s="279"/>
    </row>
    <row r="438" spans="1:27" ht="19.899999999999999" customHeight="1">
      <c r="A438" s="412" t="s">
        <v>69</v>
      </c>
      <c r="B438" s="62" t="s">
        <v>10</v>
      </c>
      <c r="C438" s="62">
        <v>176</v>
      </c>
      <c r="D438" s="317" t="s">
        <v>554</v>
      </c>
      <c r="E438" s="317" t="s">
        <v>555</v>
      </c>
      <c r="F438" s="62">
        <v>6100070760</v>
      </c>
      <c r="G438" s="271">
        <v>521</v>
      </c>
      <c r="H438" s="25">
        <f>24109.4</f>
        <v>24109.4</v>
      </c>
      <c r="I438" s="26">
        <v>10199.791999999999</v>
      </c>
      <c r="J438" s="25">
        <v>962.09900000000005</v>
      </c>
      <c r="K438" s="25">
        <v>8125.7089999999998</v>
      </c>
      <c r="L438" s="25">
        <f t="shared" si="76"/>
        <v>4821.800000000002</v>
      </c>
      <c r="M438" s="98">
        <f>53340.3+15000</f>
        <v>68340.3</v>
      </c>
      <c r="N438" s="98">
        <f>39255.8</f>
        <v>39255.800000000003</v>
      </c>
      <c r="O438" s="98">
        <v>13000</v>
      </c>
      <c r="P438" s="98">
        <f t="shared" si="100"/>
        <v>-52255.8</v>
      </c>
      <c r="Q438" s="98">
        <f t="shared" si="77"/>
        <v>68340.3</v>
      </c>
      <c r="R438" s="120">
        <f>30204.6+4000+10000</f>
        <v>44204.6</v>
      </c>
      <c r="S438" s="120">
        <v>3020.46</v>
      </c>
      <c r="T438" s="120">
        <v>6040.92</v>
      </c>
      <c r="U438" s="120">
        <v>9061.3799999999992</v>
      </c>
      <c r="V438" s="120">
        <f>12081.84+4000+10000</f>
        <v>26081.84</v>
      </c>
      <c r="W438" s="52">
        <f>38999.5+10800</f>
        <v>49799.5</v>
      </c>
      <c r="X438" s="52">
        <v>42180.9</v>
      </c>
      <c r="Y438" s="45"/>
      <c r="Z438" s="402"/>
      <c r="AA438" s="279"/>
    </row>
    <row r="439" spans="1:27" ht="16.149999999999999" customHeight="1">
      <c r="A439" s="414"/>
      <c r="B439" s="301" t="s">
        <v>519</v>
      </c>
      <c r="C439" s="301"/>
      <c r="D439" s="317"/>
      <c r="E439" s="317"/>
      <c r="F439" s="301"/>
      <c r="G439" s="301"/>
      <c r="H439" s="25"/>
      <c r="I439" s="26"/>
      <c r="J439" s="25"/>
      <c r="K439" s="25"/>
      <c r="L439" s="25"/>
      <c r="M439" s="98"/>
      <c r="N439" s="98"/>
      <c r="O439" s="98"/>
      <c r="P439" s="98"/>
      <c r="Q439" s="98"/>
      <c r="R439" s="120">
        <f>R438/0.95*0.05</f>
        <v>2326.5578947368422</v>
      </c>
      <c r="S439" s="120">
        <f t="shared" ref="S439:X439" si="106">S438/0.95*0.05</f>
        <v>158.97157894736844</v>
      </c>
      <c r="T439" s="120">
        <f t="shared" si="106"/>
        <v>317.94315789473688</v>
      </c>
      <c r="U439" s="120">
        <f t="shared" si="106"/>
        <v>476.91473684210524</v>
      </c>
      <c r="V439" s="120">
        <f t="shared" si="106"/>
        <v>1372.7284210526318</v>
      </c>
      <c r="W439" s="120">
        <f t="shared" si="106"/>
        <v>2621.0263157894738</v>
      </c>
      <c r="X439" s="120">
        <f t="shared" si="106"/>
        <v>2220.0473684210529</v>
      </c>
      <c r="Y439" s="45"/>
      <c r="Z439" s="402"/>
      <c r="AA439" s="279"/>
    </row>
    <row r="440" spans="1:27" ht="16.149999999999999" customHeight="1">
      <c r="A440" s="412" t="s">
        <v>70</v>
      </c>
      <c r="B440" s="62" t="s">
        <v>10</v>
      </c>
      <c r="C440" s="62">
        <v>176</v>
      </c>
      <c r="D440" s="317" t="s">
        <v>554</v>
      </c>
      <c r="E440" s="317" t="s">
        <v>555</v>
      </c>
      <c r="F440" s="62">
        <v>6100070760</v>
      </c>
      <c r="G440" s="271">
        <v>521</v>
      </c>
      <c r="H440" s="25">
        <v>22499.5</v>
      </c>
      <c r="I440" s="26">
        <v>3558.4654999999998</v>
      </c>
      <c r="J440" s="25">
        <v>0</v>
      </c>
      <c r="K440" s="25">
        <f>15941.53+0.0045</f>
        <v>15941.5345</v>
      </c>
      <c r="L440" s="25">
        <f t="shared" si="76"/>
        <v>2999.5000000000018</v>
      </c>
      <c r="M440" s="98">
        <v>28715.9</v>
      </c>
      <c r="N440" s="98">
        <v>2095.7579999999998</v>
      </c>
      <c r="O440" s="98">
        <v>9390.56</v>
      </c>
      <c r="P440" s="98">
        <f t="shared" si="100"/>
        <v>-11486.317999999999</v>
      </c>
      <c r="Q440" s="98">
        <f t="shared" si="77"/>
        <v>28715.9</v>
      </c>
      <c r="R440" s="120">
        <f>20882.8+3000</f>
        <v>23882.799999999999</v>
      </c>
      <c r="S440" s="120">
        <v>2088.2800000000002</v>
      </c>
      <c r="T440" s="120">
        <v>4176.5600000000004</v>
      </c>
      <c r="U440" s="120">
        <v>6264.84</v>
      </c>
      <c r="V440" s="120">
        <f>8353.12+3000</f>
        <v>11353.12</v>
      </c>
      <c r="W440" s="52">
        <v>27140.199999999997</v>
      </c>
      <c r="X440" s="52">
        <v>28241.7</v>
      </c>
      <c r="Y440" s="45"/>
      <c r="Z440" s="402"/>
      <c r="AA440" s="279"/>
    </row>
    <row r="441" spans="1:27" ht="19.899999999999999" customHeight="1">
      <c r="A441" s="414"/>
      <c r="B441" s="301" t="s">
        <v>519</v>
      </c>
      <c r="C441" s="301"/>
      <c r="D441" s="317"/>
      <c r="E441" s="317"/>
      <c r="F441" s="301"/>
      <c r="G441" s="301"/>
      <c r="H441" s="25"/>
      <c r="I441" s="26"/>
      <c r="J441" s="25"/>
      <c r="K441" s="25"/>
      <c r="L441" s="25"/>
      <c r="M441" s="98"/>
      <c r="N441" s="98"/>
      <c r="O441" s="98"/>
      <c r="P441" s="98"/>
      <c r="Q441" s="98"/>
      <c r="R441" s="120">
        <f>R440/0.95*0.05</f>
        <v>1256.9894736842107</v>
      </c>
      <c r="S441" s="120">
        <f t="shared" ref="S441:X441" si="107">S440/0.95*0.05</f>
        <v>109.90947368421055</v>
      </c>
      <c r="T441" s="120">
        <f t="shared" si="107"/>
        <v>219.81894736842111</v>
      </c>
      <c r="U441" s="120">
        <f t="shared" si="107"/>
        <v>329.72842105263163</v>
      </c>
      <c r="V441" s="120">
        <f t="shared" si="107"/>
        <v>597.53263157894742</v>
      </c>
      <c r="W441" s="120">
        <f t="shared" si="107"/>
        <v>1428.4315789473685</v>
      </c>
      <c r="X441" s="120">
        <f t="shared" si="107"/>
        <v>1486.405263157895</v>
      </c>
      <c r="Y441" s="45"/>
      <c r="Z441" s="402"/>
      <c r="AA441" s="279"/>
    </row>
    <row r="442" spans="1:27" ht="21.6" customHeight="1">
      <c r="A442" s="412" t="s">
        <v>71</v>
      </c>
      <c r="B442" s="62" t="s">
        <v>10</v>
      </c>
      <c r="C442" s="62">
        <v>176</v>
      </c>
      <c r="D442" s="317" t="s">
        <v>554</v>
      </c>
      <c r="E442" s="317" t="s">
        <v>555</v>
      </c>
      <c r="F442" s="62">
        <v>6100070760</v>
      </c>
      <c r="G442" s="271">
        <v>521</v>
      </c>
      <c r="H442" s="25">
        <v>27696.3</v>
      </c>
      <c r="I442" s="26">
        <v>823.37199999999996</v>
      </c>
      <c r="J442" s="25">
        <f>5207-0.002</f>
        <v>5206.9979999999996</v>
      </c>
      <c r="K442" s="25">
        <v>16969.63</v>
      </c>
      <c r="L442" s="25">
        <f t="shared" si="76"/>
        <v>4696.2999999999993</v>
      </c>
      <c r="M442" s="98">
        <f>31006.4+7000</f>
        <v>38006.400000000001</v>
      </c>
      <c r="N442" s="98">
        <v>8932.7455000000009</v>
      </c>
      <c r="O442" s="98">
        <v>3469.86</v>
      </c>
      <c r="P442" s="98">
        <f t="shared" si="100"/>
        <v>-12402.605500000001</v>
      </c>
      <c r="Q442" s="98">
        <f t="shared" si="77"/>
        <v>38006.400000000001</v>
      </c>
      <c r="R442" s="120">
        <f>25403.1+15000</f>
        <v>40403.1</v>
      </c>
      <c r="S442" s="120">
        <v>2540.3100000000004</v>
      </c>
      <c r="T442" s="120">
        <v>5080.6200000000008</v>
      </c>
      <c r="U442" s="120">
        <v>7620.9300000000012</v>
      </c>
      <c r="V442" s="120">
        <f>10161.24+15000</f>
        <v>25161.239999999998</v>
      </c>
      <c r="W442" s="52">
        <v>32890.9</v>
      </c>
      <c r="X442" s="52">
        <v>35001</v>
      </c>
      <c r="Y442" s="45"/>
      <c r="Z442" s="402"/>
      <c r="AA442" s="279"/>
    </row>
    <row r="443" spans="1:27" ht="25.15" customHeight="1">
      <c r="A443" s="414"/>
      <c r="B443" s="301" t="s">
        <v>519</v>
      </c>
      <c r="C443" s="301"/>
      <c r="D443" s="317"/>
      <c r="E443" s="317"/>
      <c r="F443" s="301"/>
      <c r="G443" s="301"/>
      <c r="H443" s="25"/>
      <c r="I443" s="26"/>
      <c r="J443" s="25"/>
      <c r="K443" s="25"/>
      <c r="L443" s="25"/>
      <c r="M443" s="98"/>
      <c r="N443" s="98"/>
      <c r="O443" s="98"/>
      <c r="P443" s="98"/>
      <c r="Q443" s="98"/>
      <c r="R443" s="120">
        <f>R442/0.95*0.05</f>
        <v>2126.4789473684209</v>
      </c>
      <c r="S443" s="120">
        <f t="shared" ref="S443:X443" si="108">S442/0.95*0.05</f>
        <v>133.70052631578952</v>
      </c>
      <c r="T443" s="120">
        <f t="shared" si="108"/>
        <v>267.40105263157903</v>
      </c>
      <c r="U443" s="120">
        <f t="shared" si="108"/>
        <v>401.10157894736852</v>
      </c>
      <c r="V443" s="120">
        <f t="shared" si="108"/>
        <v>1324.2757894736842</v>
      </c>
      <c r="W443" s="120">
        <f t="shared" si="108"/>
        <v>1731.1000000000001</v>
      </c>
      <c r="X443" s="120">
        <f t="shared" si="108"/>
        <v>1842.1578947368425</v>
      </c>
      <c r="Y443" s="45"/>
      <c r="Z443" s="402"/>
      <c r="AA443" s="279"/>
    </row>
    <row r="444" spans="1:27" ht="32.450000000000003" customHeight="1">
      <c r="A444" s="412" t="s">
        <v>75</v>
      </c>
      <c r="B444" s="180" t="s">
        <v>25</v>
      </c>
      <c r="C444" s="62">
        <v>176</v>
      </c>
      <c r="D444" s="317" t="s">
        <v>554</v>
      </c>
      <c r="E444" s="317" t="s">
        <v>555</v>
      </c>
      <c r="F444" s="62" t="s">
        <v>312</v>
      </c>
      <c r="G444" s="271" t="s">
        <v>496</v>
      </c>
      <c r="H444" s="25">
        <v>78443</v>
      </c>
      <c r="I444" s="26">
        <v>18443</v>
      </c>
      <c r="J444" s="25"/>
      <c r="K444" s="25">
        <v>60000</v>
      </c>
      <c r="L444" s="25">
        <f t="shared" si="76"/>
        <v>0</v>
      </c>
      <c r="M444" s="98">
        <f>80000+50000</f>
        <v>130000</v>
      </c>
      <c r="N444" s="98">
        <v>24777</v>
      </c>
      <c r="O444" s="98">
        <v>24619.78</v>
      </c>
      <c r="P444" s="98">
        <f t="shared" si="100"/>
        <v>-49396.78</v>
      </c>
      <c r="Q444" s="98">
        <f t="shared" si="77"/>
        <v>130000</v>
      </c>
      <c r="R444" s="181">
        <f>R445+R446+R447</f>
        <v>109463.47368421053</v>
      </c>
      <c r="S444" s="181">
        <f t="shared" ref="S444:X444" si="109">S445+S446+S447</f>
        <v>5384.0421052631582</v>
      </c>
      <c r="T444" s="181">
        <f t="shared" si="109"/>
        <v>10768.084210526316</v>
      </c>
      <c r="U444" s="181">
        <f t="shared" si="109"/>
        <v>16152.126315789474</v>
      </c>
      <c r="V444" s="181">
        <f t="shared" si="109"/>
        <v>77159.22105263159</v>
      </c>
      <c r="W444" s="181">
        <f t="shared" si="109"/>
        <v>112735.15789473684</v>
      </c>
      <c r="X444" s="181">
        <f t="shared" si="109"/>
        <v>76600</v>
      </c>
      <c r="Y444" s="45"/>
      <c r="Z444" s="402"/>
      <c r="AA444" s="279"/>
    </row>
    <row r="445" spans="1:27" ht="26.45" customHeight="1">
      <c r="A445" s="413"/>
      <c r="B445" s="164" t="s">
        <v>10</v>
      </c>
      <c r="C445" s="164">
        <v>176</v>
      </c>
      <c r="D445" s="317" t="s">
        <v>554</v>
      </c>
      <c r="E445" s="317" t="s">
        <v>555</v>
      </c>
      <c r="F445" s="164">
        <v>6100070760</v>
      </c>
      <c r="G445" s="271" t="s">
        <v>496</v>
      </c>
      <c r="H445" s="25">
        <v>78443</v>
      </c>
      <c r="I445" s="26">
        <v>18443</v>
      </c>
      <c r="J445" s="25"/>
      <c r="K445" s="25">
        <v>60000</v>
      </c>
      <c r="L445" s="25">
        <v>0</v>
      </c>
      <c r="M445" s="98">
        <v>130000</v>
      </c>
      <c r="N445" s="98">
        <v>24777</v>
      </c>
      <c r="O445" s="98">
        <v>24619.78</v>
      </c>
      <c r="P445" s="98">
        <v>-49396.78</v>
      </c>
      <c r="Q445" s="98">
        <v>130000</v>
      </c>
      <c r="R445" s="181">
        <f>51148.4+1761.9</f>
        <v>52910.3</v>
      </c>
      <c r="S445" s="181">
        <v>5114.84</v>
      </c>
      <c r="T445" s="181">
        <v>10229.68</v>
      </c>
      <c r="U445" s="181">
        <v>15344.52</v>
      </c>
      <c r="V445" s="120">
        <f>20459.36+1761.9</f>
        <v>22221.260000000002</v>
      </c>
      <c r="W445" s="291">
        <v>53548.4</v>
      </c>
      <c r="X445" s="182">
        <v>72770</v>
      </c>
      <c r="Y445" s="45"/>
      <c r="Z445" s="402"/>
      <c r="AA445" s="279"/>
    </row>
    <row r="446" spans="1:27" ht="26.45" customHeight="1">
      <c r="A446" s="413"/>
      <c r="B446" s="301" t="s">
        <v>427</v>
      </c>
      <c r="C446" s="301">
        <v>176</v>
      </c>
      <c r="D446" s="317" t="s">
        <v>554</v>
      </c>
      <c r="E446" s="317" t="s">
        <v>555</v>
      </c>
      <c r="F446" s="301">
        <v>6100053901</v>
      </c>
      <c r="G446" s="301">
        <v>521</v>
      </c>
      <c r="H446" s="25"/>
      <c r="I446" s="26"/>
      <c r="J446" s="25"/>
      <c r="K446" s="25"/>
      <c r="L446" s="25"/>
      <c r="M446" s="98"/>
      <c r="N446" s="98"/>
      <c r="O446" s="98"/>
      <c r="P446" s="98"/>
      <c r="Q446" s="98"/>
      <c r="R446" s="120">
        <v>51080</v>
      </c>
      <c r="S446" s="120"/>
      <c r="T446" s="120"/>
      <c r="U446" s="120"/>
      <c r="V446" s="120">
        <v>51080</v>
      </c>
      <c r="W446" s="52">
        <v>53550</v>
      </c>
      <c r="X446" s="52"/>
      <c r="Y446" s="45"/>
      <c r="Z446" s="402"/>
      <c r="AA446" s="279"/>
    </row>
    <row r="447" spans="1:27" ht="19.899999999999999" customHeight="1">
      <c r="A447" s="414"/>
      <c r="B447" s="301" t="s">
        <v>519</v>
      </c>
      <c r="C447" s="164"/>
      <c r="D447" s="317"/>
      <c r="E447" s="317"/>
      <c r="F447" s="164"/>
      <c r="G447" s="271"/>
      <c r="H447" s="25"/>
      <c r="I447" s="26"/>
      <c r="J447" s="25"/>
      <c r="K447" s="25"/>
      <c r="L447" s="25"/>
      <c r="M447" s="98"/>
      <c r="N447" s="98"/>
      <c r="O447" s="98"/>
      <c r="P447" s="98"/>
      <c r="Q447" s="98"/>
      <c r="R447" s="120">
        <f>(R445+R446)/0.95*0.05</f>
        <v>5473.1736842105274</v>
      </c>
      <c r="S447" s="120">
        <f t="shared" ref="S447:X447" si="110">(S445+S446)/0.95*0.05</f>
        <v>269.20210526315793</v>
      </c>
      <c r="T447" s="120">
        <f t="shared" si="110"/>
        <v>538.40421052631586</v>
      </c>
      <c r="U447" s="120">
        <f t="shared" si="110"/>
        <v>807.6063157894738</v>
      </c>
      <c r="V447" s="120">
        <f t="shared" si="110"/>
        <v>3857.9610526315796</v>
      </c>
      <c r="W447" s="120">
        <f t="shared" si="110"/>
        <v>5636.757894736842</v>
      </c>
      <c r="X447" s="120">
        <f t="shared" si="110"/>
        <v>3830</v>
      </c>
      <c r="Y447" s="45"/>
      <c r="Z447" s="402"/>
      <c r="AA447" s="279"/>
    </row>
    <row r="448" spans="1:27" ht="19.899999999999999" customHeight="1">
      <c r="A448" s="412" t="s">
        <v>76</v>
      </c>
      <c r="B448" s="62" t="s">
        <v>25</v>
      </c>
      <c r="C448" s="62">
        <v>176</v>
      </c>
      <c r="D448" s="317" t="s">
        <v>554</v>
      </c>
      <c r="E448" s="317" t="s">
        <v>555</v>
      </c>
      <c r="F448" s="62" t="s">
        <v>312</v>
      </c>
      <c r="G448" s="62">
        <v>521</v>
      </c>
      <c r="H448" s="25">
        <f>72200.3</f>
        <v>72200.3</v>
      </c>
      <c r="I448" s="26">
        <f>40967.5287</f>
        <v>40967.528700000003</v>
      </c>
      <c r="J448" s="25">
        <f>21618.57+7500</f>
        <v>29118.57</v>
      </c>
      <c r="K448" s="25">
        <f>2114.2+0.0013</f>
        <v>2114.2012999999997</v>
      </c>
      <c r="L448" s="25">
        <f t="shared" si="76"/>
        <v>0</v>
      </c>
      <c r="M448" s="98">
        <f>96800+9301</f>
        <v>106101</v>
      </c>
      <c r="N448" s="98">
        <v>49488.398000000001</v>
      </c>
      <c r="O448" s="98">
        <v>2159.9899999999998</v>
      </c>
      <c r="P448" s="98">
        <f>AA448-O448-N448</f>
        <v>-51648.387999999999</v>
      </c>
      <c r="Q448" s="98">
        <f t="shared" si="77"/>
        <v>106101</v>
      </c>
      <c r="R448" s="120">
        <f>R449+R450+R451</f>
        <v>120546</v>
      </c>
      <c r="S448" s="120">
        <f t="shared" ref="S448:X448" si="111">S449+S450+S451</f>
        <v>8004.8315789473691</v>
      </c>
      <c r="T448" s="120">
        <f t="shared" si="111"/>
        <v>16009.663157894738</v>
      </c>
      <c r="U448" s="120">
        <f t="shared" si="111"/>
        <v>24014.494736842105</v>
      </c>
      <c r="V448" s="120">
        <f t="shared" si="111"/>
        <v>72517.010526315789</v>
      </c>
      <c r="W448" s="120">
        <f t="shared" si="111"/>
        <v>91753.578947368413</v>
      </c>
      <c r="X448" s="120">
        <f t="shared" si="111"/>
        <v>49715.789473684214</v>
      </c>
      <c r="Y448" s="45"/>
      <c r="Z448" s="402"/>
      <c r="AA448" s="279"/>
    </row>
    <row r="449" spans="1:27" ht="19.149999999999999" customHeight="1">
      <c r="A449" s="413"/>
      <c r="B449" s="164" t="s">
        <v>10</v>
      </c>
      <c r="C449" s="164">
        <v>176</v>
      </c>
      <c r="D449" s="317" t="s">
        <v>554</v>
      </c>
      <c r="E449" s="317" t="s">
        <v>555</v>
      </c>
      <c r="F449" s="164">
        <v>6100070760</v>
      </c>
      <c r="G449" s="164">
        <v>521</v>
      </c>
      <c r="H449" s="25">
        <v>72200.3</v>
      </c>
      <c r="I449" s="26">
        <v>40967.528700000003</v>
      </c>
      <c r="J449" s="25">
        <v>29118.57</v>
      </c>
      <c r="K449" s="25">
        <v>2114.2012999999997</v>
      </c>
      <c r="L449" s="25">
        <v>0</v>
      </c>
      <c r="M449" s="98">
        <v>106101</v>
      </c>
      <c r="N449" s="98">
        <v>49488.398000000001</v>
      </c>
      <c r="O449" s="98">
        <v>2159.9899999999998</v>
      </c>
      <c r="P449" s="98">
        <v>-51648.387999999999</v>
      </c>
      <c r="Q449" s="98">
        <v>106101</v>
      </c>
      <c r="R449" s="120">
        <f>76045.9+972.8</f>
        <v>77018.7</v>
      </c>
      <c r="S449" s="120">
        <v>7604.59</v>
      </c>
      <c r="T449" s="120">
        <v>15209.18</v>
      </c>
      <c r="U449" s="120">
        <v>22813.77</v>
      </c>
      <c r="V449" s="120">
        <f>30418.36+972.8</f>
        <v>31391.16</v>
      </c>
      <c r="W449" s="52">
        <f>58645.9-9500</f>
        <v>49145.9</v>
      </c>
      <c r="X449" s="52">
        <v>47230</v>
      </c>
      <c r="Y449" s="45"/>
      <c r="Z449" s="402"/>
      <c r="AA449" s="279"/>
    </row>
    <row r="450" spans="1:27" ht="24.6" customHeight="1">
      <c r="A450" s="413"/>
      <c r="B450" s="301" t="s">
        <v>427</v>
      </c>
      <c r="C450" s="301">
        <v>176</v>
      </c>
      <c r="D450" s="317" t="s">
        <v>554</v>
      </c>
      <c r="E450" s="317" t="s">
        <v>555</v>
      </c>
      <c r="F450" s="301">
        <v>6100053901</v>
      </c>
      <c r="G450" s="301">
        <v>521</v>
      </c>
      <c r="H450" s="25"/>
      <c r="I450" s="26"/>
      <c r="J450" s="25"/>
      <c r="K450" s="25"/>
      <c r="L450" s="25"/>
      <c r="M450" s="98"/>
      <c r="N450" s="98"/>
      <c r="O450" s="98"/>
      <c r="P450" s="98"/>
      <c r="Q450" s="98"/>
      <c r="R450" s="120">
        <v>37500</v>
      </c>
      <c r="S450" s="120"/>
      <c r="T450" s="120"/>
      <c r="U450" s="120"/>
      <c r="V450" s="120">
        <v>37500</v>
      </c>
      <c r="W450" s="52">
        <v>38020</v>
      </c>
      <c r="X450" s="52"/>
      <c r="Y450" s="45"/>
      <c r="Z450" s="402"/>
      <c r="AA450" s="279"/>
    </row>
    <row r="451" spans="1:27" ht="24.6" customHeight="1">
      <c r="A451" s="414"/>
      <c r="B451" s="164" t="s">
        <v>519</v>
      </c>
      <c r="C451" s="164"/>
      <c r="D451" s="317"/>
      <c r="E451" s="317"/>
      <c r="F451" s="164"/>
      <c r="G451" s="164"/>
      <c r="H451" s="25"/>
      <c r="I451" s="26"/>
      <c r="J451" s="25"/>
      <c r="K451" s="25"/>
      <c r="L451" s="25"/>
      <c r="M451" s="98"/>
      <c r="N451" s="98"/>
      <c r="O451" s="98"/>
      <c r="P451" s="98"/>
      <c r="Q451" s="98"/>
      <c r="R451" s="120">
        <f>(R449+R450)/0.95*0.05</f>
        <v>6027.3</v>
      </c>
      <c r="S451" s="120">
        <f t="shared" ref="S451:X451" si="112">(S449+S450)/0.95*0.05</f>
        <v>400.24157894736845</v>
      </c>
      <c r="T451" s="120">
        <f t="shared" si="112"/>
        <v>800.48315789473691</v>
      </c>
      <c r="U451" s="120">
        <f t="shared" si="112"/>
        <v>1200.7247368421054</v>
      </c>
      <c r="V451" s="120">
        <f t="shared" si="112"/>
        <v>3625.8505263157895</v>
      </c>
      <c r="W451" s="120">
        <f t="shared" si="112"/>
        <v>4587.6789473684212</v>
      </c>
      <c r="X451" s="120">
        <f t="shared" si="112"/>
        <v>2485.7894736842109</v>
      </c>
      <c r="Y451" s="45"/>
      <c r="Z451" s="402"/>
      <c r="AA451" s="279"/>
    </row>
    <row r="452" spans="1:27" ht="25.9" customHeight="1">
      <c r="A452" s="412" t="s">
        <v>77</v>
      </c>
      <c r="B452" s="62" t="s">
        <v>25</v>
      </c>
      <c r="C452" s="62">
        <v>176</v>
      </c>
      <c r="D452" s="317" t="s">
        <v>554</v>
      </c>
      <c r="E452" s="317" t="s">
        <v>555</v>
      </c>
      <c r="F452" s="62" t="s">
        <v>312</v>
      </c>
      <c r="G452" s="62">
        <v>521</v>
      </c>
      <c r="H452" s="25">
        <f>4160.7</f>
        <v>4160.7</v>
      </c>
      <c r="I452" s="26">
        <v>0</v>
      </c>
      <c r="J452" s="25">
        <v>4160.7</v>
      </c>
      <c r="K452" s="25">
        <v>0</v>
      </c>
      <c r="L452" s="25">
        <f t="shared" si="76"/>
        <v>0</v>
      </c>
      <c r="M452" s="98">
        <f>17362.5+10400</f>
        <v>27762.5</v>
      </c>
      <c r="N452" s="98">
        <v>10362.5</v>
      </c>
      <c r="O452" s="98">
        <v>7000</v>
      </c>
      <c r="P452" s="98">
        <f>AA452-O452-N452</f>
        <v>-17362.5</v>
      </c>
      <c r="Q452" s="98">
        <f t="shared" si="77"/>
        <v>27762.5</v>
      </c>
      <c r="R452" s="120">
        <f>R453+R454+R455</f>
        <v>41288.526315789481</v>
      </c>
      <c r="S452" s="120">
        <f t="shared" ref="S452:X452" si="113">S453+S454+S455</f>
        <v>4182.5789473684208</v>
      </c>
      <c r="T452" s="120">
        <f t="shared" si="113"/>
        <v>8365.1578947368416</v>
      </c>
      <c r="U452" s="120">
        <f t="shared" si="113"/>
        <v>11134.368421052633</v>
      </c>
      <c r="V452" s="120">
        <f t="shared" si="113"/>
        <v>17606.42105263158</v>
      </c>
      <c r="W452" s="120">
        <f t="shared" si="113"/>
        <v>63120.526315789473</v>
      </c>
      <c r="X452" s="120">
        <f t="shared" si="113"/>
        <v>27734.736842105263</v>
      </c>
      <c r="Y452" s="45"/>
      <c r="Z452" s="402"/>
      <c r="AA452" s="279"/>
    </row>
    <row r="453" spans="1:27" ht="17.45" customHeight="1">
      <c r="A453" s="413"/>
      <c r="B453" s="164" t="s">
        <v>10</v>
      </c>
      <c r="C453" s="164">
        <v>176</v>
      </c>
      <c r="D453" s="317" t="s">
        <v>554</v>
      </c>
      <c r="E453" s="317" t="s">
        <v>555</v>
      </c>
      <c r="F453" s="164">
        <v>6100070760</v>
      </c>
      <c r="G453" s="164">
        <v>521</v>
      </c>
      <c r="H453" s="25">
        <v>4160.7</v>
      </c>
      <c r="I453" s="26">
        <v>0</v>
      </c>
      <c r="J453" s="25">
        <v>4160.7</v>
      </c>
      <c r="K453" s="25">
        <v>0</v>
      </c>
      <c r="L453" s="25">
        <v>0</v>
      </c>
      <c r="M453" s="98">
        <v>27762.5</v>
      </c>
      <c r="N453" s="98">
        <v>10362.5</v>
      </c>
      <c r="O453" s="98">
        <v>7000</v>
      </c>
      <c r="P453" s="98">
        <v>-17362.5</v>
      </c>
      <c r="Q453" s="98">
        <v>27762.5</v>
      </c>
      <c r="R453" s="120">
        <f>39734.5+5771.9-22858.1-150.3</f>
        <v>22498.000000000004</v>
      </c>
      <c r="S453" s="120">
        <v>3973.45</v>
      </c>
      <c r="T453" s="120">
        <v>7946.9</v>
      </c>
      <c r="U453" s="120">
        <f>11920.35-1192.4-150.3</f>
        <v>10577.650000000001</v>
      </c>
      <c r="V453" s="120">
        <v>0</v>
      </c>
      <c r="W453" s="52">
        <v>31534.5</v>
      </c>
      <c r="X453" s="52">
        <v>26348</v>
      </c>
      <c r="Y453" s="45"/>
      <c r="Z453" s="402"/>
      <c r="AA453" s="279"/>
    </row>
    <row r="454" spans="1:27" ht="34.9" customHeight="1">
      <c r="A454" s="413"/>
      <c r="B454" s="301" t="s">
        <v>427</v>
      </c>
      <c r="C454" s="301">
        <v>176</v>
      </c>
      <c r="D454" s="317" t="s">
        <v>554</v>
      </c>
      <c r="E454" s="317" t="s">
        <v>555</v>
      </c>
      <c r="F454" s="301">
        <v>6100053901</v>
      </c>
      <c r="G454" s="301">
        <v>521</v>
      </c>
      <c r="H454" s="25"/>
      <c r="I454" s="26"/>
      <c r="J454" s="25"/>
      <c r="K454" s="25"/>
      <c r="L454" s="25"/>
      <c r="M454" s="98"/>
      <c r="N454" s="98"/>
      <c r="O454" s="98"/>
      <c r="P454" s="98"/>
      <c r="Q454" s="98"/>
      <c r="R454" s="120">
        <f>V454</f>
        <v>16726.100000000002</v>
      </c>
      <c r="S454" s="120"/>
      <c r="T454" s="120"/>
      <c r="U454" s="120"/>
      <c r="V454" s="120">
        <f>39710-22833.6-150.3</f>
        <v>16726.100000000002</v>
      </c>
      <c r="W454" s="52">
        <v>28430</v>
      </c>
      <c r="X454" s="52"/>
      <c r="Y454" s="45"/>
      <c r="Z454" s="402"/>
      <c r="AA454" s="279"/>
    </row>
    <row r="455" spans="1:27" ht="24.6" customHeight="1">
      <c r="A455" s="414"/>
      <c r="B455" s="301" t="s">
        <v>519</v>
      </c>
      <c r="C455" s="164"/>
      <c r="D455" s="317"/>
      <c r="E455" s="317"/>
      <c r="F455" s="164"/>
      <c r="G455" s="164"/>
      <c r="H455" s="25"/>
      <c r="I455" s="26"/>
      <c r="J455" s="25"/>
      <c r="K455" s="25"/>
      <c r="L455" s="25"/>
      <c r="M455" s="98"/>
      <c r="N455" s="98"/>
      <c r="O455" s="98"/>
      <c r="P455" s="98"/>
      <c r="Q455" s="98"/>
      <c r="R455" s="120">
        <f>(R453+R454)/0.95*0.05</f>
        <v>2064.4263157894743</v>
      </c>
      <c r="S455" s="120">
        <f t="shared" ref="S455:X455" si="114">(S453+S454)/0.95*0.05</f>
        <v>209.12894736842105</v>
      </c>
      <c r="T455" s="120">
        <f t="shared" si="114"/>
        <v>418.2578947368421</v>
      </c>
      <c r="U455" s="120">
        <f t="shared" si="114"/>
        <v>556.7184210526317</v>
      </c>
      <c r="V455" s="120">
        <f t="shared" si="114"/>
        <v>880.32105263157928</v>
      </c>
      <c r="W455" s="120">
        <f t="shared" si="114"/>
        <v>3156.0263157894738</v>
      </c>
      <c r="X455" s="120">
        <f t="shared" si="114"/>
        <v>1386.7368421052633</v>
      </c>
      <c r="Y455" s="45"/>
      <c r="Z455" s="402"/>
      <c r="AA455" s="279"/>
    </row>
    <row r="456" spans="1:27" ht="28.15" customHeight="1">
      <c r="A456" s="412" t="s">
        <v>78</v>
      </c>
      <c r="B456" s="62" t="s">
        <v>25</v>
      </c>
      <c r="C456" s="62">
        <v>176</v>
      </c>
      <c r="D456" s="317" t="s">
        <v>554</v>
      </c>
      <c r="E456" s="317" t="s">
        <v>555</v>
      </c>
      <c r="F456" s="62" t="s">
        <v>312</v>
      </c>
      <c r="G456" s="62">
        <v>521</v>
      </c>
      <c r="H456" s="25">
        <f>5768.7</f>
        <v>5768.7</v>
      </c>
      <c r="I456" s="26">
        <v>1776.1</v>
      </c>
      <c r="J456" s="25">
        <v>0</v>
      </c>
      <c r="K456" s="25">
        <v>3000</v>
      </c>
      <c r="L456" s="25">
        <f t="shared" si="76"/>
        <v>992.59999999999991</v>
      </c>
      <c r="M456" s="98">
        <v>11986.9</v>
      </c>
      <c r="N456" s="98">
        <v>955.71</v>
      </c>
      <c r="O456" s="98">
        <v>3839.06</v>
      </c>
      <c r="P456" s="98">
        <f>AA456-O456-N456</f>
        <v>-4794.7700000000004</v>
      </c>
      <c r="Q456" s="98">
        <f t="shared" si="77"/>
        <v>11986.9</v>
      </c>
      <c r="R456" s="120">
        <f>R457+R458+R459</f>
        <v>77126.105263157879</v>
      </c>
      <c r="S456" s="120">
        <f t="shared" ref="S456:X456" si="115">S457+S458+S459</f>
        <v>5491.652631578947</v>
      </c>
      <c r="T456" s="120">
        <f t="shared" si="115"/>
        <v>10983.305263157894</v>
      </c>
      <c r="U456" s="120">
        <f t="shared" si="115"/>
        <v>16474.957894736843</v>
      </c>
      <c r="V456" s="120">
        <f t="shared" si="115"/>
        <v>44176.189473684208</v>
      </c>
      <c r="W456" s="120">
        <f t="shared" si="115"/>
        <v>73021.789473684214</v>
      </c>
      <c r="X456" s="120">
        <f t="shared" si="115"/>
        <v>32021.894736842103</v>
      </c>
      <c r="Y456" s="45"/>
      <c r="Z456" s="402"/>
      <c r="AA456" s="279"/>
    </row>
    <row r="457" spans="1:27" ht="21" customHeight="1">
      <c r="A457" s="413"/>
      <c r="B457" s="164" t="s">
        <v>10</v>
      </c>
      <c r="C457" s="164">
        <v>176</v>
      </c>
      <c r="D457" s="317" t="s">
        <v>554</v>
      </c>
      <c r="E457" s="317" t="s">
        <v>555</v>
      </c>
      <c r="F457" s="164">
        <v>6100070760</v>
      </c>
      <c r="G457" s="164">
        <v>521</v>
      </c>
      <c r="H457" s="25">
        <v>5768.7</v>
      </c>
      <c r="I457" s="26">
        <v>1776.1</v>
      </c>
      <c r="J457" s="25">
        <v>0</v>
      </c>
      <c r="K457" s="25">
        <v>3000</v>
      </c>
      <c r="L457" s="25">
        <v>992.59999999999991</v>
      </c>
      <c r="M457" s="98">
        <v>11986.9</v>
      </c>
      <c r="N457" s="98">
        <v>955.71</v>
      </c>
      <c r="O457" s="98">
        <v>3839.06</v>
      </c>
      <c r="P457" s="98">
        <v>-4794.7700000000004</v>
      </c>
      <c r="Q457" s="98">
        <v>11986.9</v>
      </c>
      <c r="R457" s="120">
        <f>52170.7+499.1</f>
        <v>52669.799999999996</v>
      </c>
      <c r="S457" s="120">
        <v>5217.07</v>
      </c>
      <c r="T457" s="120">
        <v>10434.14</v>
      </c>
      <c r="U457" s="120">
        <v>15651.21</v>
      </c>
      <c r="V457" s="120">
        <f>20868.28+499.1</f>
        <v>21367.379999999997</v>
      </c>
      <c r="W457" s="52">
        <f>39870.7+29500</f>
        <v>69370.7</v>
      </c>
      <c r="X457" s="52">
        <v>30420.799999999999</v>
      </c>
      <c r="Y457" s="45"/>
      <c r="Z457" s="402"/>
      <c r="AA457" s="279"/>
    </row>
    <row r="458" spans="1:27" ht="35.450000000000003" customHeight="1">
      <c r="A458" s="413"/>
      <c r="B458" s="301" t="s">
        <v>427</v>
      </c>
      <c r="C458" s="301">
        <v>176</v>
      </c>
      <c r="D458" s="317" t="s">
        <v>554</v>
      </c>
      <c r="E458" s="317" t="s">
        <v>555</v>
      </c>
      <c r="F458" s="301">
        <v>6100053901</v>
      </c>
      <c r="G458" s="301" t="s">
        <v>496</v>
      </c>
      <c r="H458" s="25"/>
      <c r="I458" s="26"/>
      <c r="J458" s="25"/>
      <c r="K458" s="25"/>
      <c r="L458" s="25"/>
      <c r="M458" s="98"/>
      <c r="N458" s="98"/>
      <c r="O458" s="98"/>
      <c r="P458" s="98"/>
      <c r="Q458" s="98"/>
      <c r="R458" s="120">
        <v>20600</v>
      </c>
      <c r="S458" s="120"/>
      <c r="T458" s="120"/>
      <c r="U458" s="120"/>
      <c r="V458" s="120">
        <v>20600</v>
      </c>
      <c r="W458" s="52">
        <v>0</v>
      </c>
      <c r="X458" s="52"/>
      <c r="Y458" s="45"/>
      <c r="Z458" s="402"/>
      <c r="AA458" s="279"/>
    </row>
    <row r="459" spans="1:27" ht="31.15" customHeight="1">
      <c r="A459" s="414"/>
      <c r="B459" s="301" t="s">
        <v>519</v>
      </c>
      <c r="C459" s="164"/>
      <c r="D459" s="317"/>
      <c r="E459" s="317"/>
      <c r="F459" s="164"/>
      <c r="G459" s="271"/>
      <c r="H459" s="25"/>
      <c r="I459" s="26"/>
      <c r="J459" s="25"/>
      <c r="K459" s="25"/>
      <c r="L459" s="25"/>
      <c r="M459" s="98"/>
      <c r="N459" s="98"/>
      <c r="O459" s="98"/>
      <c r="P459" s="98"/>
      <c r="Q459" s="98"/>
      <c r="R459" s="120">
        <f>(R457+R458)/0.95*0.05</f>
        <v>3856.3052631578948</v>
      </c>
      <c r="S459" s="120">
        <f t="shared" ref="S459:X459" si="116">(S457+S458)/0.95*0.05</f>
        <v>274.58263157894737</v>
      </c>
      <c r="T459" s="120">
        <f t="shared" si="116"/>
        <v>549.16526315789474</v>
      </c>
      <c r="U459" s="120">
        <f t="shared" si="116"/>
        <v>823.74789473684223</v>
      </c>
      <c r="V459" s="120">
        <f t="shared" si="116"/>
        <v>2208.8094736842104</v>
      </c>
      <c r="W459" s="120">
        <f t="shared" si="116"/>
        <v>3651.089473684211</v>
      </c>
      <c r="X459" s="120">
        <f t="shared" si="116"/>
        <v>1601.0947368421055</v>
      </c>
      <c r="Y459" s="45"/>
      <c r="Z459" s="402"/>
      <c r="AA459" s="279"/>
    </row>
    <row r="460" spans="1:27" ht="29.45" customHeight="1">
      <c r="A460" s="412" t="s">
        <v>79</v>
      </c>
      <c r="B460" s="62" t="s">
        <v>25</v>
      </c>
      <c r="C460" s="62">
        <v>176</v>
      </c>
      <c r="D460" s="317" t="s">
        <v>554</v>
      </c>
      <c r="E460" s="317" t="s">
        <v>555</v>
      </c>
      <c r="F460" s="62" t="s">
        <v>312</v>
      </c>
      <c r="G460" s="62" t="s">
        <v>491</v>
      </c>
      <c r="H460" s="25">
        <f>566000+52424.5</f>
        <v>618424.5</v>
      </c>
      <c r="I460" s="26">
        <v>190000</v>
      </c>
      <c r="J460" s="25">
        <v>140390.6</v>
      </c>
      <c r="K460" s="25">
        <f>H460-I460-J460</f>
        <v>288033.90000000002</v>
      </c>
      <c r="L460" s="25">
        <f t="shared" si="76"/>
        <v>0</v>
      </c>
      <c r="M460" s="98">
        <f>100000+100000+100000+20000+94452.3</f>
        <v>414452.3</v>
      </c>
      <c r="N460" s="98">
        <v>27239.88</v>
      </c>
      <c r="O460" s="98">
        <v>156696.76999999999</v>
      </c>
      <c r="P460" s="98">
        <f>AA460-O460-N460</f>
        <v>-183936.65</v>
      </c>
      <c r="Q460" s="98">
        <f t="shared" si="77"/>
        <v>414452.3</v>
      </c>
      <c r="R460" s="120">
        <f>SUM(R461:R464)</f>
        <v>1328219.7894736843</v>
      </c>
      <c r="S460" s="120">
        <f t="shared" ref="S460:W460" si="117">SUM(S461:S464)</f>
        <v>42458.6</v>
      </c>
      <c r="T460" s="120">
        <f t="shared" si="117"/>
        <v>84917.2</v>
      </c>
      <c r="U460" s="120">
        <f t="shared" si="117"/>
        <v>127375.79999999999</v>
      </c>
      <c r="V460" s="120">
        <f t="shared" si="117"/>
        <v>1073468.1894736842</v>
      </c>
      <c r="W460" s="120">
        <f t="shared" si="117"/>
        <v>914586</v>
      </c>
      <c r="X460" s="275">
        <f t="shared" ref="X460" si="118">X462+X464</f>
        <v>400006</v>
      </c>
      <c r="Y460" s="45"/>
      <c r="Z460" s="402"/>
      <c r="AA460" s="279"/>
    </row>
    <row r="461" spans="1:27" ht="0.6" customHeight="1">
      <c r="A461" s="413"/>
      <c r="B461" s="268" t="s">
        <v>10</v>
      </c>
      <c r="C461" s="268">
        <v>176</v>
      </c>
      <c r="D461" s="317" t="s">
        <v>15</v>
      </c>
      <c r="E461" s="317" t="s">
        <v>15</v>
      </c>
      <c r="F461" s="268">
        <v>6100070760</v>
      </c>
      <c r="G461" s="268">
        <v>522</v>
      </c>
      <c r="H461" s="25"/>
      <c r="I461" s="26"/>
      <c r="J461" s="25"/>
      <c r="K461" s="25"/>
      <c r="L461" s="25"/>
      <c r="M461" s="98"/>
      <c r="N461" s="98"/>
      <c r="O461" s="98"/>
      <c r="P461" s="98"/>
      <c r="Q461" s="98"/>
      <c r="R461" s="120"/>
      <c r="S461" s="120"/>
      <c r="T461" s="120"/>
      <c r="U461" s="120"/>
      <c r="V461" s="120"/>
      <c r="W461" s="275"/>
      <c r="X461" s="275"/>
      <c r="Y461" s="179"/>
      <c r="Z461" s="402"/>
      <c r="AA461" s="279"/>
    </row>
    <row r="462" spans="1:27" ht="20.45" customHeight="1">
      <c r="A462" s="413"/>
      <c r="B462" s="164" t="s">
        <v>10</v>
      </c>
      <c r="C462" s="164">
        <v>176</v>
      </c>
      <c r="D462" s="317" t="s">
        <v>554</v>
      </c>
      <c r="E462" s="317" t="s">
        <v>555</v>
      </c>
      <c r="F462" s="164">
        <v>6100070760</v>
      </c>
      <c r="G462" s="164">
        <v>521</v>
      </c>
      <c r="H462" s="25">
        <v>618424.5</v>
      </c>
      <c r="I462" s="26">
        <v>190000</v>
      </c>
      <c r="J462" s="25">
        <v>140390.6</v>
      </c>
      <c r="K462" s="25">
        <v>288033.90000000002</v>
      </c>
      <c r="L462" s="25">
        <v>0</v>
      </c>
      <c r="M462" s="98">
        <v>414452.3</v>
      </c>
      <c r="N462" s="98">
        <v>27239.88</v>
      </c>
      <c r="O462" s="98">
        <v>156696.76999999999</v>
      </c>
      <c r="P462" s="98">
        <v>-183936.65</v>
      </c>
      <c r="Q462" s="98">
        <v>414452.3</v>
      </c>
      <c r="R462" s="120">
        <f>S462+T462+U462+V462</f>
        <v>810698.8</v>
      </c>
      <c r="S462" s="120">
        <v>40335.67</v>
      </c>
      <c r="T462" s="120">
        <v>80671.34</v>
      </c>
      <c r="U462" s="120">
        <v>121007.01</v>
      </c>
      <c r="V462" s="120">
        <f>161342.68+50000+27342.1+300000+18400+11600</f>
        <v>568684.78</v>
      </c>
      <c r="W462" s="52">
        <v>388856.7</v>
      </c>
      <c r="X462" s="52">
        <v>380005.7</v>
      </c>
      <c r="Y462" s="179"/>
      <c r="Z462" s="402"/>
      <c r="AA462" s="279"/>
    </row>
    <row r="463" spans="1:27" ht="28.15" customHeight="1">
      <c r="A463" s="413"/>
      <c r="B463" s="301" t="s">
        <v>666</v>
      </c>
      <c r="C463" s="301">
        <v>176</v>
      </c>
      <c r="D463" s="317" t="s">
        <v>554</v>
      </c>
      <c r="E463" s="317" t="s">
        <v>555</v>
      </c>
      <c r="F463" s="301">
        <v>6100053901</v>
      </c>
      <c r="G463" s="301">
        <v>521</v>
      </c>
      <c r="H463" s="25"/>
      <c r="I463" s="26"/>
      <c r="J463" s="25"/>
      <c r="K463" s="25"/>
      <c r="L463" s="25"/>
      <c r="M463" s="98"/>
      <c r="N463" s="98"/>
      <c r="O463" s="98"/>
      <c r="P463" s="98"/>
      <c r="Q463" s="98"/>
      <c r="R463" s="120">
        <v>451110</v>
      </c>
      <c r="S463" s="120"/>
      <c r="T463" s="120"/>
      <c r="U463" s="120"/>
      <c r="V463" s="120">
        <v>451110</v>
      </c>
      <c r="W463" s="182">
        <v>480000</v>
      </c>
      <c r="X463" s="52"/>
      <c r="Y463" s="179"/>
      <c r="Z463" s="402"/>
      <c r="AA463" s="279"/>
    </row>
    <row r="464" spans="1:27" ht="28.15" customHeight="1">
      <c r="A464" s="414"/>
      <c r="B464" s="301" t="s">
        <v>519</v>
      </c>
      <c r="C464" s="164"/>
      <c r="D464" s="317"/>
      <c r="E464" s="317"/>
      <c r="F464" s="164"/>
      <c r="G464" s="164"/>
      <c r="H464" s="25"/>
      <c r="I464" s="26"/>
      <c r="J464" s="25"/>
      <c r="K464" s="25"/>
      <c r="L464" s="25"/>
      <c r="M464" s="98"/>
      <c r="N464" s="98"/>
      <c r="O464" s="98"/>
      <c r="P464" s="98"/>
      <c r="Q464" s="98"/>
      <c r="R464" s="120">
        <f>(R462+R463)/0.95*0.05</f>
        <v>66410.989473684211</v>
      </c>
      <c r="S464" s="120">
        <f>(S462+S463)/0.95*0.05</f>
        <v>2122.9299999999998</v>
      </c>
      <c r="T464" s="120">
        <f t="shared" ref="T464:X464" si="119">(T462+T463)/0.95*0.05</f>
        <v>4245.8599999999997</v>
      </c>
      <c r="U464" s="120">
        <f t="shared" si="119"/>
        <v>6368.7900000000009</v>
      </c>
      <c r="V464" s="120">
        <f t="shared" si="119"/>
        <v>53673.409473684209</v>
      </c>
      <c r="W464" s="120">
        <f t="shared" si="119"/>
        <v>45729.3</v>
      </c>
      <c r="X464" s="120">
        <f t="shared" si="119"/>
        <v>20000.300000000003</v>
      </c>
      <c r="Y464" s="179"/>
      <c r="Z464" s="405"/>
      <c r="AA464" s="279"/>
    </row>
    <row r="465" spans="1:29" ht="47.45" customHeight="1">
      <c r="A465" s="415" t="s">
        <v>305</v>
      </c>
      <c r="B465" s="12" t="s">
        <v>668</v>
      </c>
      <c r="C465" s="12"/>
      <c r="D465" s="178"/>
      <c r="E465" s="178"/>
      <c r="F465" s="12"/>
      <c r="G465" s="12"/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90" t="s">
        <v>327</v>
      </c>
      <c r="N465" s="90"/>
      <c r="O465" s="90"/>
      <c r="P465" s="90"/>
      <c r="Q465" s="90"/>
      <c r="R465" s="113" t="s">
        <v>327</v>
      </c>
      <c r="S465" s="113"/>
      <c r="T465" s="113"/>
      <c r="U465" s="113"/>
      <c r="V465" s="113"/>
      <c r="W465" s="90" t="s">
        <v>327</v>
      </c>
      <c r="X465" s="90"/>
      <c r="Y465" s="401" t="s">
        <v>208</v>
      </c>
      <c r="Z465" s="401" t="s">
        <v>304</v>
      </c>
      <c r="AA465" s="278"/>
    </row>
    <row r="466" spans="1:29" ht="47.25" customHeight="1">
      <c r="A466" s="416"/>
      <c r="B466" s="12" t="s">
        <v>24</v>
      </c>
      <c r="C466" s="12"/>
      <c r="D466" s="178"/>
      <c r="E466" s="178"/>
      <c r="F466" s="12"/>
      <c r="G466" s="12"/>
      <c r="H466" s="7"/>
      <c r="I466" s="7"/>
      <c r="J466" s="7"/>
      <c r="K466" s="7"/>
      <c r="L466" s="7"/>
      <c r="M466" s="90"/>
      <c r="N466" s="90"/>
      <c r="O466" s="90"/>
      <c r="P466" s="90"/>
      <c r="Q466" s="90"/>
      <c r="R466" s="111"/>
      <c r="S466" s="111"/>
      <c r="T466" s="111"/>
      <c r="U466" s="111"/>
      <c r="V466" s="111"/>
      <c r="W466" s="59"/>
      <c r="X466" s="59"/>
      <c r="Y466" s="402"/>
      <c r="Z466" s="402"/>
      <c r="AA466" s="278"/>
    </row>
    <row r="467" spans="1:29" ht="32.25" customHeight="1">
      <c r="A467" s="15"/>
      <c r="B467" s="12" t="s">
        <v>25</v>
      </c>
      <c r="C467" s="12">
        <v>176</v>
      </c>
      <c r="D467" s="178" t="s">
        <v>554</v>
      </c>
      <c r="E467" s="178" t="s">
        <v>555</v>
      </c>
      <c r="F467" s="12">
        <v>6100004040</v>
      </c>
      <c r="G467" s="12">
        <v>244</v>
      </c>
      <c r="H467" s="7">
        <f t="shared" ref="H467:X467" si="120">H469</f>
        <v>9500</v>
      </c>
      <c r="I467" s="7">
        <f t="shared" si="120"/>
        <v>0</v>
      </c>
      <c r="J467" s="7">
        <f t="shared" si="120"/>
        <v>0</v>
      </c>
      <c r="K467" s="7">
        <f t="shared" si="120"/>
        <v>5000</v>
      </c>
      <c r="L467" s="7">
        <f t="shared" si="120"/>
        <v>4500</v>
      </c>
      <c r="M467" s="90">
        <f t="shared" si="120"/>
        <v>10000</v>
      </c>
      <c r="N467" s="90"/>
      <c r="O467" s="90">
        <f t="shared" si="120"/>
        <v>5000</v>
      </c>
      <c r="P467" s="90"/>
      <c r="Q467" s="90">
        <f t="shared" si="120"/>
        <v>5000</v>
      </c>
      <c r="R467" s="113">
        <f t="shared" si="120"/>
        <v>20000</v>
      </c>
      <c r="S467" s="113">
        <f t="shared" si="120"/>
        <v>0</v>
      </c>
      <c r="T467" s="113">
        <f t="shared" si="120"/>
        <v>8000</v>
      </c>
      <c r="U467" s="113">
        <f t="shared" si="120"/>
        <v>6000</v>
      </c>
      <c r="V467" s="113">
        <f t="shared" si="120"/>
        <v>6000</v>
      </c>
      <c r="W467" s="113">
        <f t="shared" si="120"/>
        <v>20000</v>
      </c>
      <c r="X467" s="113">
        <f t="shared" si="120"/>
        <v>20000</v>
      </c>
      <c r="Y467" s="43"/>
      <c r="Z467" s="402"/>
      <c r="AA467" s="278"/>
    </row>
    <row r="468" spans="1:29" ht="19.5" customHeight="1">
      <c r="A468" s="15"/>
      <c r="B468" s="12" t="s">
        <v>9</v>
      </c>
      <c r="C468" s="12"/>
      <c r="D468" s="178"/>
      <c r="E468" s="178"/>
      <c r="F468" s="12"/>
      <c r="G468" s="12"/>
      <c r="H468" s="7"/>
      <c r="I468" s="7"/>
      <c r="J468" s="7"/>
      <c r="K468" s="7"/>
      <c r="L468" s="7"/>
      <c r="M468" s="90"/>
      <c r="N468" s="90"/>
      <c r="O468" s="90"/>
      <c r="P468" s="90"/>
      <c r="Q468" s="90"/>
      <c r="R468" s="111"/>
      <c r="S468" s="111"/>
      <c r="T468" s="111"/>
      <c r="U468" s="111"/>
      <c r="V468" s="111"/>
      <c r="W468" s="59"/>
      <c r="X468" s="59"/>
      <c r="Y468" s="43"/>
      <c r="Z468" s="402"/>
      <c r="AA468" s="278"/>
    </row>
    <row r="469" spans="1:29" ht="31.5" customHeight="1">
      <c r="A469" s="15"/>
      <c r="B469" s="12" t="s">
        <v>10</v>
      </c>
      <c r="C469" s="12">
        <v>176</v>
      </c>
      <c r="D469" s="178" t="s">
        <v>554</v>
      </c>
      <c r="E469" s="178" t="s">
        <v>555</v>
      </c>
      <c r="F469" s="12">
        <v>6100004040</v>
      </c>
      <c r="G469" s="12">
        <v>244</v>
      </c>
      <c r="H469" s="7">
        <f>SUM(I469:L469)</f>
        <v>9500</v>
      </c>
      <c r="I469" s="7">
        <v>0</v>
      </c>
      <c r="J469" s="7">
        <v>0</v>
      </c>
      <c r="K469" s="7">
        <v>5000</v>
      </c>
      <c r="L469" s="7">
        <f>5000-500</f>
        <v>4500</v>
      </c>
      <c r="M469" s="90">
        <v>10000</v>
      </c>
      <c r="N469" s="90"/>
      <c r="O469" s="90">
        <v>5000</v>
      </c>
      <c r="P469" s="90"/>
      <c r="Q469" s="90">
        <v>5000</v>
      </c>
      <c r="R469" s="111">
        <v>20000</v>
      </c>
      <c r="S469" s="111">
        <v>0</v>
      </c>
      <c r="T469" s="111">
        <v>8000</v>
      </c>
      <c r="U469" s="111">
        <v>6000</v>
      </c>
      <c r="V469" s="111">
        <v>6000</v>
      </c>
      <c r="W469" s="111">
        <v>20000</v>
      </c>
      <c r="X469" s="111">
        <v>20000</v>
      </c>
      <c r="Y469" s="43"/>
      <c r="Z469" s="402"/>
      <c r="AA469" s="278"/>
    </row>
    <row r="470" spans="1:29" ht="33.75" customHeight="1">
      <c r="A470" s="15"/>
      <c r="B470" s="12" t="s">
        <v>463</v>
      </c>
      <c r="C470" s="42">
        <v>0</v>
      </c>
      <c r="D470" s="42">
        <v>0</v>
      </c>
      <c r="E470" s="42">
        <v>0</v>
      </c>
      <c r="F470" s="42">
        <v>0</v>
      </c>
      <c r="G470" s="42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90"/>
      <c r="N470" s="90"/>
      <c r="O470" s="90"/>
      <c r="P470" s="90"/>
      <c r="Q470" s="90"/>
      <c r="R470" s="111"/>
      <c r="S470" s="111"/>
      <c r="T470" s="111"/>
      <c r="U470" s="111"/>
      <c r="V470" s="111"/>
      <c r="W470" s="59"/>
      <c r="X470" s="59"/>
      <c r="Y470" s="43"/>
      <c r="Z470" s="402"/>
      <c r="AA470" s="278"/>
    </row>
    <row r="471" spans="1:29" ht="30.75" customHeight="1">
      <c r="A471" s="15"/>
      <c r="B471" s="12" t="s">
        <v>11</v>
      </c>
      <c r="C471" s="42">
        <v>0</v>
      </c>
      <c r="D471" s="42">
        <v>0</v>
      </c>
      <c r="E471" s="42">
        <v>0</v>
      </c>
      <c r="F471" s="42">
        <v>0</v>
      </c>
      <c r="G471" s="42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90"/>
      <c r="N471" s="90"/>
      <c r="O471" s="90"/>
      <c r="P471" s="90"/>
      <c r="Q471" s="90"/>
      <c r="R471" s="111"/>
      <c r="S471" s="111"/>
      <c r="T471" s="111"/>
      <c r="U471" s="111"/>
      <c r="V471" s="111"/>
      <c r="W471" s="59"/>
      <c r="X471" s="59"/>
      <c r="Y471" s="43"/>
      <c r="Z471" s="402"/>
      <c r="AA471" s="278"/>
    </row>
    <row r="472" spans="1:29" ht="34.5" customHeight="1">
      <c r="A472" s="16"/>
      <c r="B472" s="12" t="s">
        <v>484</v>
      </c>
      <c r="C472" s="42">
        <v>0</v>
      </c>
      <c r="D472" s="42">
        <v>0</v>
      </c>
      <c r="E472" s="42">
        <v>0</v>
      </c>
      <c r="F472" s="42">
        <v>0</v>
      </c>
      <c r="G472" s="42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90"/>
      <c r="N472" s="90"/>
      <c r="O472" s="90"/>
      <c r="P472" s="90"/>
      <c r="Q472" s="90"/>
      <c r="R472" s="111"/>
      <c r="S472" s="111"/>
      <c r="T472" s="111"/>
      <c r="U472" s="111"/>
      <c r="V472" s="111"/>
      <c r="W472" s="59"/>
      <c r="X472" s="59"/>
      <c r="Y472" s="44"/>
      <c r="Z472" s="405"/>
      <c r="AA472" s="278"/>
    </row>
    <row r="473" spans="1:29" ht="33.75" customHeight="1">
      <c r="A473" s="415" t="s">
        <v>619</v>
      </c>
      <c r="B473" s="12" t="s">
        <v>25</v>
      </c>
      <c r="C473" s="12">
        <v>176</v>
      </c>
      <c r="D473" s="178" t="s">
        <v>554</v>
      </c>
      <c r="E473" s="178" t="s">
        <v>555</v>
      </c>
      <c r="F473" s="12" t="s">
        <v>490</v>
      </c>
      <c r="G473" s="12" t="s">
        <v>28</v>
      </c>
      <c r="H473" s="7" t="e">
        <f t="shared" ref="H473:Q473" si="121">SUM(H475:H478)</f>
        <v>#REF!</v>
      </c>
      <c r="I473" s="7" t="e">
        <f t="shared" si="121"/>
        <v>#REF!</v>
      </c>
      <c r="J473" s="7" t="e">
        <f t="shared" si="121"/>
        <v>#REF!</v>
      </c>
      <c r="K473" s="7" t="e">
        <f t="shared" si="121"/>
        <v>#REF!</v>
      </c>
      <c r="L473" s="7" t="e">
        <f t="shared" si="121"/>
        <v>#REF!</v>
      </c>
      <c r="M473" s="90" t="e">
        <f t="shared" si="121"/>
        <v>#REF!</v>
      </c>
      <c r="N473" s="90" t="e">
        <f t="shared" si="121"/>
        <v>#REF!</v>
      </c>
      <c r="O473" s="90" t="e">
        <f t="shared" si="121"/>
        <v>#REF!</v>
      </c>
      <c r="P473" s="90" t="e">
        <f t="shared" si="121"/>
        <v>#REF!</v>
      </c>
      <c r="Q473" s="90" t="e">
        <f t="shared" si="121"/>
        <v>#REF!</v>
      </c>
      <c r="R473" s="90">
        <f>SUM(R475:R477)</f>
        <v>8729969.4377299994</v>
      </c>
      <c r="S473" s="113">
        <f t="shared" ref="S473:X473" si="122">SUM(S475:S478)</f>
        <v>764632.35121052631</v>
      </c>
      <c r="T473" s="113">
        <f t="shared" si="122"/>
        <v>1138619.1664210525</v>
      </c>
      <c r="U473" s="113">
        <f t="shared" si="122"/>
        <v>3144573.3422105266</v>
      </c>
      <c r="V473" s="113">
        <f t="shared" si="122"/>
        <v>3682144.6042036838</v>
      </c>
      <c r="W473" s="90">
        <f t="shared" si="122"/>
        <v>7050748.1999999993</v>
      </c>
      <c r="X473" s="90">
        <f t="shared" si="122"/>
        <v>6521813.9157894738</v>
      </c>
      <c r="Y473" s="62"/>
      <c r="Z473" s="62"/>
      <c r="AA473" s="278"/>
    </row>
    <row r="474" spans="1:29" ht="17.25" customHeight="1">
      <c r="A474" s="416"/>
      <c r="B474" s="12" t="s">
        <v>9</v>
      </c>
      <c r="C474" s="12"/>
      <c r="D474" s="178"/>
      <c r="E474" s="178"/>
      <c r="F474" s="12"/>
      <c r="G474" s="12"/>
      <c r="H474" s="7"/>
      <c r="I474" s="7"/>
      <c r="J474" s="7"/>
      <c r="K474" s="7"/>
      <c r="L474" s="7"/>
      <c r="M474" s="90"/>
      <c r="N474" s="90"/>
      <c r="O474" s="90"/>
      <c r="P474" s="90"/>
      <c r="Q474" s="90"/>
      <c r="R474" s="59"/>
      <c r="S474" s="111"/>
      <c r="T474" s="111"/>
      <c r="U474" s="111"/>
      <c r="V474" s="111"/>
      <c r="W474" s="59"/>
      <c r="X474" s="59"/>
      <c r="Y474" s="62"/>
      <c r="Z474" s="62"/>
      <c r="AA474" s="278"/>
    </row>
    <row r="475" spans="1:29" ht="30" customHeight="1">
      <c r="A475" s="417"/>
      <c r="B475" s="12" t="s">
        <v>10</v>
      </c>
      <c r="C475" s="12">
        <v>176</v>
      </c>
      <c r="D475" s="178" t="s">
        <v>554</v>
      </c>
      <c r="E475" s="178" t="s">
        <v>555</v>
      </c>
      <c r="F475" s="12" t="s">
        <v>490</v>
      </c>
      <c r="G475" s="12" t="s">
        <v>28</v>
      </c>
      <c r="H475" s="7" t="e">
        <f>H106+#REF!+H469</f>
        <v>#REF!</v>
      </c>
      <c r="I475" s="7" t="e">
        <f>I106+#REF!+I469</f>
        <v>#REF!</v>
      </c>
      <c r="J475" s="7" t="e">
        <f>J106+#REF!+J469</f>
        <v>#REF!</v>
      </c>
      <c r="K475" s="7" t="e">
        <f>K106+#REF!+K469</f>
        <v>#REF!</v>
      </c>
      <c r="L475" s="7" t="e">
        <f>L106+#REF!+L469</f>
        <v>#REF!</v>
      </c>
      <c r="M475" s="90" t="e">
        <f>M106+#REF!+M469</f>
        <v>#REF!</v>
      </c>
      <c r="N475" s="90" t="e">
        <f>N106+#REF!+N469</f>
        <v>#REF!</v>
      </c>
      <c r="O475" s="90" t="e">
        <f>O106+#REF!+O469</f>
        <v>#REF!</v>
      </c>
      <c r="P475" s="90" t="e">
        <f>P106+#REF!+P469</f>
        <v>#REF!</v>
      </c>
      <c r="Q475" s="90" t="e">
        <f>Q106+#REF!+Q469</f>
        <v>#REF!</v>
      </c>
      <c r="R475" s="90">
        <f t="shared" ref="R475:X475" si="123">R106+R379+R469</f>
        <v>7812224.6377299996</v>
      </c>
      <c r="S475" s="90">
        <f t="shared" si="123"/>
        <v>756743.01699999999</v>
      </c>
      <c r="T475" s="90">
        <f t="shared" si="123"/>
        <v>1108523.598</v>
      </c>
      <c r="U475" s="90">
        <f t="shared" si="123"/>
        <v>2958134.9080000003</v>
      </c>
      <c r="V475" s="90">
        <f t="shared" si="123"/>
        <v>2988823.1147299996</v>
      </c>
      <c r="W475" s="90">
        <f t="shared" si="123"/>
        <v>6269129.0999999996</v>
      </c>
      <c r="X475" s="90">
        <f t="shared" si="123"/>
        <v>6431287.6000000006</v>
      </c>
      <c r="Y475" s="62"/>
      <c r="Z475" s="62"/>
      <c r="AA475" s="277"/>
      <c r="AB475" s="99"/>
      <c r="AC475" s="99">
        <f>X475-3000</f>
        <v>6428287.6000000006</v>
      </c>
    </row>
    <row r="476" spans="1:29" ht="34.5" customHeight="1">
      <c r="A476" s="65"/>
      <c r="B476" s="12" t="s">
        <v>427</v>
      </c>
      <c r="C476" s="12">
        <v>176</v>
      </c>
      <c r="D476" s="178" t="s">
        <v>554</v>
      </c>
      <c r="E476" s="178" t="s">
        <v>555</v>
      </c>
      <c r="F476" s="12" t="s">
        <v>490</v>
      </c>
      <c r="G476" s="12" t="s">
        <v>28</v>
      </c>
      <c r="H476" s="7">
        <f>H107</f>
        <v>457365.1</v>
      </c>
      <c r="I476" s="7">
        <f>I107</f>
        <v>0</v>
      </c>
      <c r="J476" s="7" t="e">
        <f>J107</f>
        <v>#REF!</v>
      </c>
      <c r="K476" s="7" t="e">
        <f>K107</f>
        <v>#REF!</v>
      </c>
      <c r="L476" s="7">
        <f>L107</f>
        <v>0</v>
      </c>
      <c r="M476" s="90"/>
      <c r="N476" s="90"/>
      <c r="O476" s="90"/>
      <c r="P476" s="90"/>
      <c r="Q476" s="90"/>
      <c r="R476" s="113">
        <f t="shared" ref="R476:X476" si="124">R107+R380</f>
        <v>769174.1</v>
      </c>
      <c r="S476" s="113">
        <f t="shared" si="124"/>
        <v>0</v>
      </c>
      <c r="T476" s="113">
        <f t="shared" si="124"/>
        <v>14316.9</v>
      </c>
      <c r="U476" s="113">
        <f t="shared" si="124"/>
        <v>162841.1</v>
      </c>
      <c r="V476" s="113">
        <f t="shared" si="124"/>
        <v>592016.1</v>
      </c>
      <c r="W476" s="113">
        <f t="shared" si="124"/>
        <v>661050</v>
      </c>
      <c r="X476" s="113">
        <f t="shared" si="124"/>
        <v>0</v>
      </c>
      <c r="Y476" s="62"/>
      <c r="Z476" s="62"/>
      <c r="AA476" s="278"/>
    </row>
    <row r="477" spans="1:29" ht="36.75" customHeight="1">
      <c r="A477" s="66"/>
      <c r="B477" s="12" t="s">
        <v>11</v>
      </c>
      <c r="C477" s="12"/>
      <c r="D477" s="12"/>
      <c r="E477" s="178"/>
      <c r="F477" s="12"/>
      <c r="G477" s="12"/>
      <c r="H477" s="7">
        <f t="shared" ref="H477:X477" si="125">H381</f>
        <v>338311.1</v>
      </c>
      <c r="I477" s="7">
        <f t="shared" si="125"/>
        <v>23511.642</v>
      </c>
      <c r="J477" s="7">
        <f t="shared" si="125"/>
        <v>50374.6</v>
      </c>
      <c r="K477" s="7">
        <f t="shared" si="125"/>
        <v>50374.6</v>
      </c>
      <c r="L477" s="7">
        <f t="shared" si="125"/>
        <v>214050.258</v>
      </c>
      <c r="M477" s="90" t="e">
        <f t="shared" si="125"/>
        <v>#REF!</v>
      </c>
      <c r="N477" s="90" t="e">
        <f t="shared" si="125"/>
        <v>#REF!</v>
      </c>
      <c r="O477" s="90" t="e">
        <f t="shared" si="125"/>
        <v>#REF!</v>
      </c>
      <c r="P477" s="90" t="e">
        <f t="shared" si="125"/>
        <v>#REF!</v>
      </c>
      <c r="Q477" s="90" t="e">
        <f t="shared" si="125"/>
        <v>#REF!</v>
      </c>
      <c r="R477" s="113">
        <v>148570.70000000001</v>
      </c>
      <c r="S477" s="113">
        <f t="shared" si="125"/>
        <v>7889.3342105263164</v>
      </c>
      <c r="T477" s="113">
        <f t="shared" si="125"/>
        <v>15778.668421052633</v>
      </c>
      <c r="U477" s="113">
        <f t="shared" si="125"/>
        <v>23597.334210526318</v>
      </c>
      <c r="V477" s="113">
        <f t="shared" si="125"/>
        <v>101305.38947368422</v>
      </c>
      <c r="W477" s="90">
        <f t="shared" si="125"/>
        <v>120569.09999999998</v>
      </c>
      <c r="X477" s="90">
        <f t="shared" si="125"/>
        <v>90526.31578947368</v>
      </c>
      <c r="Y477" s="62"/>
      <c r="Z477" s="62"/>
      <c r="AA477" s="278"/>
    </row>
    <row r="478" spans="1:29" ht="24" customHeight="1">
      <c r="A478" s="69"/>
      <c r="B478" s="12" t="s">
        <v>484</v>
      </c>
      <c r="C478" s="12"/>
      <c r="D478" s="12"/>
      <c r="E478" s="178"/>
      <c r="F478" s="12"/>
      <c r="G478" s="12"/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8">
        <v>0</v>
      </c>
      <c r="N478" s="78"/>
      <c r="O478" s="78"/>
      <c r="P478" s="78"/>
      <c r="Q478" s="78"/>
      <c r="R478" s="121">
        <v>0</v>
      </c>
      <c r="S478" s="121"/>
      <c r="T478" s="121"/>
      <c r="U478" s="121"/>
      <c r="V478" s="121"/>
      <c r="W478" s="77"/>
      <c r="X478" s="77"/>
      <c r="Y478" s="62"/>
      <c r="Z478" s="62"/>
      <c r="AA478" s="278"/>
    </row>
    <row r="479" spans="1:29" hidden="1">
      <c r="A479" s="22"/>
      <c r="B479" s="62"/>
      <c r="C479" s="62"/>
      <c r="D479" s="316"/>
      <c r="E479" s="62"/>
      <c r="F479" s="62"/>
      <c r="G479" s="6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14"/>
      <c r="S479" s="114"/>
      <c r="T479" s="114"/>
      <c r="U479" s="114"/>
      <c r="V479" s="114"/>
      <c r="W479" s="31"/>
      <c r="X479" s="31"/>
      <c r="Y479" s="62"/>
      <c r="Z479" s="62"/>
      <c r="AA479" s="278"/>
    </row>
    <row r="480" spans="1:29" ht="28.15" hidden="1" customHeight="1">
      <c r="A480" s="437" t="s">
        <v>81</v>
      </c>
      <c r="B480" s="437"/>
      <c r="C480" s="437"/>
      <c r="D480" s="437"/>
      <c r="E480" s="437"/>
      <c r="F480" s="437"/>
      <c r="G480" s="437"/>
      <c r="H480" s="437"/>
      <c r="I480" s="437"/>
      <c r="J480" s="437"/>
      <c r="K480" s="437"/>
      <c r="L480" s="437"/>
      <c r="M480" s="437"/>
      <c r="N480" s="437"/>
      <c r="O480" s="437"/>
      <c r="P480" s="437"/>
      <c r="Q480" s="437"/>
      <c r="R480" s="437"/>
      <c r="S480" s="437"/>
      <c r="T480" s="437"/>
      <c r="U480" s="437"/>
      <c r="V480" s="437"/>
      <c r="W480" s="437"/>
      <c r="X480" s="437"/>
      <c r="Y480" s="437"/>
      <c r="Z480" s="437"/>
      <c r="AA480" s="278"/>
    </row>
    <row r="481" spans="1:27" ht="75.599999999999994" hidden="1" customHeight="1">
      <c r="A481" s="51" t="s">
        <v>82</v>
      </c>
      <c r="B481" s="62"/>
      <c r="C481" s="62"/>
      <c r="D481" s="316"/>
      <c r="E481" s="62"/>
      <c r="F481" s="62"/>
      <c r="G481" s="6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14"/>
      <c r="S481" s="114"/>
      <c r="T481" s="114"/>
      <c r="U481" s="114"/>
      <c r="V481" s="114"/>
      <c r="W481" s="31"/>
      <c r="X481" s="31"/>
      <c r="Y481" s="62" t="s">
        <v>88</v>
      </c>
      <c r="Z481" s="62"/>
      <c r="AA481" s="278"/>
    </row>
    <row r="482" spans="1:27" ht="26.45" hidden="1" customHeight="1">
      <c r="A482" s="434" t="s">
        <v>83</v>
      </c>
      <c r="B482" s="62" t="s">
        <v>89</v>
      </c>
      <c r="C482" s="62"/>
      <c r="D482" s="316"/>
      <c r="E482" s="62"/>
      <c r="F482" s="62"/>
      <c r="G482" s="6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14">
        <v>18</v>
      </c>
      <c r="S482" s="114"/>
      <c r="T482" s="114"/>
      <c r="U482" s="114"/>
      <c r="V482" s="114"/>
      <c r="W482" s="31"/>
      <c r="X482" s="31"/>
      <c r="Y482" s="62"/>
      <c r="Z482" s="435" t="s">
        <v>84</v>
      </c>
      <c r="AA482" s="278"/>
    </row>
    <row r="483" spans="1:27" ht="25.5" hidden="1">
      <c r="A483" s="434"/>
      <c r="B483" s="62" t="s">
        <v>24</v>
      </c>
      <c r="C483" s="62"/>
      <c r="D483" s="316"/>
      <c r="E483" s="62"/>
      <c r="F483" s="62"/>
      <c r="G483" s="6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14"/>
      <c r="S483" s="114"/>
      <c r="T483" s="114"/>
      <c r="U483" s="114"/>
      <c r="V483" s="114"/>
      <c r="W483" s="31"/>
      <c r="X483" s="31"/>
      <c r="Y483" s="62"/>
      <c r="Z483" s="435"/>
      <c r="AA483" s="278"/>
    </row>
    <row r="484" spans="1:27" hidden="1">
      <c r="A484" s="434"/>
      <c r="B484" s="62" t="s">
        <v>25</v>
      </c>
      <c r="C484" s="62">
        <v>176</v>
      </c>
      <c r="D484" s="316" t="s">
        <v>15</v>
      </c>
      <c r="E484" s="62" t="s">
        <v>15</v>
      </c>
      <c r="F484" s="62">
        <v>6100404</v>
      </c>
      <c r="G484" s="62">
        <v>414</v>
      </c>
      <c r="H484" s="2">
        <f>SUM(H486:H489)</f>
        <v>8282000</v>
      </c>
      <c r="I484" s="2"/>
      <c r="J484" s="2"/>
      <c r="K484" s="2"/>
      <c r="L484" s="2"/>
      <c r="M484" s="2">
        <f>SUM(M486:M489)</f>
        <v>8282000</v>
      </c>
      <c r="N484" s="2"/>
      <c r="O484" s="2"/>
      <c r="P484" s="2"/>
      <c r="Q484" s="2"/>
      <c r="R484" s="122">
        <f>SUM(R486:R489)</f>
        <v>8282000</v>
      </c>
      <c r="S484" s="122"/>
      <c r="T484" s="122"/>
      <c r="U484" s="122"/>
      <c r="V484" s="122"/>
      <c r="W484" s="2"/>
      <c r="X484" s="2"/>
      <c r="Y484" s="62"/>
      <c r="Z484" s="435"/>
      <c r="AA484" s="278"/>
    </row>
    <row r="485" spans="1:27" hidden="1">
      <c r="A485" s="434"/>
      <c r="B485" s="62" t="s">
        <v>9</v>
      </c>
      <c r="C485" s="62"/>
      <c r="D485" s="316"/>
      <c r="E485" s="62"/>
      <c r="F485" s="62"/>
      <c r="G485" s="6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114"/>
      <c r="S485" s="114"/>
      <c r="T485" s="114"/>
      <c r="U485" s="114"/>
      <c r="V485" s="114"/>
      <c r="W485" s="31"/>
      <c r="X485" s="31"/>
      <c r="Y485" s="62"/>
      <c r="Z485" s="435"/>
      <c r="AA485" s="278"/>
    </row>
    <row r="486" spans="1:27" hidden="1">
      <c r="A486" s="434"/>
      <c r="B486" s="62" t="s">
        <v>10</v>
      </c>
      <c r="C486" s="62">
        <v>176</v>
      </c>
      <c r="D486" s="316" t="s">
        <v>15</v>
      </c>
      <c r="E486" s="62" t="s">
        <v>15</v>
      </c>
      <c r="F486" s="62">
        <v>6100404</v>
      </c>
      <c r="G486" s="62">
        <v>414</v>
      </c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114"/>
      <c r="S486" s="114"/>
      <c r="T486" s="114"/>
      <c r="U486" s="114"/>
      <c r="V486" s="114"/>
      <c r="W486" s="31"/>
      <c r="X486" s="31"/>
      <c r="Y486" s="62"/>
      <c r="Z486" s="435"/>
      <c r="AA486" s="278"/>
    </row>
    <row r="487" spans="1:27" hidden="1">
      <c r="A487" s="434"/>
      <c r="B487" s="62" t="s">
        <v>34</v>
      </c>
      <c r="C487" s="62"/>
      <c r="D487" s="316"/>
      <c r="E487" s="62"/>
      <c r="F487" s="62"/>
      <c r="G487" s="6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114"/>
      <c r="S487" s="114"/>
      <c r="T487" s="114"/>
      <c r="U487" s="114"/>
      <c r="V487" s="114"/>
      <c r="W487" s="31"/>
      <c r="X487" s="31"/>
      <c r="Y487" s="62"/>
      <c r="Z487" s="435"/>
      <c r="AA487" s="278"/>
    </row>
    <row r="488" spans="1:27" hidden="1">
      <c r="A488" s="434"/>
      <c r="B488" s="62" t="s">
        <v>90</v>
      </c>
      <c r="C488" s="62"/>
      <c r="D488" s="316"/>
      <c r="E488" s="62"/>
      <c r="F488" s="62"/>
      <c r="G488" s="6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114"/>
      <c r="S488" s="114"/>
      <c r="T488" s="114"/>
      <c r="U488" s="114"/>
      <c r="V488" s="114"/>
      <c r="W488" s="31"/>
      <c r="X488" s="31"/>
      <c r="Y488" s="62"/>
      <c r="Z488" s="435"/>
      <c r="AA488" s="278"/>
    </row>
    <row r="489" spans="1:27" ht="25.5" hidden="1">
      <c r="A489" s="434"/>
      <c r="B489" s="62" t="s">
        <v>80</v>
      </c>
      <c r="C489" s="62"/>
      <c r="D489" s="316"/>
      <c r="E489" s="62"/>
      <c r="F489" s="62"/>
      <c r="G489" s="62"/>
      <c r="H489" s="2">
        <v>8282000</v>
      </c>
      <c r="I489" s="2"/>
      <c r="J489" s="2"/>
      <c r="K489" s="2"/>
      <c r="L489" s="2"/>
      <c r="M489" s="2">
        <v>8282000</v>
      </c>
      <c r="N489" s="2"/>
      <c r="O489" s="2"/>
      <c r="P489" s="2"/>
      <c r="Q489" s="2"/>
      <c r="R489" s="122">
        <v>8282000</v>
      </c>
      <c r="S489" s="122"/>
      <c r="T489" s="122"/>
      <c r="U489" s="122"/>
      <c r="V489" s="122"/>
      <c r="W489" s="2"/>
      <c r="X489" s="2"/>
      <c r="Y489" s="62"/>
      <c r="Z489" s="435"/>
      <c r="AA489" s="278"/>
    </row>
    <row r="490" spans="1:27" ht="8.4499999999999993" hidden="1" customHeight="1">
      <c r="A490" s="22"/>
      <c r="B490" s="62"/>
      <c r="C490" s="62"/>
      <c r="D490" s="316"/>
      <c r="E490" s="62"/>
      <c r="F490" s="62"/>
      <c r="G490" s="62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14"/>
      <c r="S490" s="114"/>
      <c r="T490" s="114"/>
      <c r="U490" s="114"/>
      <c r="V490" s="114"/>
      <c r="W490" s="31"/>
      <c r="X490" s="31"/>
      <c r="Y490" s="62"/>
      <c r="Z490" s="62"/>
      <c r="AA490" s="278"/>
    </row>
    <row r="491" spans="1:27" ht="30" hidden="1" customHeight="1">
      <c r="A491" s="434" t="s">
        <v>85</v>
      </c>
      <c r="B491" s="62" t="s">
        <v>89</v>
      </c>
      <c r="C491" s="62"/>
      <c r="D491" s="316"/>
      <c r="E491" s="62"/>
      <c r="F491" s="62"/>
      <c r="G491" s="62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14"/>
      <c r="S491" s="114"/>
      <c r="T491" s="114"/>
      <c r="U491" s="114"/>
      <c r="V491" s="114"/>
      <c r="W491" s="31"/>
      <c r="X491" s="31"/>
      <c r="Y491" s="62" t="s">
        <v>26</v>
      </c>
      <c r="Z491" s="435" t="s">
        <v>87</v>
      </c>
      <c r="AA491" s="278"/>
    </row>
    <row r="492" spans="1:27" ht="25.5" hidden="1">
      <c r="A492" s="434"/>
      <c r="B492" s="62" t="s">
        <v>24</v>
      </c>
      <c r="C492" s="62"/>
      <c r="D492" s="316"/>
      <c r="E492" s="62"/>
      <c r="F492" s="62"/>
      <c r="G492" s="62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14"/>
      <c r="S492" s="114"/>
      <c r="T492" s="114"/>
      <c r="U492" s="114"/>
      <c r="V492" s="114"/>
      <c r="W492" s="31"/>
      <c r="X492" s="31"/>
      <c r="Y492" s="62"/>
      <c r="Z492" s="435"/>
      <c r="AA492" s="278"/>
    </row>
    <row r="493" spans="1:27" hidden="1">
      <c r="A493" s="434"/>
      <c r="B493" s="62" t="s">
        <v>25</v>
      </c>
      <c r="C493" s="62">
        <v>176</v>
      </c>
      <c r="D493" s="316" t="s">
        <v>15</v>
      </c>
      <c r="E493" s="62" t="s">
        <v>15</v>
      </c>
      <c r="F493" s="62">
        <v>6100404</v>
      </c>
      <c r="G493" s="62">
        <v>414</v>
      </c>
      <c r="H493" s="4">
        <f>SUM(H495:H498)</f>
        <v>0</v>
      </c>
      <c r="I493" s="4"/>
      <c r="J493" s="4"/>
      <c r="K493" s="4"/>
      <c r="L493" s="4"/>
      <c r="M493" s="4">
        <f>SUM(M495:M498)</f>
        <v>0</v>
      </c>
      <c r="N493" s="4"/>
      <c r="O493" s="4"/>
      <c r="P493" s="4"/>
      <c r="Q493" s="4"/>
      <c r="R493" s="122">
        <f>SUM(R495:R498)</f>
        <v>41000</v>
      </c>
      <c r="S493" s="122"/>
      <c r="T493" s="122"/>
      <c r="U493" s="122"/>
      <c r="V493" s="122"/>
      <c r="W493" s="2"/>
      <c r="X493" s="2"/>
      <c r="Y493" s="62"/>
      <c r="Z493" s="435"/>
      <c r="AA493" s="278"/>
    </row>
    <row r="494" spans="1:27" hidden="1">
      <c r="A494" s="434"/>
      <c r="B494" s="62" t="s">
        <v>9</v>
      </c>
      <c r="C494" s="62"/>
      <c r="D494" s="316"/>
      <c r="E494" s="62"/>
      <c r="F494" s="62"/>
      <c r="G494" s="62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14"/>
      <c r="S494" s="114"/>
      <c r="T494" s="114"/>
      <c r="U494" s="114"/>
      <c r="V494" s="114"/>
      <c r="W494" s="31"/>
      <c r="X494" s="31"/>
      <c r="Y494" s="62"/>
      <c r="Z494" s="435"/>
      <c r="AA494" s="278"/>
    </row>
    <row r="495" spans="1:27" hidden="1">
      <c r="A495" s="434"/>
      <c r="B495" s="62" t="s">
        <v>10</v>
      </c>
      <c r="C495" s="62">
        <v>176</v>
      </c>
      <c r="D495" s="316" t="s">
        <v>15</v>
      </c>
      <c r="E495" s="62" t="s">
        <v>15</v>
      </c>
      <c r="F495" s="62">
        <v>6100404</v>
      </c>
      <c r="G495" s="62">
        <v>414</v>
      </c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14">
        <v>41000</v>
      </c>
      <c r="S495" s="114"/>
      <c r="T495" s="114"/>
      <c r="U495" s="114"/>
      <c r="V495" s="114"/>
      <c r="W495" s="31"/>
      <c r="X495" s="31"/>
      <c r="Y495" s="62"/>
      <c r="Z495" s="435"/>
      <c r="AA495" s="278"/>
    </row>
    <row r="496" spans="1:27" hidden="1">
      <c r="A496" s="434"/>
      <c r="B496" s="62" t="s">
        <v>34</v>
      </c>
      <c r="C496" s="62"/>
      <c r="D496" s="316"/>
      <c r="E496" s="62"/>
      <c r="F496" s="62"/>
      <c r="G496" s="62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14"/>
      <c r="S496" s="114"/>
      <c r="T496" s="114"/>
      <c r="U496" s="114"/>
      <c r="V496" s="114"/>
      <c r="W496" s="31"/>
      <c r="X496" s="31"/>
      <c r="Y496" s="62"/>
      <c r="Z496" s="435"/>
      <c r="AA496" s="278"/>
    </row>
    <row r="497" spans="1:39" hidden="1">
      <c r="A497" s="434"/>
      <c r="B497" s="62" t="s">
        <v>11</v>
      </c>
      <c r="C497" s="62"/>
      <c r="D497" s="316"/>
      <c r="E497" s="62"/>
      <c r="F497" s="62"/>
      <c r="G497" s="62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14"/>
      <c r="S497" s="114"/>
      <c r="T497" s="114"/>
      <c r="U497" s="114"/>
      <c r="V497" s="114"/>
      <c r="W497" s="31"/>
      <c r="X497" s="31"/>
      <c r="Y497" s="62"/>
      <c r="Z497" s="435"/>
      <c r="AA497" s="278"/>
    </row>
    <row r="498" spans="1:39" ht="25.5" hidden="1">
      <c r="A498" s="434"/>
      <c r="B498" s="62" t="s">
        <v>80</v>
      </c>
      <c r="C498" s="62"/>
      <c r="D498" s="316"/>
      <c r="E498" s="62"/>
      <c r="F498" s="62"/>
      <c r="G498" s="62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14"/>
      <c r="S498" s="114"/>
      <c r="T498" s="114"/>
      <c r="U498" s="114"/>
      <c r="V498" s="114"/>
      <c r="W498" s="31"/>
      <c r="X498" s="31"/>
      <c r="Y498" s="62"/>
      <c r="Z498" s="435"/>
      <c r="AA498" s="278"/>
    </row>
    <row r="499" spans="1:39" ht="10.15" hidden="1" customHeight="1">
      <c r="A499" s="22"/>
      <c r="B499" s="62"/>
      <c r="C499" s="62"/>
      <c r="D499" s="316"/>
      <c r="E499" s="62"/>
      <c r="F499" s="62"/>
      <c r="G499" s="6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14"/>
      <c r="S499" s="114"/>
      <c r="T499" s="114"/>
      <c r="U499" s="114"/>
      <c r="V499" s="114"/>
      <c r="W499" s="31"/>
      <c r="X499" s="31"/>
      <c r="Y499" s="62"/>
      <c r="Z499" s="62"/>
      <c r="AA499" s="278"/>
    </row>
    <row r="500" spans="1:39" hidden="1">
      <c r="A500" s="436" t="s">
        <v>86</v>
      </c>
      <c r="B500" s="62" t="s">
        <v>25</v>
      </c>
      <c r="C500" s="62">
        <v>176</v>
      </c>
      <c r="D500" s="316" t="s">
        <v>15</v>
      </c>
      <c r="E500" s="62" t="s">
        <v>15</v>
      </c>
      <c r="F500" s="62" t="s">
        <v>16</v>
      </c>
      <c r="G500" s="62" t="s">
        <v>28</v>
      </c>
      <c r="H500" s="5">
        <f>H484+H493</f>
        <v>8282000</v>
      </c>
      <c r="I500" s="5"/>
      <c r="J500" s="5"/>
      <c r="K500" s="5"/>
      <c r="L500" s="5"/>
      <c r="M500" s="5">
        <f>M484+M493</f>
        <v>8282000</v>
      </c>
      <c r="N500" s="5"/>
      <c r="O500" s="5"/>
      <c r="P500" s="5"/>
      <c r="Q500" s="5"/>
      <c r="R500" s="123">
        <f>R484+R493</f>
        <v>8323000</v>
      </c>
      <c r="S500" s="123"/>
      <c r="T500" s="123"/>
      <c r="U500" s="123"/>
      <c r="V500" s="123"/>
      <c r="W500" s="5"/>
      <c r="X500" s="5"/>
      <c r="Y500" s="62"/>
      <c r="Z500" s="62"/>
      <c r="AA500" s="278"/>
    </row>
    <row r="501" spans="1:39" hidden="1">
      <c r="A501" s="436"/>
      <c r="B501" s="62" t="s">
        <v>9</v>
      </c>
      <c r="C501" s="62"/>
      <c r="D501" s="316"/>
      <c r="E501" s="62"/>
      <c r="F501" s="62"/>
      <c r="G501" s="6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14"/>
      <c r="S501" s="114"/>
      <c r="T501" s="114"/>
      <c r="U501" s="114"/>
      <c r="V501" s="114"/>
      <c r="W501" s="31"/>
      <c r="X501" s="31"/>
      <c r="Y501" s="62"/>
      <c r="Z501" s="62"/>
      <c r="AA501" s="278"/>
    </row>
    <row r="502" spans="1:39" hidden="1">
      <c r="A502" s="436"/>
      <c r="B502" s="62" t="s">
        <v>10</v>
      </c>
      <c r="C502" s="62">
        <v>176</v>
      </c>
      <c r="D502" s="316" t="s">
        <v>15</v>
      </c>
      <c r="E502" s="62" t="s">
        <v>15</v>
      </c>
      <c r="F502" s="62" t="s">
        <v>16</v>
      </c>
      <c r="G502" s="62" t="s">
        <v>28</v>
      </c>
      <c r="H502" s="1">
        <f>H495</f>
        <v>0</v>
      </c>
      <c r="I502" s="1"/>
      <c r="J502" s="1"/>
      <c r="K502" s="1"/>
      <c r="L502" s="1"/>
      <c r="M502" s="1">
        <f>M495</f>
        <v>0</v>
      </c>
      <c r="N502" s="1"/>
      <c r="O502" s="1"/>
      <c r="P502" s="1"/>
      <c r="Q502" s="1"/>
      <c r="R502" s="124">
        <f>R495</f>
        <v>41000</v>
      </c>
      <c r="S502" s="124"/>
      <c r="T502" s="124"/>
      <c r="U502" s="124"/>
      <c r="V502" s="124"/>
      <c r="W502" s="1"/>
      <c r="X502" s="1"/>
      <c r="Y502" s="62"/>
      <c r="Z502" s="62"/>
      <c r="AA502" s="278"/>
    </row>
    <row r="503" spans="1:39" hidden="1">
      <c r="A503" s="436"/>
      <c r="B503" s="62" t="s">
        <v>34</v>
      </c>
      <c r="C503" s="62">
        <v>176</v>
      </c>
      <c r="D503" s="316" t="s">
        <v>15</v>
      </c>
      <c r="E503" s="62" t="s">
        <v>15</v>
      </c>
      <c r="F503" s="62" t="s">
        <v>27</v>
      </c>
      <c r="G503" s="62" t="s">
        <v>28</v>
      </c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114"/>
      <c r="S503" s="114"/>
      <c r="T503" s="114"/>
      <c r="U503" s="114"/>
      <c r="V503" s="114"/>
      <c r="W503" s="31"/>
      <c r="X503" s="31"/>
      <c r="Y503" s="62"/>
      <c r="Z503" s="62"/>
      <c r="AA503" s="278"/>
    </row>
    <row r="504" spans="1:39" hidden="1">
      <c r="A504" s="436"/>
      <c r="B504" s="62" t="s">
        <v>90</v>
      </c>
      <c r="C504" s="62"/>
      <c r="D504" s="316"/>
      <c r="E504" s="62"/>
      <c r="F504" s="62"/>
      <c r="G504" s="62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114"/>
      <c r="S504" s="114"/>
      <c r="T504" s="114"/>
      <c r="U504" s="114"/>
      <c r="V504" s="114"/>
      <c r="W504" s="31"/>
      <c r="X504" s="31"/>
      <c r="Y504" s="62"/>
      <c r="Z504" s="62"/>
      <c r="AA504" s="278"/>
    </row>
    <row r="505" spans="1:39" ht="25.5" hidden="1">
      <c r="A505" s="436"/>
      <c r="B505" s="62" t="s">
        <v>80</v>
      </c>
      <c r="C505" s="62"/>
      <c r="D505" s="316"/>
      <c r="E505" s="62"/>
      <c r="F505" s="62"/>
      <c r="G505" s="62"/>
      <c r="H505" s="5">
        <f>H489</f>
        <v>8282000</v>
      </c>
      <c r="I505" s="5"/>
      <c r="J505" s="5"/>
      <c r="K505" s="5"/>
      <c r="L505" s="5"/>
      <c r="M505" s="5">
        <f>M489</f>
        <v>8282000</v>
      </c>
      <c r="N505" s="5"/>
      <c r="O505" s="5"/>
      <c r="P505" s="5"/>
      <c r="Q505" s="5"/>
      <c r="R505" s="123">
        <f>R489</f>
        <v>8282000</v>
      </c>
      <c r="S505" s="123"/>
      <c r="T505" s="123"/>
      <c r="U505" s="123"/>
      <c r="V505" s="123"/>
      <c r="W505" s="5"/>
      <c r="X505" s="5"/>
      <c r="Y505" s="62"/>
      <c r="Z505" s="62"/>
      <c r="AA505" s="278"/>
    </row>
    <row r="506" spans="1:39" ht="38.25" customHeight="1">
      <c r="A506" s="415" t="s">
        <v>618</v>
      </c>
      <c r="B506" s="12" t="s">
        <v>25</v>
      </c>
      <c r="C506" s="12">
        <v>176</v>
      </c>
      <c r="D506" s="178" t="s">
        <v>554</v>
      </c>
      <c r="E506" s="178" t="s">
        <v>555</v>
      </c>
      <c r="F506" s="12" t="s">
        <v>490</v>
      </c>
      <c r="G506" s="12" t="s">
        <v>28</v>
      </c>
      <c r="H506" s="7" t="e">
        <f>SUM(H507:H512)</f>
        <v>#REF!</v>
      </c>
      <c r="I506" s="7" t="e">
        <f>SUM(I507:I512)</f>
        <v>#REF!</v>
      </c>
      <c r="J506" s="7" t="e">
        <f>SUM(J507:J512)</f>
        <v>#REF!</v>
      </c>
      <c r="K506" s="7" t="e">
        <f>SUM(K507:K512)</f>
        <v>#REF!</v>
      </c>
      <c r="L506" s="7" t="e">
        <f>SUM(L507:L512)</f>
        <v>#REF!</v>
      </c>
      <c r="M506" s="90" t="e">
        <f>M507+M509+M511+M512</f>
        <v>#REF!</v>
      </c>
      <c r="N506" s="90" t="e">
        <f>N507+N509+N511+N512</f>
        <v>#REF!</v>
      </c>
      <c r="O506" s="90" t="e">
        <f>O507+O509+O511+O512</f>
        <v>#REF!</v>
      </c>
      <c r="P506" s="90" t="e">
        <f>P507+P509+P511+P512</f>
        <v>#REF!</v>
      </c>
      <c r="Q506" s="90" t="e">
        <f>Q507+Q509+Q511+Q512</f>
        <v>#REF!</v>
      </c>
      <c r="R506" s="90">
        <f>R507+R509+R511+R512+R508+R510</f>
        <v>11700623.737729998</v>
      </c>
      <c r="S506" s="90">
        <f t="shared" ref="S506:X506" si="126">S507+S509+S511+S512+S508+S510</f>
        <v>770587.55121052626</v>
      </c>
      <c r="T506" s="90">
        <f t="shared" si="126"/>
        <v>1265445.7676410526</v>
      </c>
      <c r="U506" s="90">
        <f t="shared" si="126"/>
        <v>3819199.0298205265</v>
      </c>
      <c r="V506" s="90">
        <f t="shared" si="126"/>
        <v>5845391.4153736839</v>
      </c>
      <c r="W506" s="90">
        <f t="shared" si="126"/>
        <v>13615968.029999997</v>
      </c>
      <c r="X506" s="90">
        <f t="shared" si="126"/>
        <v>18902500.285789475</v>
      </c>
      <c r="Y506" s="62"/>
      <c r="Z506" s="276">
        <f>R508+R509+R510</f>
        <v>1503269.9</v>
      </c>
      <c r="AA506" s="278"/>
      <c r="AL506" s="99">
        <f>R507-9528049.3</f>
        <v>440733.83772999793</v>
      </c>
      <c r="AM506" s="99">
        <f>W507-10025748.9</f>
        <v>1999.9999999981374</v>
      </c>
    </row>
    <row r="507" spans="1:39" ht="36.75" customHeight="1">
      <c r="A507" s="416"/>
      <c r="B507" s="12" t="s">
        <v>10</v>
      </c>
      <c r="C507" s="12">
        <v>176</v>
      </c>
      <c r="D507" s="178" t="s">
        <v>554</v>
      </c>
      <c r="E507" s="178" t="s">
        <v>555</v>
      </c>
      <c r="F507" s="12" t="s">
        <v>490</v>
      </c>
      <c r="G507" s="12" t="s">
        <v>28</v>
      </c>
      <c r="H507" s="7" t="e">
        <f t="shared" ref="H507:Q507" si="127">H94+H475</f>
        <v>#REF!</v>
      </c>
      <c r="I507" s="7" t="e">
        <f t="shared" si="127"/>
        <v>#REF!</v>
      </c>
      <c r="J507" s="7" t="e">
        <f t="shared" si="127"/>
        <v>#REF!</v>
      </c>
      <c r="K507" s="7" t="e">
        <f t="shared" si="127"/>
        <v>#REF!</v>
      </c>
      <c r="L507" s="7" t="e">
        <f t="shared" si="127"/>
        <v>#REF!</v>
      </c>
      <c r="M507" s="90" t="e">
        <f t="shared" si="127"/>
        <v>#REF!</v>
      </c>
      <c r="N507" s="90" t="e">
        <f t="shared" si="127"/>
        <v>#REF!</v>
      </c>
      <c r="O507" s="90" t="e">
        <f t="shared" si="127"/>
        <v>#REF!</v>
      </c>
      <c r="P507" s="90" t="e">
        <f t="shared" si="127"/>
        <v>#REF!</v>
      </c>
      <c r="Q507" s="90" t="e">
        <f t="shared" si="127"/>
        <v>#REF!</v>
      </c>
      <c r="R507" s="90">
        <f t="shared" ref="R507:X507" si="128">R93+R94+R475</f>
        <v>9968783.1377299987</v>
      </c>
      <c r="S507" s="90">
        <f t="shared" si="128"/>
        <v>762698.21699999995</v>
      </c>
      <c r="T507" s="90">
        <f t="shared" si="128"/>
        <v>1205350.1992200001</v>
      </c>
      <c r="U507" s="90">
        <f t="shared" si="128"/>
        <v>3500954.6956100003</v>
      </c>
      <c r="V507" s="90">
        <f t="shared" si="128"/>
        <v>4499780.0258999998</v>
      </c>
      <c r="W507" s="90">
        <f t="shared" si="128"/>
        <v>10027748.899999999</v>
      </c>
      <c r="X507" s="90">
        <f t="shared" si="128"/>
        <v>7693762.9000000004</v>
      </c>
      <c r="Y507" s="208"/>
      <c r="Z507" s="276"/>
      <c r="AA507" s="358">
        <f>W507-200000</f>
        <v>9827748.8999999985</v>
      </c>
      <c r="AL507" s="99">
        <f>R506-11254711</f>
        <v>445912.73772999831</v>
      </c>
    </row>
    <row r="508" spans="1:39" ht="36.75" customHeight="1">
      <c r="A508" s="416"/>
      <c r="B508" s="12" t="s">
        <v>427</v>
      </c>
      <c r="C508" s="12">
        <v>176</v>
      </c>
      <c r="D508" s="178" t="s">
        <v>554</v>
      </c>
      <c r="E508" s="178" t="s">
        <v>555</v>
      </c>
      <c r="F508" s="12" t="s">
        <v>490</v>
      </c>
      <c r="G508" s="12" t="s">
        <v>28</v>
      </c>
      <c r="H508" s="7"/>
      <c r="I508" s="7"/>
      <c r="J508" s="7"/>
      <c r="K508" s="7"/>
      <c r="L508" s="7"/>
      <c r="M508" s="90"/>
      <c r="N508" s="90"/>
      <c r="O508" s="90"/>
      <c r="P508" s="90"/>
      <c r="Q508" s="90"/>
      <c r="R508" s="113">
        <f t="shared" ref="R508:X508" si="129">R24+R476</f>
        <v>975000</v>
      </c>
      <c r="S508" s="113">
        <f t="shared" si="129"/>
        <v>0</v>
      </c>
      <c r="T508" s="113">
        <f t="shared" si="129"/>
        <v>44316.9</v>
      </c>
      <c r="U508" s="113">
        <f t="shared" si="129"/>
        <v>272841.09999999998</v>
      </c>
      <c r="V508" s="113">
        <f t="shared" si="129"/>
        <v>657842</v>
      </c>
      <c r="W508" s="113">
        <f t="shared" si="129"/>
        <v>1000000</v>
      </c>
      <c r="X508" s="113">
        <f t="shared" si="129"/>
        <v>0</v>
      </c>
      <c r="Y508" s="208"/>
      <c r="Z508" s="276">
        <f>SUM(R507:R510)</f>
        <v>11472053.037729999</v>
      </c>
      <c r="AA508" s="358">
        <f>X507-258000</f>
        <v>7435762.9000000004</v>
      </c>
      <c r="AL508" s="99">
        <f>AL507-AL506</f>
        <v>5178.9000000003725</v>
      </c>
    </row>
    <row r="509" spans="1:39" ht="33.75" customHeight="1">
      <c r="A509" s="416"/>
      <c r="B509" s="12" t="s">
        <v>669</v>
      </c>
      <c r="C509" s="12">
        <v>176</v>
      </c>
      <c r="D509" s="178" t="s">
        <v>554</v>
      </c>
      <c r="E509" s="178" t="s">
        <v>555</v>
      </c>
      <c r="F509" s="12" t="s">
        <v>490</v>
      </c>
      <c r="G509" s="12" t="s">
        <v>28</v>
      </c>
      <c r="H509" s="7" t="e">
        <f>H22+H116+H210</f>
        <v>#REF!</v>
      </c>
      <c r="I509" s="7" t="e">
        <f>I22+I116+I210</f>
        <v>#REF!</v>
      </c>
      <c r="J509" s="7" t="e">
        <f>J22+J116+J210</f>
        <v>#REF!</v>
      </c>
      <c r="K509" s="7" t="e">
        <f>K22+K116+K210</f>
        <v>#REF!</v>
      </c>
      <c r="L509" s="7" t="e">
        <f>L22+L116+L210</f>
        <v>#REF!</v>
      </c>
      <c r="M509" s="90">
        <f>M96</f>
        <v>625434.80000000005</v>
      </c>
      <c r="N509" s="90"/>
      <c r="O509" s="90"/>
      <c r="P509" s="90">
        <f t="shared" ref="P509:X509" si="130">P96</f>
        <v>129348.5</v>
      </c>
      <c r="Q509" s="90">
        <f t="shared" si="130"/>
        <v>496086.29999999993</v>
      </c>
      <c r="R509" s="113">
        <f t="shared" si="130"/>
        <v>128269.9</v>
      </c>
      <c r="S509" s="113">
        <f t="shared" si="130"/>
        <v>0</v>
      </c>
      <c r="T509" s="113">
        <f t="shared" si="130"/>
        <v>0</v>
      </c>
      <c r="U509" s="113">
        <f t="shared" si="130"/>
        <v>21805.9</v>
      </c>
      <c r="V509" s="113">
        <f t="shared" si="130"/>
        <v>106464</v>
      </c>
      <c r="W509" s="113">
        <f t="shared" si="130"/>
        <v>112790.03</v>
      </c>
      <c r="X509" s="113">
        <f t="shared" si="130"/>
        <v>117541.07</v>
      </c>
      <c r="Y509" s="208"/>
      <c r="Z509" s="62"/>
      <c r="AA509" s="277"/>
      <c r="AL509" s="99">
        <f>R511-143391.8</f>
        <v>5178.9000000000233</v>
      </c>
    </row>
    <row r="510" spans="1:39" ht="33" customHeight="1">
      <c r="A510" s="416"/>
      <c r="B510" s="12" t="s">
        <v>494</v>
      </c>
      <c r="C510" s="12">
        <v>176</v>
      </c>
      <c r="D510" s="178" t="s">
        <v>554</v>
      </c>
      <c r="E510" s="178" t="s">
        <v>555</v>
      </c>
      <c r="F510" s="12" t="s">
        <v>312</v>
      </c>
      <c r="G510" s="12" t="s">
        <v>28</v>
      </c>
      <c r="H510" s="7"/>
      <c r="I510" s="7"/>
      <c r="J510" s="7"/>
      <c r="K510" s="7"/>
      <c r="L510" s="7"/>
      <c r="M510" s="90"/>
      <c r="N510" s="90"/>
      <c r="O510" s="90"/>
      <c r="P510" s="90"/>
      <c r="Q510" s="90"/>
      <c r="R510" s="113">
        <f t="shared" ref="R510:X510" si="131">R97</f>
        <v>400000</v>
      </c>
      <c r="S510" s="113">
        <f t="shared" si="131"/>
        <v>0</v>
      </c>
      <c r="T510" s="113">
        <f t="shared" si="131"/>
        <v>0</v>
      </c>
      <c r="U510" s="113">
        <f t="shared" si="131"/>
        <v>0</v>
      </c>
      <c r="V510" s="113">
        <f t="shared" si="131"/>
        <v>400000</v>
      </c>
      <c r="W510" s="113">
        <f t="shared" si="131"/>
        <v>1789200</v>
      </c>
      <c r="X510" s="113">
        <f t="shared" si="131"/>
        <v>8358200</v>
      </c>
      <c r="Y510" s="208"/>
      <c r="Z510" s="269"/>
      <c r="AA510" s="277"/>
      <c r="AL510" s="99">
        <f>W507+W509</f>
        <v>10140538.929999998</v>
      </c>
    </row>
    <row r="511" spans="1:39" ht="34.5" customHeight="1">
      <c r="A511" s="416"/>
      <c r="B511" s="12" t="s">
        <v>11</v>
      </c>
      <c r="C511" s="12"/>
      <c r="D511" s="178"/>
      <c r="E511" s="12"/>
      <c r="F511" s="12"/>
      <c r="G511" s="12"/>
      <c r="H511" s="7">
        <f t="shared" ref="H511:X511" si="132">H477</f>
        <v>338311.1</v>
      </c>
      <c r="I511" s="7">
        <f t="shared" si="132"/>
        <v>23511.642</v>
      </c>
      <c r="J511" s="7">
        <f t="shared" si="132"/>
        <v>50374.6</v>
      </c>
      <c r="K511" s="7">
        <f t="shared" si="132"/>
        <v>50374.6</v>
      </c>
      <c r="L511" s="7">
        <f t="shared" si="132"/>
        <v>214050.258</v>
      </c>
      <c r="M511" s="90" t="e">
        <f t="shared" si="132"/>
        <v>#REF!</v>
      </c>
      <c r="N511" s="90" t="e">
        <f t="shared" si="132"/>
        <v>#REF!</v>
      </c>
      <c r="O511" s="90" t="e">
        <f t="shared" si="132"/>
        <v>#REF!</v>
      </c>
      <c r="P511" s="90" t="e">
        <f t="shared" si="132"/>
        <v>#REF!</v>
      </c>
      <c r="Q511" s="90" t="e">
        <f t="shared" si="132"/>
        <v>#REF!</v>
      </c>
      <c r="R511" s="113">
        <f t="shared" si="132"/>
        <v>148570.70000000001</v>
      </c>
      <c r="S511" s="113">
        <f t="shared" si="132"/>
        <v>7889.3342105263164</v>
      </c>
      <c r="T511" s="113">
        <f t="shared" si="132"/>
        <v>15778.668421052633</v>
      </c>
      <c r="U511" s="113">
        <f t="shared" si="132"/>
        <v>23597.334210526318</v>
      </c>
      <c r="V511" s="113">
        <f t="shared" si="132"/>
        <v>101305.38947368422</v>
      </c>
      <c r="W511" s="113">
        <f t="shared" si="132"/>
        <v>120569.09999999998</v>
      </c>
      <c r="X511" s="113">
        <f t="shared" si="132"/>
        <v>90526.31578947368</v>
      </c>
      <c r="Y511" s="208"/>
      <c r="Z511" s="62"/>
      <c r="AA511" s="278"/>
    </row>
    <row r="512" spans="1:39" ht="39" customHeight="1">
      <c r="A512" s="417"/>
      <c r="B512" s="12" t="s">
        <v>484</v>
      </c>
      <c r="C512" s="12"/>
      <c r="D512" s="178"/>
      <c r="E512" s="12"/>
      <c r="F512" s="12"/>
      <c r="G512" s="12"/>
      <c r="H512" s="7">
        <f>H26+H99</f>
        <v>0</v>
      </c>
      <c r="I512" s="7">
        <f>I26+I99</f>
        <v>0</v>
      </c>
      <c r="J512" s="7">
        <f>J26+J99</f>
        <v>0</v>
      </c>
      <c r="K512" s="7">
        <f>K26+K99</f>
        <v>0</v>
      </c>
      <c r="L512" s="7">
        <f>L26+L99</f>
        <v>0</v>
      </c>
      <c r="M512" s="90"/>
      <c r="N512" s="90"/>
      <c r="O512" s="90"/>
      <c r="P512" s="90"/>
      <c r="Q512" s="90"/>
      <c r="R512" s="113">
        <f>R77</f>
        <v>80000</v>
      </c>
      <c r="S512" s="113">
        <f t="shared" ref="S512:X512" si="133">S77</f>
        <v>0</v>
      </c>
      <c r="T512" s="113">
        <f t="shared" si="133"/>
        <v>0</v>
      </c>
      <c r="U512" s="113">
        <f t="shared" si="133"/>
        <v>0</v>
      </c>
      <c r="V512" s="113">
        <f t="shared" si="133"/>
        <v>80000</v>
      </c>
      <c r="W512" s="113">
        <f t="shared" si="133"/>
        <v>565660</v>
      </c>
      <c r="X512" s="113">
        <f t="shared" si="133"/>
        <v>2642470</v>
      </c>
      <c r="Y512" s="62"/>
      <c r="Z512" s="62"/>
      <c r="AA512" s="278"/>
    </row>
    <row r="513" spans="1:26">
      <c r="H513" s="48"/>
      <c r="I513" s="46"/>
      <c r="J513" s="46"/>
      <c r="K513" s="46"/>
      <c r="L513" s="46"/>
      <c r="M513" s="48"/>
      <c r="N513" s="48"/>
      <c r="O513" s="48"/>
      <c r="P513" s="48"/>
      <c r="Q513" s="48"/>
      <c r="R513" s="125"/>
      <c r="S513" s="125"/>
      <c r="T513" s="125"/>
      <c r="U513" s="125"/>
      <c r="V513" s="125"/>
      <c r="W513" s="46"/>
      <c r="X513" s="46"/>
    </row>
    <row r="514" spans="1:26" ht="33.75" customHeight="1">
      <c r="A514" s="438" t="s">
        <v>670</v>
      </c>
      <c r="B514" s="438"/>
      <c r="C514" s="438"/>
      <c r="D514" s="438"/>
      <c r="E514" s="438"/>
      <c r="F514" s="438"/>
      <c r="G514" s="438"/>
      <c r="H514" s="438"/>
      <c r="I514" s="438"/>
      <c r="J514" s="438"/>
      <c r="K514" s="438"/>
      <c r="L514" s="438"/>
      <c r="M514" s="438"/>
      <c r="N514" s="438"/>
      <c r="O514" s="438"/>
      <c r="P514" s="438"/>
      <c r="Q514" s="438"/>
      <c r="R514" s="438"/>
      <c r="S514" s="438"/>
      <c r="T514" s="438"/>
      <c r="U514" s="438"/>
      <c r="V514" s="438"/>
      <c r="W514" s="438"/>
      <c r="X514" s="438"/>
      <c r="Y514" s="438"/>
      <c r="Z514" s="438"/>
    </row>
    <row r="515" spans="1:26" ht="90" customHeight="1">
      <c r="A515" s="433" t="s">
        <v>671</v>
      </c>
      <c r="B515" s="433"/>
      <c r="C515" s="433"/>
      <c r="D515" s="433"/>
      <c r="E515" s="433"/>
      <c r="F515" s="433"/>
      <c r="G515" s="433"/>
      <c r="H515" s="433"/>
      <c r="I515" s="433"/>
      <c r="J515" s="433"/>
      <c r="K515" s="433"/>
      <c r="L515" s="433"/>
      <c r="M515" s="433"/>
      <c r="N515" s="433"/>
      <c r="O515" s="433"/>
      <c r="P515" s="433"/>
      <c r="Q515" s="433"/>
      <c r="R515" s="433"/>
      <c r="S515" s="433"/>
      <c r="T515" s="433"/>
      <c r="U515" s="433"/>
      <c r="V515" s="433"/>
      <c r="W515" s="433"/>
      <c r="X515" s="433"/>
      <c r="Y515" s="433"/>
      <c r="Z515" s="433"/>
    </row>
    <row r="516" spans="1:26" ht="43.5" customHeight="1">
      <c r="A516" s="433" t="s">
        <v>672</v>
      </c>
      <c r="B516" s="433"/>
      <c r="C516" s="433"/>
      <c r="D516" s="433"/>
      <c r="E516" s="433"/>
      <c r="F516" s="433"/>
      <c r="G516" s="433"/>
      <c r="H516" s="433"/>
      <c r="I516" s="433"/>
      <c r="J516" s="433"/>
      <c r="K516" s="433"/>
      <c r="L516" s="433"/>
      <c r="M516" s="433"/>
      <c r="N516" s="433"/>
      <c r="O516" s="433"/>
      <c r="P516" s="433"/>
      <c r="Q516" s="433"/>
      <c r="R516" s="433"/>
      <c r="S516" s="433"/>
      <c r="T516" s="433"/>
      <c r="U516" s="433"/>
      <c r="V516" s="433"/>
      <c r="W516" s="433"/>
      <c r="X516" s="433"/>
      <c r="Y516" s="433"/>
      <c r="Z516" s="433"/>
    </row>
    <row r="517" spans="1:26" s="102" customFormat="1" ht="32.25" customHeight="1">
      <c r="A517" s="438" t="s">
        <v>673</v>
      </c>
      <c r="B517" s="438"/>
      <c r="C517" s="438"/>
      <c r="D517" s="438"/>
      <c r="E517" s="438"/>
      <c r="F517" s="438"/>
      <c r="G517" s="438"/>
      <c r="H517" s="438"/>
      <c r="I517" s="438"/>
      <c r="J517" s="438"/>
      <c r="K517" s="438"/>
      <c r="L517" s="438"/>
      <c r="M517" s="438"/>
      <c r="N517" s="438"/>
      <c r="O517" s="438"/>
      <c r="P517" s="438"/>
      <c r="Q517" s="438"/>
      <c r="R517" s="438"/>
      <c r="S517" s="438"/>
      <c r="T517" s="438"/>
      <c r="U517" s="438"/>
      <c r="V517" s="438"/>
      <c r="W517" s="438"/>
      <c r="X517" s="438"/>
      <c r="Y517" s="438"/>
      <c r="Z517" s="438"/>
    </row>
    <row r="518" spans="1:26" s="102" customFormat="1" ht="29.25" customHeight="1">
      <c r="A518" s="438" t="s">
        <v>430</v>
      </c>
      <c r="B518" s="438"/>
      <c r="C518" s="438"/>
      <c r="D518" s="438"/>
      <c r="E518" s="438"/>
      <c r="F518" s="438"/>
      <c r="G518" s="438"/>
      <c r="H518" s="438"/>
      <c r="I518" s="438"/>
      <c r="J518" s="438"/>
      <c r="K518" s="438"/>
      <c r="L518" s="438"/>
      <c r="M518" s="438"/>
      <c r="N518" s="438"/>
      <c r="O518" s="438"/>
      <c r="P518" s="438"/>
      <c r="Q518" s="438"/>
      <c r="R518" s="438"/>
      <c r="S518" s="438"/>
      <c r="T518" s="438"/>
      <c r="U518" s="438"/>
      <c r="V518" s="438"/>
      <c r="W518" s="438"/>
      <c r="X518" s="438"/>
      <c r="Y518" s="438"/>
      <c r="Z518" s="438"/>
    </row>
    <row r="519" spans="1:26" s="102" customFormat="1" ht="34.5" customHeight="1">
      <c r="A519" s="438" t="s">
        <v>674</v>
      </c>
      <c r="B519" s="438"/>
      <c r="C519" s="438"/>
      <c r="D519" s="438"/>
      <c r="E519" s="438"/>
      <c r="F519" s="438"/>
      <c r="G519" s="438"/>
      <c r="H519" s="438"/>
      <c r="I519" s="438"/>
      <c r="J519" s="438"/>
      <c r="K519" s="438"/>
      <c r="L519" s="438"/>
      <c r="M519" s="438"/>
      <c r="N519" s="438"/>
      <c r="O519" s="438"/>
      <c r="P519" s="438"/>
      <c r="Q519" s="438"/>
      <c r="R519" s="438"/>
      <c r="S519" s="438"/>
      <c r="T519" s="438"/>
      <c r="U519" s="438"/>
      <c r="V519" s="438"/>
      <c r="W519" s="438"/>
      <c r="X519" s="438"/>
      <c r="Y519" s="438"/>
      <c r="Z519" s="331"/>
    </row>
    <row r="520" spans="1:26" ht="146.44999999999999" customHeight="1">
      <c r="A520" s="433" t="s">
        <v>515</v>
      </c>
      <c r="B520" s="433"/>
      <c r="C520" s="433"/>
      <c r="D520" s="433"/>
      <c r="E520" s="433"/>
      <c r="F520" s="433"/>
      <c r="G520" s="433"/>
      <c r="H520" s="433"/>
      <c r="I520" s="433"/>
      <c r="J520" s="433"/>
      <c r="K520" s="433"/>
      <c r="L520" s="433"/>
      <c r="M520" s="433"/>
      <c r="N520" s="433"/>
      <c r="O520" s="433"/>
      <c r="P520" s="433"/>
      <c r="Q520" s="433"/>
      <c r="R520" s="433"/>
      <c r="S520" s="433"/>
      <c r="T520" s="433"/>
      <c r="U520" s="433"/>
      <c r="V520" s="433"/>
      <c r="W520" s="433"/>
      <c r="X520" s="433"/>
      <c r="Y520" s="433"/>
      <c r="Z520" s="433"/>
    </row>
    <row r="521" spans="1:26" hidden="1">
      <c r="A521" s="297"/>
      <c r="B521" s="332"/>
      <c r="C521" s="297"/>
      <c r="D521" s="297"/>
      <c r="E521" s="297"/>
      <c r="F521" s="297"/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333"/>
      <c r="S521" s="333"/>
      <c r="T521" s="333"/>
      <c r="U521" s="333"/>
      <c r="V521" s="333"/>
      <c r="W521" s="297"/>
      <c r="X521" s="297"/>
      <c r="Y521" s="297"/>
      <c r="Z521" s="297"/>
    </row>
    <row r="522" spans="1:26" ht="7.15" customHeight="1">
      <c r="A522" s="297"/>
      <c r="B522" s="332"/>
      <c r="C522" s="297"/>
      <c r="D522" s="297"/>
      <c r="E522" s="297"/>
      <c r="F522" s="297"/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333"/>
      <c r="S522" s="333"/>
      <c r="T522" s="333"/>
      <c r="U522" s="333"/>
      <c r="V522" s="333"/>
      <c r="W522" s="297"/>
      <c r="X522" s="297"/>
      <c r="Y522" s="297"/>
      <c r="Z522" s="297"/>
    </row>
    <row r="523" spans="1:26">
      <c r="A523" s="297"/>
      <c r="B523" s="332"/>
      <c r="C523" s="297"/>
      <c r="D523" s="297"/>
      <c r="E523" s="297"/>
      <c r="F523" s="297"/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333"/>
      <c r="S523" s="333"/>
      <c r="T523" s="333"/>
      <c r="U523" s="333"/>
      <c r="V523" s="333"/>
      <c r="W523" s="297"/>
      <c r="X523" s="297"/>
      <c r="Y523" s="297"/>
      <c r="Z523" s="297"/>
    </row>
  </sheetData>
  <mergeCells count="146">
    <mergeCell ref="Y367:Y374"/>
    <mergeCell ref="A408:A409"/>
    <mergeCell ref="A406:A407"/>
    <mergeCell ref="A396:A397"/>
    <mergeCell ref="A394:A395"/>
    <mergeCell ref="Z292:Z299"/>
    <mergeCell ref="A275:A282"/>
    <mergeCell ref="A283:A291"/>
    <mergeCell ref="A308:A314"/>
    <mergeCell ref="Z315:Z321"/>
    <mergeCell ref="A330:A333"/>
    <mergeCell ref="A315:A321"/>
    <mergeCell ref="A367:A374"/>
    <mergeCell ref="Z375:Z464"/>
    <mergeCell ref="Y315:Y321"/>
    <mergeCell ref="Z322:Z329"/>
    <mergeCell ref="Z330:Z364"/>
    <mergeCell ref="Z300:Z307"/>
    <mergeCell ref="Z308:Z314"/>
    <mergeCell ref="Z275:Z282"/>
    <mergeCell ref="Z283:Z291"/>
    <mergeCell ref="Y308:Y314"/>
    <mergeCell ref="A418:A419"/>
    <mergeCell ref="A434:A435"/>
    <mergeCell ref="H8:H10"/>
    <mergeCell ref="A517:Z517"/>
    <mergeCell ref="X8:X10"/>
    <mergeCell ref="A448:A451"/>
    <mergeCell ref="A456:A459"/>
    <mergeCell ref="A375:A382"/>
    <mergeCell ref="A412:A413"/>
    <mergeCell ref="A410:A411"/>
    <mergeCell ref="M8:M10"/>
    <mergeCell ref="N8:Q9"/>
    <mergeCell ref="Y8:Y10"/>
    <mergeCell ref="S8:V9"/>
    <mergeCell ref="A102:A109"/>
    <mergeCell ref="A111:A118"/>
    <mergeCell ref="Y375:Y382"/>
    <mergeCell ref="Y275:Y291"/>
    <mergeCell ref="Y322:Y329"/>
    <mergeCell ref="A460:A464"/>
    <mergeCell ref="A322:A323"/>
    <mergeCell ref="A444:A447"/>
    <mergeCell ref="Y205:Y212"/>
    <mergeCell ref="Y111:Y113"/>
    <mergeCell ref="Z367:Z374"/>
    <mergeCell ref="A452:A455"/>
    <mergeCell ref="A520:Z520"/>
    <mergeCell ref="A491:A498"/>
    <mergeCell ref="Z491:Z498"/>
    <mergeCell ref="A500:A505"/>
    <mergeCell ref="A506:A512"/>
    <mergeCell ref="A515:Z515"/>
    <mergeCell ref="A516:Z516"/>
    <mergeCell ref="A465:A466"/>
    <mergeCell ref="Y465:Y466"/>
    <mergeCell ref="Z465:Z472"/>
    <mergeCell ref="A480:Z480"/>
    <mergeCell ref="A482:A489"/>
    <mergeCell ref="A514:Z514"/>
    <mergeCell ref="A519:Y519"/>
    <mergeCell ref="A518:Z518"/>
    <mergeCell ref="Z482:Z489"/>
    <mergeCell ref="A473:A475"/>
    <mergeCell ref="W1:Z1"/>
    <mergeCell ref="A300:A304"/>
    <mergeCell ref="Y300:Y304"/>
    <mergeCell ref="A259:A263"/>
    <mergeCell ref="Y259:Y263"/>
    <mergeCell ref="Z259:Z266"/>
    <mergeCell ref="A267:A268"/>
    <mergeCell ref="Y267:Y274"/>
    <mergeCell ref="Z267:Z274"/>
    <mergeCell ref="Z205:Z212"/>
    <mergeCell ref="Y155:Y159"/>
    <mergeCell ref="Z102:Z108"/>
    <mergeCell ref="Y102:Y106"/>
    <mergeCell ref="A3:Z3"/>
    <mergeCell ref="A4:Z4"/>
    <mergeCell ref="A5:Z5"/>
    <mergeCell ref="A6:Z6"/>
    <mergeCell ref="A8:A10"/>
    <mergeCell ref="B8:B10"/>
    <mergeCell ref="C8:G9"/>
    <mergeCell ref="I8:L9"/>
    <mergeCell ref="R8:R10"/>
    <mergeCell ref="Z8:Z10"/>
    <mergeCell ref="W8:W10"/>
    <mergeCell ref="A193:A195"/>
    <mergeCell ref="A442:A443"/>
    <mergeCell ref="A414:A415"/>
    <mergeCell ref="A404:A405"/>
    <mergeCell ref="A392:A393"/>
    <mergeCell ref="A432:A433"/>
    <mergeCell ref="A430:A431"/>
    <mergeCell ref="A428:A429"/>
    <mergeCell ref="A426:A427"/>
    <mergeCell ref="A424:A425"/>
    <mergeCell ref="A422:A423"/>
    <mergeCell ref="A420:A421"/>
    <mergeCell ref="A438:A439"/>
    <mergeCell ref="A436:A437"/>
    <mergeCell ref="A388:A389"/>
    <mergeCell ref="A386:A387"/>
    <mergeCell ref="A384:A385"/>
    <mergeCell ref="A402:A403"/>
    <mergeCell ref="A400:A401"/>
    <mergeCell ref="A440:A441"/>
    <mergeCell ref="A398:A399"/>
    <mergeCell ref="A416:A417"/>
    <mergeCell ref="A213:A217"/>
    <mergeCell ref="A12:Z12"/>
    <mergeCell ref="A13:Z13"/>
    <mergeCell ref="A37:A39"/>
    <mergeCell ref="A14:Z14"/>
    <mergeCell ref="A53:A56"/>
    <mergeCell ref="A63:A65"/>
    <mergeCell ref="A16:A26"/>
    <mergeCell ref="Y16:Y26"/>
    <mergeCell ref="A33:A36"/>
    <mergeCell ref="Z16:Z70"/>
    <mergeCell ref="Y292:Y299"/>
    <mergeCell ref="Y71:Y84"/>
    <mergeCell ref="A71:A77"/>
    <mergeCell ref="A252:A258"/>
    <mergeCell ref="Y252:Y258"/>
    <mergeCell ref="Z252:Z258"/>
    <mergeCell ref="A292:A299"/>
    <mergeCell ref="Z213:Z247"/>
    <mergeCell ref="Z155:Z202"/>
    <mergeCell ref="Z111:Z153"/>
    <mergeCell ref="Z71:Z77"/>
    <mergeCell ref="A101:Z101"/>
    <mergeCell ref="A155:A157"/>
    <mergeCell ref="A176:A178"/>
    <mergeCell ref="A92:A99"/>
    <mergeCell ref="Y85:Y88"/>
    <mergeCell ref="A78:A84"/>
    <mergeCell ref="A85:A91"/>
    <mergeCell ref="Z78:Z84"/>
    <mergeCell ref="Z85:Z91"/>
    <mergeCell ref="A205:A208"/>
    <mergeCell ref="A173:A175"/>
    <mergeCell ref="A138:A140"/>
    <mergeCell ref="A186:A188"/>
  </mergeCells>
  <printOptions horizontalCentered="1"/>
  <pageMargins left="0" right="0.39370078740157483" top="0.19685039370078741" bottom="0" header="0.31496062992125984" footer="0.31496062992125984"/>
  <pageSetup paperSize="9" scale="59" fitToHeight="20" orientation="landscape" r:id="rId1"/>
  <headerFooter differentFirst="1">
    <oddHeader>Страница 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936"/>
  <sheetViews>
    <sheetView showZeros="0" zoomScaleNormal="100" zoomScaleSheetLayoutView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B1" sqref="AB1:AI1048576"/>
    </sheetView>
  </sheetViews>
  <sheetFormatPr defaultColWidth="8.85546875" defaultRowHeight="15"/>
  <cols>
    <col min="1" max="1" width="35" style="102" customWidth="1"/>
    <col min="2" max="2" width="21.85546875" style="173" customWidth="1"/>
    <col min="3" max="4" width="8.85546875" style="102" hidden="1" customWidth="1"/>
    <col min="5" max="5" width="9.7109375" style="102" hidden="1" customWidth="1"/>
    <col min="6" max="6" width="8.85546875" style="102" hidden="1" customWidth="1"/>
    <col min="7" max="7" width="13.5703125" style="102" hidden="1" customWidth="1"/>
    <col min="8" max="8" width="12.42578125" style="102" hidden="1" customWidth="1"/>
    <col min="9" max="9" width="12.5703125" style="102" hidden="1" customWidth="1"/>
    <col min="10" max="10" width="12.28515625" style="102" hidden="1" customWidth="1"/>
    <col min="11" max="11" width="12.42578125" style="102" hidden="1" customWidth="1"/>
    <col min="12" max="12" width="0.28515625" style="37" hidden="1" customWidth="1"/>
    <col min="13" max="16" width="15.5703125" style="37" hidden="1" customWidth="1"/>
    <col min="17" max="17" width="12.85546875" style="37" customWidth="1"/>
    <col min="18" max="18" width="11.7109375" style="241" customWidth="1"/>
    <col min="19" max="19" width="11.28515625" style="241" customWidth="1"/>
    <col min="20" max="20" width="10.5703125" style="241" customWidth="1"/>
    <col min="21" max="21" width="11" style="241" customWidth="1"/>
    <col min="22" max="22" width="12.5703125" style="37" customWidth="1"/>
    <col min="23" max="23" width="13" style="37" customWidth="1"/>
    <col min="24" max="24" width="15.42578125" style="37" customWidth="1"/>
    <col min="25" max="25" width="25.5703125" style="37" customWidth="1"/>
    <col min="26" max="26" width="11.42578125" style="54" customWidth="1"/>
    <col min="27" max="27" width="0.28515625" style="54" customWidth="1"/>
    <col min="28" max="28" width="11.85546875" style="54" hidden="1" customWidth="1"/>
    <col min="29" max="29" width="10.85546875" style="54" hidden="1" customWidth="1"/>
    <col min="30" max="30" width="15.140625" style="54" hidden="1" customWidth="1"/>
    <col min="31" max="31" width="12.140625" style="54" hidden="1" customWidth="1"/>
    <col min="32" max="32" width="12.28515625" style="54" hidden="1" customWidth="1"/>
    <col min="33" max="33" width="14.85546875" style="54" hidden="1" customWidth="1"/>
    <col min="34" max="34" width="12.85546875" style="54" hidden="1" customWidth="1"/>
    <col min="35" max="35" width="11.42578125" style="54" hidden="1" customWidth="1"/>
    <col min="36" max="45" width="8.85546875" style="54"/>
    <col min="46" max="71" width="8.85546875" style="249"/>
    <col min="72" max="16384" width="8.85546875" style="54"/>
  </cols>
  <sheetData>
    <row r="1" spans="1:35" ht="12.6" customHeight="1"/>
    <row r="2" spans="1:35" ht="26.45" customHeight="1">
      <c r="X2" s="260" t="s">
        <v>524</v>
      </c>
      <c r="Y2" s="127"/>
    </row>
    <row r="3" spans="1:35" ht="21" customHeight="1">
      <c r="A3" s="523" t="s">
        <v>211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  <c r="W3" s="523"/>
      <c r="X3" s="523"/>
      <c r="Y3" s="523"/>
    </row>
    <row r="4" spans="1:35" ht="43.9" customHeight="1">
      <c r="A4" s="523" t="s">
        <v>212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W4" s="523"/>
      <c r="X4" s="523"/>
      <c r="Y4" s="523"/>
    </row>
    <row r="5" spans="1:35" ht="3" customHeight="1">
      <c r="A5" s="103"/>
    </row>
    <row r="6" spans="1:35" ht="21" customHeight="1">
      <c r="A6" s="490" t="s">
        <v>0</v>
      </c>
      <c r="B6" s="490" t="s">
        <v>1</v>
      </c>
      <c r="C6" s="490" t="s">
        <v>147</v>
      </c>
      <c r="D6" s="490"/>
      <c r="E6" s="490"/>
      <c r="F6" s="490"/>
      <c r="G6" s="490" t="s">
        <v>213</v>
      </c>
      <c r="H6" s="490" t="s">
        <v>149</v>
      </c>
      <c r="I6" s="490"/>
      <c r="J6" s="490"/>
      <c r="K6" s="490"/>
      <c r="L6" s="453" t="s">
        <v>8</v>
      </c>
      <c r="M6" s="520" t="s">
        <v>315</v>
      </c>
      <c r="N6" s="521"/>
      <c r="O6" s="521"/>
      <c r="P6" s="522"/>
      <c r="Q6" s="453" t="s">
        <v>273</v>
      </c>
      <c r="R6" s="520" t="s">
        <v>497</v>
      </c>
      <c r="S6" s="521"/>
      <c r="T6" s="521"/>
      <c r="U6" s="522"/>
      <c r="V6" s="453" t="s">
        <v>346</v>
      </c>
      <c r="W6" s="494" t="s">
        <v>498</v>
      </c>
      <c r="X6" s="453" t="s">
        <v>2</v>
      </c>
      <c r="Y6" s="453" t="s">
        <v>3</v>
      </c>
    </row>
    <row r="7" spans="1:35" ht="20.45" customHeight="1">
      <c r="A7" s="490"/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53"/>
      <c r="M7" s="167" t="s">
        <v>150</v>
      </c>
      <c r="N7" s="167" t="s">
        <v>151</v>
      </c>
      <c r="O7" s="167" t="s">
        <v>152</v>
      </c>
      <c r="P7" s="167" t="s">
        <v>153</v>
      </c>
      <c r="Q7" s="453"/>
      <c r="R7" s="237" t="s">
        <v>150</v>
      </c>
      <c r="S7" s="237" t="s">
        <v>151</v>
      </c>
      <c r="T7" s="237" t="s">
        <v>152</v>
      </c>
      <c r="U7" s="237" t="s">
        <v>153</v>
      </c>
      <c r="V7" s="453"/>
      <c r="W7" s="496"/>
      <c r="X7" s="453"/>
      <c r="Y7" s="453"/>
    </row>
    <row r="8" spans="1:35" ht="4.9000000000000004" hidden="1" customHeight="1">
      <c r="A8" s="490"/>
      <c r="B8" s="490"/>
      <c r="C8" s="177" t="s">
        <v>4</v>
      </c>
      <c r="D8" s="177" t="s">
        <v>5</v>
      </c>
      <c r="E8" s="177" t="s">
        <v>6</v>
      </c>
      <c r="F8" s="177" t="s">
        <v>7</v>
      </c>
      <c r="G8" s="490"/>
      <c r="H8" s="177" t="s">
        <v>150</v>
      </c>
      <c r="I8" s="177" t="s">
        <v>151</v>
      </c>
      <c r="J8" s="177" t="s">
        <v>152</v>
      </c>
      <c r="K8" s="177" t="s">
        <v>153</v>
      </c>
      <c r="L8" s="453"/>
      <c r="M8" s="167" t="s">
        <v>150</v>
      </c>
      <c r="N8" s="167" t="s">
        <v>151</v>
      </c>
      <c r="O8" s="167" t="s">
        <v>152</v>
      </c>
      <c r="P8" s="167" t="s">
        <v>153</v>
      </c>
      <c r="Q8" s="453"/>
      <c r="R8" s="237"/>
      <c r="S8" s="237"/>
      <c r="T8" s="237"/>
      <c r="U8" s="237"/>
      <c r="V8" s="453"/>
      <c r="W8" s="167"/>
      <c r="X8" s="453"/>
      <c r="Y8" s="453"/>
    </row>
    <row r="9" spans="1:35">
      <c r="A9" s="177">
        <v>1</v>
      </c>
      <c r="B9" s="177">
        <v>2</v>
      </c>
      <c r="C9" s="177">
        <v>3</v>
      </c>
      <c r="D9" s="177">
        <v>4</v>
      </c>
      <c r="E9" s="177">
        <v>5</v>
      </c>
      <c r="F9" s="177">
        <v>6</v>
      </c>
      <c r="G9" s="177">
        <v>3</v>
      </c>
      <c r="H9" s="177">
        <v>4</v>
      </c>
      <c r="I9" s="177">
        <v>5</v>
      </c>
      <c r="J9" s="177">
        <v>6</v>
      </c>
      <c r="K9" s="177">
        <v>7</v>
      </c>
      <c r="L9" s="167">
        <v>3</v>
      </c>
      <c r="M9" s="167">
        <v>4</v>
      </c>
      <c r="N9" s="167">
        <v>5</v>
      </c>
      <c r="O9" s="167">
        <v>6</v>
      </c>
      <c r="P9" s="167">
        <v>7</v>
      </c>
      <c r="Q9" s="167">
        <v>3</v>
      </c>
      <c r="R9" s="237">
        <v>4</v>
      </c>
      <c r="S9" s="237">
        <v>5</v>
      </c>
      <c r="T9" s="237">
        <v>6</v>
      </c>
      <c r="U9" s="237">
        <v>7</v>
      </c>
      <c r="V9" s="237">
        <v>8</v>
      </c>
      <c r="W9" s="237">
        <v>9</v>
      </c>
      <c r="X9" s="237">
        <v>10</v>
      </c>
      <c r="Y9" s="338">
        <v>11</v>
      </c>
      <c r="AA9" s="471">
        <v>2018</v>
      </c>
      <c r="AB9" s="471"/>
      <c r="AC9" s="471"/>
      <c r="AD9" s="471">
        <v>2019</v>
      </c>
      <c r="AE9" s="471"/>
      <c r="AF9" s="471"/>
      <c r="AG9" s="471">
        <v>2020</v>
      </c>
      <c r="AH9" s="471"/>
      <c r="AI9" s="471"/>
    </row>
    <row r="10" spans="1:35" ht="136.15" hidden="1" customHeight="1">
      <c r="A10" s="174" t="s">
        <v>12</v>
      </c>
      <c r="B10" s="177"/>
      <c r="C10" s="177">
        <v>176</v>
      </c>
      <c r="D10" s="177" t="s">
        <v>15</v>
      </c>
      <c r="E10" s="177" t="s">
        <v>16</v>
      </c>
      <c r="F10" s="177" t="s">
        <v>28</v>
      </c>
      <c r="G10" s="177"/>
      <c r="H10" s="177"/>
      <c r="I10" s="177"/>
      <c r="J10" s="177"/>
      <c r="K10" s="177"/>
      <c r="L10" s="167"/>
      <c r="M10" s="167"/>
      <c r="N10" s="167"/>
      <c r="O10" s="167"/>
      <c r="P10" s="167"/>
      <c r="Q10" s="167"/>
      <c r="R10" s="237"/>
      <c r="S10" s="237"/>
      <c r="T10" s="237"/>
      <c r="U10" s="237"/>
      <c r="V10" s="167"/>
      <c r="W10" s="167"/>
      <c r="X10" s="167"/>
      <c r="Y10" s="338"/>
      <c r="AA10" s="71"/>
      <c r="AB10" s="71"/>
      <c r="AC10" s="71"/>
      <c r="AD10" s="71"/>
      <c r="AE10" s="71"/>
      <c r="AF10" s="71"/>
      <c r="AG10" s="71"/>
      <c r="AH10" s="71"/>
      <c r="AI10" s="71"/>
    </row>
    <row r="11" spans="1:35" ht="27" customHeight="1">
      <c r="A11" s="461" t="s">
        <v>659</v>
      </c>
      <c r="B11" s="82" t="s">
        <v>89</v>
      </c>
      <c r="C11" s="82"/>
      <c r="D11" s="82"/>
      <c r="E11" s="82"/>
      <c r="F11" s="82"/>
      <c r="G11" s="83" t="e">
        <f>K11</f>
        <v>#REF!</v>
      </c>
      <c r="H11" s="83"/>
      <c r="I11" s="83"/>
      <c r="J11" s="83"/>
      <c r="K11" s="83" t="e">
        <f t="shared" ref="K11:P11" si="0">K22+K38+K46+K52+K87+K103+K131+K139+K158+K170+K190+K201+K223+K234+K246+K254+K315+K327+K335+K351+K363+K371+K379+K391+K407</f>
        <v>#REF!</v>
      </c>
      <c r="L11" s="130">
        <f t="shared" si="0"/>
        <v>44.215000000000011</v>
      </c>
      <c r="M11" s="130">
        <f t="shared" si="0"/>
        <v>0</v>
      </c>
      <c r="N11" s="130">
        <f t="shared" si="0"/>
        <v>2.85</v>
      </c>
      <c r="O11" s="130">
        <f t="shared" si="0"/>
        <v>3.3380000000000001</v>
      </c>
      <c r="P11" s="130">
        <f t="shared" si="0"/>
        <v>38.017000000000003</v>
      </c>
      <c r="Q11" s="130">
        <f>Q38+Q52+Q158++Q254+Q335+Q351</f>
        <v>18.134</v>
      </c>
      <c r="R11" s="130">
        <f t="shared" ref="R11:U11" si="1">R38+R52+R158++R254+R335+R351</f>
        <v>0</v>
      </c>
      <c r="S11" s="130">
        <f t="shared" si="1"/>
        <v>0</v>
      </c>
      <c r="T11" s="130">
        <f t="shared" si="1"/>
        <v>0.7</v>
      </c>
      <c r="U11" s="130">
        <f t="shared" si="1"/>
        <v>17.434000000000001</v>
      </c>
      <c r="V11" s="130">
        <f>V22+V38+V103+V147+V158+V254</f>
        <v>23.67</v>
      </c>
      <c r="W11" s="130">
        <f t="shared" ref="W11" si="2">W38+W52+W103+W139+W201+W234+W246+W254+W335</f>
        <v>21.6</v>
      </c>
      <c r="X11" s="377" t="s">
        <v>26</v>
      </c>
      <c r="Y11" s="453" t="s">
        <v>656</v>
      </c>
      <c r="AA11" s="71"/>
      <c r="AB11" s="70" t="s">
        <v>321</v>
      </c>
      <c r="AC11" s="70" t="s">
        <v>322</v>
      </c>
      <c r="AD11" s="71"/>
      <c r="AE11" s="70" t="s">
        <v>321</v>
      </c>
      <c r="AF11" s="70" t="s">
        <v>322</v>
      </c>
      <c r="AG11" s="71"/>
      <c r="AH11" s="70" t="s">
        <v>321</v>
      </c>
      <c r="AI11" s="70" t="s">
        <v>322</v>
      </c>
    </row>
    <row r="12" spans="1:35" ht="27" customHeight="1">
      <c r="A12" s="461"/>
      <c r="B12" s="82" t="s">
        <v>24</v>
      </c>
      <c r="C12" s="82"/>
      <c r="D12" s="82"/>
      <c r="E12" s="82"/>
      <c r="F12" s="82"/>
      <c r="G12" s="80" t="e">
        <f>G13/G11</f>
        <v>#REF!</v>
      </c>
      <c r="H12" s="80"/>
      <c r="I12" s="80"/>
      <c r="J12" s="80"/>
      <c r="K12" s="80" t="e">
        <f>G12</f>
        <v>#REF!</v>
      </c>
      <c r="L12" s="131">
        <f>L13/L11</f>
        <v>29893.618002940173</v>
      </c>
      <c r="M12" s="131"/>
      <c r="N12" s="131"/>
      <c r="O12" s="131"/>
      <c r="P12" s="131"/>
      <c r="Q12" s="131">
        <f>Q13/Q11</f>
        <v>101574.62777103782</v>
      </c>
      <c r="R12" s="131"/>
      <c r="S12" s="131"/>
      <c r="T12" s="131"/>
      <c r="U12" s="131"/>
      <c r="V12" s="131">
        <f t="shared" ref="V12:W12" si="3">V13/V11</f>
        <v>85344.289395859741</v>
      </c>
      <c r="W12" s="131">
        <f t="shared" si="3"/>
        <v>63620.906018518515</v>
      </c>
      <c r="X12" s="188"/>
      <c r="Y12" s="453"/>
      <c r="AA12" s="71"/>
      <c r="AB12" s="72"/>
      <c r="AC12" s="72"/>
      <c r="AD12" s="73"/>
      <c r="AE12" s="72"/>
      <c r="AF12" s="72"/>
      <c r="AG12" s="73"/>
      <c r="AH12" s="72"/>
      <c r="AI12" s="72"/>
    </row>
    <row r="13" spans="1:35" ht="27" customHeight="1">
      <c r="A13" s="461"/>
      <c r="B13" s="82" t="s">
        <v>25</v>
      </c>
      <c r="C13" s="82">
        <v>176</v>
      </c>
      <c r="D13" s="82" t="s">
        <v>15</v>
      </c>
      <c r="E13" s="82">
        <v>6100404</v>
      </c>
      <c r="F13" s="82">
        <v>414</v>
      </c>
      <c r="G13" s="80" t="e">
        <f>SUM(H13:K13)</f>
        <v>#REF!</v>
      </c>
      <c r="H13" s="80" t="e">
        <f>H15+H17</f>
        <v>#REF!</v>
      </c>
      <c r="I13" s="80" t="e">
        <f>I15+I17</f>
        <v>#REF!</v>
      </c>
      <c r="J13" s="80" t="e">
        <f>J15+J17</f>
        <v>#REF!</v>
      </c>
      <c r="K13" s="80" t="e">
        <f>K15+K17</f>
        <v>#REF!</v>
      </c>
      <c r="L13" s="131">
        <f>L15+L17</f>
        <v>1321746.32</v>
      </c>
      <c r="M13" s="131">
        <f t="shared" ref="M13:P13" si="4">M15+M17</f>
        <v>87614.3</v>
      </c>
      <c r="N13" s="131">
        <f t="shared" si="4"/>
        <v>125592.71999999999</v>
      </c>
      <c r="O13" s="131">
        <f t="shared" si="4"/>
        <v>241343.5</v>
      </c>
      <c r="P13" s="131">
        <f t="shared" si="4"/>
        <v>867195.79999999993</v>
      </c>
      <c r="Q13" s="131">
        <f>SUM(Q15:Q18)</f>
        <v>1841954.2999999998</v>
      </c>
      <c r="R13" s="131">
        <f t="shared" ref="R13:U13" si="5">R15+R16+R17+R18</f>
        <v>5955.2</v>
      </c>
      <c r="S13" s="131">
        <f t="shared" si="5"/>
        <v>126602.1</v>
      </c>
      <c r="T13" s="131">
        <f t="shared" si="5"/>
        <v>673205.8</v>
      </c>
      <c r="U13" s="131">
        <f t="shared" si="5"/>
        <v>1036191.2000000001</v>
      </c>
      <c r="V13" s="131">
        <f>V15+V16+V17</f>
        <v>2020099.33</v>
      </c>
      <c r="W13" s="131">
        <f>W15+W16+W17</f>
        <v>1374211.57</v>
      </c>
      <c r="X13" s="188"/>
      <c r="Y13" s="453"/>
      <c r="AA13" s="70" t="s">
        <v>319</v>
      </c>
      <c r="AB13" s="350">
        <f>Q166</f>
        <v>0.7</v>
      </c>
      <c r="AC13" s="350">
        <v>0</v>
      </c>
      <c r="AD13" s="70" t="s">
        <v>319</v>
      </c>
      <c r="AE13" s="351">
        <f>V119+V166</f>
        <v>6.3</v>
      </c>
      <c r="AF13" s="259">
        <f>V250</f>
        <v>0</v>
      </c>
      <c r="AG13" s="70" t="s">
        <v>319</v>
      </c>
      <c r="AH13" s="163">
        <v>0</v>
      </c>
      <c r="AI13" s="259">
        <v>0</v>
      </c>
    </row>
    <row r="14" spans="1:35" ht="27" customHeight="1">
      <c r="A14" s="461"/>
      <c r="B14" s="82" t="s">
        <v>9</v>
      </c>
      <c r="C14" s="82"/>
      <c r="D14" s="82"/>
      <c r="E14" s="82"/>
      <c r="F14" s="82"/>
      <c r="G14" s="80"/>
      <c r="H14" s="80"/>
      <c r="I14" s="80"/>
      <c r="J14" s="80"/>
      <c r="K14" s="80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88"/>
      <c r="Y14" s="453"/>
      <c r="AA14" s="70" t="s">
        <v>320</v>
      </c>
      <c r="AB14" s="350">
        <f>Q42+Q52+Q273+Q347+Q359</f>
        <v>17.434000000000001</v>
      </c>
      <c r="AC14" s="350">
        <f>Q42+Q75+Q79+Q273+Q347+Q359</f>
        <v>17.434000000000001</v>
      </c>
      <c r="AD14" s="70" t="s">
        <v>320</v>
      </c>
      <c r="AE14" s="351">
        <f>V22+V42+V151+V264+V307+V311</f>
        <v>17.37</v>
      </c>
      <c r="AF14" s="259">
        <f>V22+V38+V264+V307</f>
        <v>17.2</v>
      </c>
      <c r="AG14" s="70" t="s">
        <v>320</v>
      </c>
      <c r="AH14" s="258">
        <f>AI14</f>
        <v>21.599999999999998</v>
      </c>
      <c r="AI14" s="259">
        <f>W83+W143+W264+W286</f>
        <v>21.599999999999998</v>
      </c>
    </row>
    <row r="15" spans="1:35" ht="27" customHeight="1">
      <c r="A15" s="461"/>
      <c r="B15" s="82" t="s">
        <v>10</v>
      </c>
      <c r="C15" s="82">
        <v>176</v>
      </c>
      <c r="D15" s="82" t="s">
        <v>15</v>
      </c>
      <c r="E15" s="82">
        <v>6100404</v>
      </c>
      <c r="F15" s="82">
        <v>414</v>
      </c>
      <c r="G15" s="80" t="e">
        <f>SUM(H15:K15)</f>
        <v>#REF!</v>
      </c>
      <c r="H15" s="80" t="e">
        <f>H24+H40+H54+H89+H133+H141+H105+H160+H203+H225+H248+H256+H317+H337+H393+H428</f>
        <v>#REF!</v>
      </c>
      <c r="I15" s="80" t="e">
        <f>I24+I40+I54+I89+I133+I141+I105+I160+I203+I225+I248+I256+I317+I337+I393+I428</f>
        <v>#REF!</v>
      </c>
      <c r="J15" s="80" t="e">
        <f>J24+J40+J54+J89+J133+J141+J105+J160+J203+J225+J248+J256+J317+J337+J393+J428</f>
        <v>#REF!</v>
      </c>
      <c r="K15" s="80" t="e">
        <f>K24+K40+K54+K89+K133+K141+K105+K160+K203+K225+K248+K256+K317+K337+K393+K428</f>
        <v>#REF!</v>
      </c>
      <c r="L15" s="131">
        <f>L54+L105+L133+L141+L160+L203+L225+L248+L256+L317+L329+L337+L353+L373+L393+L428+L409</f>
        <v>696311.52</v>
      </c>
      <c r="M15" s="131">
        <f>M54+M105+M133+M160+M203+M225+M248+M256+M317+M329+M337+M353+M373+M393+M428+M409</f>
        <v>87614.3</v>
      </c>
      <c r="N15" s="131">
        <f>N54+N105+N133+N160+N203+N225+N248+N256+N317+N329+N337+N353+N373+N393+N428+N409</f>
        <v>125592.71999999999</v>
      </c>
      <c r="O15" s="131">
        <f>O54+O105+O133+O160+O203+O225+O248+O256+O317+O329+O337+O353+O373+O393+O428+O409</f>
        <v>111995</v>
      </c>
      <c r="P15" s="131">
        <f>P54+P105+P133+P141+P160+P203+P225+P248+P256+P317+P329+P337+P353+P373+P393+P428+P409</f>
        <v>371109.5</v>
      </c>
      <c r="Q15" s="131">
        <f>Q24+Q40+Q54+Q89+Q105+Q141+Q160+Q172+Q192+Q203+Q236+Q248+Q256+Q317+Q329+Q337+Q353+Q373+Q381+Q393+Q409+Q428+Q149</f>
        <v>1507858.5</v>
      </c>
      <c r="R15" s="131">
        <f t="shared" ref="R15:U15" si="6">R24+R40+R54+R89+R105+R141+R160+R172+R192+R203+R236+R248+R256+R317+R329+R337+R353+R373+R381+R393+R409+R428+R149</f>
        <v>5955.2</v>
      </c>
      <c r="S15" s="131">
        <f t="shared" si="6"/>
        <v>96602.1</v>
      </c>
      <c r="T15" s="131">
        <f t="shared" si="6"/>
        <v>541399.9</v>
      </c>
      <c r="U15" s="131">
        <f t="shared" si="6"/>
        <v>863901.3</v>
      </c>
      <c r="V15" s="131">
        <f>V24+V40+V54+V105+V149+V160+V203+V236+V248+V256+V317+V329+V337+V353+V428</f>
        <v>1568359.3</v>
      </c>
      <c r="W15" s="131">
        <f>W54+W141+W248+W256+W428</f>
        <v>1256670.5</v>
      </c>
      <c r="X15" s="188"/>
      <c r="Y15" s="453"/>
      <c r="Z15" s="160"/>
      <c r="AA15" s="58"/>
    </row>
    <row r="16" spans="1:35" ht="27" customHeight="1">
      <c r="A16" s="461"/>
      <c r="B16" s="82" t="s">
        <v>427</v>
      </c>
      <c r="C16" s="82"/>
      <c r="D16" s="82"/>
      <c r="E16" s="82"/>
      <c r="F16" s="82"/>
      <c r="G16" s="80"/>
      <c r="H16" s="80"/>
      <c r="I16" s="80"/>
      <c r="J16" s="80"/>
      <c r="K16" s="80"/>
      <c r="L16" s="131"/>
      <c r="M16" s="131"/>
      <c r="N16" s="131"/>
      <c r="O16" s="131"/>
      <c r="P16" s="131"/>
      <c r="Q16" s="131">
        <f>Q259</f>
        <v>205825.90000000002</v>
      </c>
      <c r="R16" s="131">
        <f t="shared" ref="R16:U16" si="7">R259</f>
        <v>0</v>
      </c>
      <c r="S16" s="131">
        <f t="shared" si="7"/>
        <v>30000</v>
      </c>
      <c r="T16" s="131">
        <f t="shared" si="7"/>
        <v>110000</v>
      </c>
      <c r="U16" s="131">
        <f t="shared" si="7"/>
        <v>65825.900000000009</v>
      </c>
      <c r="V16" s="131">
        <f t="shared" ref="V16:W16" si="8">V259</f>
        <v>338950</v>
      </c>
      <c r="W16" s="131">
        <f t="shared" si="8"/>
        <v>0</v>
      </c>
      <c r="X16" s="188"/>
      <c r="Y16" s="453"/>
      <c r="Z16" s="160"/>
      <c r="AA16" s="58"/>
    </row>
    <row r="17" spans="1:71" ht="27" customHeight="1">
      <c r="A17" s="461"/>
      <c r="B17" s="82" t="s">
        <v>34</v>
      </c>
      <c r="C17" s="82">
        <v>176</v>
      </c>
      <c r="D17" s="82" t="s">
        <v>15</v>
      </c>
      <c r="E17" s="82" t="s">
        <v>27</v>
      </c>
      <c r="F17" s="82" t="s">
        <v>28</v>
      </c>
      <c r="G17" s="80" t="e">
        <f>SUM(H17:K17)</f>
        <v>#REF!</v>
      </c>
      <c r="H17" s="80" t="e">
        <f>H25+H41+H48+H55+H90+H106+H134+H142+H161+H173+H193+H204+H226+H237+H259+H249+H318+H330+H338+H354+H366+H374+H382+H394+H410+H429</f>
        <v>#REF!</v>
      </c>
      <c r="I17" s="80" t="e">
        <f>I25+I41+I48+I55+I90+I106+I134+I142+I161+I173+I193+I204+I226+I237+I259+I249+I318+I330+I338+I354+I366+I374+I382+I394+I410+I429</f>
        <v>#REF!</v>
      </c>
      <c r="J17" s="80" t="e">
        <f>J25+J41+J48+J55+J90+J106+J134+J142+J161+J173+J193+J204+J226+J237+J259+J249+J318+J330+J338+J354+J366+J374+J382+J394+J410+J429</f>
        <v>#REF!</v>
      </c>
      <c r="K17" s="80" t="e">
        <f>K25+K41+K48+K55+K90+K106+K134+K142+K161+K173+K193+K204+K226+K237+K259+K249+K318+K330+K338+K354+K366+K374+K382+K394+K410+K429</f>
        <v>#REF!</v>
      </c>
      <c r="L17" s="131">
        <f>L25+L41+L48+L55+L90+L106+L142+L161+L173+L204+L226+L249+L259+L318+L330+L338+L354+L374+L394+L410+L429</f>
        <v>625434.80000000005</v>
      </c>
      <c r="M17" s="131">
        <f>M25+M41+M48+M55+M90+M106+M142+M161+M173+M204+M226+M249+M259+M318+M330+M338+M354+M374+M394+M410+M429</f>
        <v>0</v>
      </c>
      <c r="N17" s="131">
        <f>N25+N41+N48+N55+N90+N106+N142+N161+N173+N204+N226+N249+N259+N318+N330+N338+N354+N374+N394+N410+N429</f>
        <v>0</v>
      </c>
      <c r="O17" s="131">
        <f>O25+O41+O48+O55+O90+O106+O142+O161+O173+O204+O226+O249+O259+O318+O330+O338+O354+O374+O394+O410+O429</f>
        <v>129348.5</v>
      </c>
      <c r="P17" s="131">
        <f>P25+P41+P48+P55+P90+P106+P142+P161+P173+P204+P226+P249+P259+P318+P330+P338+P354+P374+P394+P410+P429</f>
        <v>496086.29999999993</v>
      </c>
      <c r="Q17" s="131">
        <f>Q41+Q55+Q90+Q106+Q142+Q161+Q173+Q193+Q204+Q237+Q249+Q257+Q330+Q338+Q354+Q374+Q382+Q394+Q410+Q429</f>
        <v>128269.9</v>
      </c>
      <c r="R17" s="131">
        <f t="shared" ref="R17:U17" si="9">R41+R55+R90+R106+R142+R161+R173+R193+R204+R237+R249+R257+R330+R338+R354+R374+R382+R394+R410+R429</f>
        <v>0</v>
      </c>
      <c r="S17" s="131">
        <f t="shared" si="9"/>
        <v>0</v>
      </c>
      <c r="T17" s="131">
        <f t="shared" si="9"/>
        <v>21805.9</v>
      </c>
      <c r="U17" s="131">
        <f t="shared" si="9"/>
        <v>106464</v>
      </c>
      <c r="V17" s="131">
        <f>V25+V41+V55+V90+V106+V161+V173+V193+V204+V237+V249+V257+V318+V330+V338+V354+V374+V390+V394+V410+V429</f>
        <v>112790.03</v>
      </c>
      <c r="W17" s="131">
        <f>W25+W41+W55+W90+W106+W161+W173+W193+W204+W237+W249+W257+W318+W330+W338+W354+W374+W390+W394+W410+W429</f>
        <v>117541.07</v>
      </c>
      <c r="X17" s="188"/>
      <c r="Y17" s="453"/>
      <c r="AA17" s="58"/>
      <c r="AB17" s="58"/>
      <c r="AC17" s="58"/>
      <c r="AD17" s="58"/>
      <c r="AE17" s="58"/>
      <c r="AF17" s="58"/>
      <c r="AG17" s="58"/>
      <c r="AH17" s="58"/>
      <c r="AI17" s="58"/>
    </row>
    <row r="18" spans="1:71" ht="27" customHeight="1">
      <c r="A18" s="461"/>
      <c r="B18" s="82" t="s">
        <v>493</v>
      </c>
      <c r="C18" s="82"/>
      <c r="D18" s="82"/>
      <c r="E18" s="82"/>
      <c r="F18" s="82"/>
      <c r="G18" s="80"/>
      <c r="H18" s="80"/>
      <c r="I18" s="80"/>
      <c r="J18" s="80"/>
      <c r="K18" s="80"/>
      <c r="L18" s="131"/>
      <c r="M18" s="131"/>
      <c r="N18" s="131"/>
      <c r="O18" s="131"/>
      <c r="P18" s="131"/>
      <c r="Q18" s="131">
        <v>0</v>
      </c>
      <c r="R18" s="131">
        <f t="shared" ref="R18:S18" si="10">R77+R81</f>
        <v>0</v>
      </c>
      <c r="S18" s="131">
        <f t="shared" si="10"/>
        <v>0</v>
      </c>
      <c r="T18" s="131">
        <v>0</v>
      </c>
      <c r="U18" s="131">
        <v>0</v>
      </c>
      <c r="V18" s="131"/>
      <c r="W18" s="131"/>
      <c r="X18" s="188"/>
      <c r="Y18" s="453"/>
      <c r="AA18" s="58"/>
      <c r="AB18" s="58"/>
      <c r="AC18" s="58"/>
      <c r="AD18" s="58"/>
      <c r="AE18" s="58"/>
      <c r="AF18" s="58"/>
      <c r="AG18" s="58"/>
      <c r="AH18" s="58"/>
      <c r="AI18" s="58"/>
    </row>
    <row r="19" spans="1:71" ht="27" customHeight="1">
      <c r="A19" s="461"/>
      <c r="B19" s="82" t="s">
        <v>462</v>
      </c>
      <c r="C19" s="82"/>
      <c r="D19" s="82"/>
      <c r="E19" s="82"/>
      <c r="F19" s="82"/>
      <c r="G19" s="80"/>
      <c r="H19" s="80">
        <v>0</v>
      </c>
      <c r="I19" s="80">
        <v>0</v>
      </c>
      <c r="J19" s="80">
        <v>0</v>
      </c>
      <c r="K19" s="80">
        <v>0</v>
      </c>
      <c r="L19" s="131">
        <v>0</v>
      </c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88"/>
      <c r="Y19" s="453"/>
    </row>
    <row r="20" spans="1:71" ht="27" customHeight="1">
      <c r="A20" s="461"/>
      <c r="B20" s="82" t="s">
        <v>484</v>
      </c>
      <c r="C20" s="82"/>
      <c r="D20" s="82"/>
      <c r="E20" s="82"/>
      <c r="F20" s="82"/>
      <c r="G20" s="80"/>
      <c r="H20" s="80">
        <v>0</v>
      </c>
      <c r="I20" s="80">
        <v>0</v>
      </c>
      <c r="J20" s="80">
        <v>0</v>
      </c>
      <c r="K20" s="80">
        <v>0</v>
      </c>
      <c r="L20" s="131">
        <v>0</v>
      </c>
      <c r="M20" s="131"/>
      <c r="N20" s="131"/>
      <c r="O20" s="131"/>
      <c r="P20" s="131"/>
      <c r="Q20" s="131">
        <v>0</v>
      </c>
      <c r="R20" s="131"/>
      <c r="S20" s="131"/>
      <c r="T20" s="131"/>
      <c r="U20" s="131"/>
      <c r="V20" s="131"/>
      <c r="W20" s="131"/>
      <c r="X20" s="188"/>
      <c r="Y20" s="453"/>
      <c r="Z20" s="517"/>
      <c r="AA20" s="518"/>
      <c r="AB20" s="518"/>
    </row>
    <row r="21" spans="1:71" ht="17.45" hidden="1" customHeight="1">
      <c r="A21" s="174" t="s">
        <v>29</v>
      </c>
      <c r="B21" s="167"/>
      <c r="C21" s="167"/>
      <c r="D21" s="167"/>
      <c r="E21" s="167"/>
      <c r="F21" s="167"/>
      <c r="G21" s="74"/>
      <c r="H21" s="74"/>
      <c r="I21" s="74"/>
      <c r="J21" s="74"/>
      <c r="K21" s="74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362"/>
      <c r="Y21" s="338">
        <v>2</v>
      </c>
    </row>
    <row r="22" spans="1:71" s="55" customFormat="1" ht="24.6" customHeight="1">
      <c r="A22" s="461" t="s">
        <v>96</v>
      </c>
      <c r="B22" s="82" t="s">
        <v>89</v>
      </c>
      <c r="C22" s="82"/>
      <c r="D22" s="82"/>
      <c r="E22" s="82"/>
      <c r="F22" s="82"/>
      <c r="G22" s="80">
        <f>G26+G30+G34</f>
        <v>5.7479999999999993</v>
      </c>
      <c r="H22" s="80">
        <f t="shared" ref="H22:W22" si="11">H26+H30+H34</f>
        <v>0</v>
      </c>
      <c r="I22" s="80">
        <f t="shared" si="11"/>
        <v>0</v>
      </c>
      <c r="J22" s="80">
        <f t="shared" si="11"/>
        <v>0</v>
      </c>
      <c r="K22" s="80">
        <f t="shared" si="11"/>
        <v>5.7479999999999993</v>
      </c>
      <c r="L22" s="131">
        <f t="shared" si="11"/>
        <v>0</v>
      </c>
      <c r="M22" s="131"/>
      <c r="N22" s="131"/>
      <c r="O22" s="131"/>
      <c r="P22" s="131"/>
      <c r="Q22" s="131">
        <f t="shared" si="11"/>
        <v>0</v>
      </c>
      <c r="R22" s="131"/>
      <c r="S22" s="131"/>
      <c r="T22" s="131"/>
      <c r="U22" s="131"/>
      <c r="V22" s="131">
        <f>V26</f>
        <v>13.1</v>
      </c>
      <c r="W22" s="131">
        <f t="shared" si="11"/>
        <v>0</v>
      </c>
      <c r="X22" s="361"/>
      <c r="Y22" s="82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</row>
    <row r="23" spans="1:71" s="55" customFormat="1" ht="24.6" customHeight="1">
      <c r="A23" s="461"/>
      <c r="B23" s="82" t="s">
        <v>272</v>
      </c>
      <c r="C23" s="82"/>
      <c r="D23" s="82"/>
      <c r="E23" s="82"/>
      <c r="F23" s="82"/>
      <c r="G23" s="80">
        <f>G24+G25</f>
        <v>178800.2</v>
      </c>
      <c r="H23" s="80">
        <f t="shared" ref="H23:W23" si="12">H24+H25</f>
        <v>0</v>
      </c>
      <c r="I23" s="80">
        <f t="shared" si="12"/>
        <v>12414.900000000001</v>
      </c>
      <c r="J23" s="80">
        <f t="shared" si="12"/>
        <v>88004</v>
      </c>
      <c r="K23" s="80">
        <f t="shared" si="12"/>
        <v>78381.3</v>
      </c>
      <c r="L23" s="131">
        <f t="shared" si="12"/>
        <v>0</v>
      </c>
      <c r="M23" s="131"/>
      <c r="N23" s="131"/>
      <c r="O23" s="131"/>
      <c r="P23" s="131"/>
      <c r="Q23" s="131">
        <f t="shared" si="12"/>
        <v>0</v>
      </c>
      <c r="R23" s="131"/>
      <c r="S23" s="131"/>
      <c r="T23" s="131"/>
      <c r="U23" s="131"/>
      <c r="V23" s="131">
        <f t="shared" si="12"/>
        <v>312790.03000000003</v>
      </c>
      <c r="W23" s="131">
        <f t="shared" si="12"/>
        <v>0</v>
      </c>
      <c r="X23" s="361"/>
      <c r="Y23" s="82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</row>
    <row r="24" spans="1:71" s="55" customFormat="1" ht="24.6" customHeight="1">
      <c r="A24" s="461"/>
      <c r="B24" s="82" t="s">
        <v>10</v>
      </c>
      <c r="C24" s="82"/>
      <c r="D24" s="82"/>
      <c r="E24" s="82"/>
      <c r="F24" s="82"/>
      <c r="G24" s="80">
        <f t="shared" ref="G24:K25" si="13">G28+G32+G36</f>
        <v>23762.1</v>
      </c>
      <c r="H24" s="80">
        <f t="shared" si="13"/>
        <v>0</v>
      </c>
      <c r="I24" s="80">
        <f t="shared" si="13"/>
        <v>0</v>
      </c>
      <c r="J24" s="80">
        <f t="shared" si="13"/>
        <v>0</v>
      </c>
      <c r="K24" s="80">
        <f t="shared" si="13"/>
        <v>23762.1</v>
      </c>
      <c r="L24" s="131">
        <f>L28</f>
        <v>0</v>
      </c>
      <c r="M24" s="131"/>
      <c r="N24" s="131"/>
      <c r="O24" s="131"/>
      <c r="P24" s="131"/>
      <c r="Q24" s="131">
        <f>Q28</f>
        <v>0</v>
      </c>
      <c r="R24" s="131"/>
      <c r="S24" s="131"/>
      <c r="T24" s="131"/>
      <c r="U24" s="131"/>
      <c r="V24" s="131">
        <f t="shared" ref="V24:W24" si="14">V28</f>
        <v>200000</v>
      </c>
      <c r="W24" s="131">
        <f t="shared" si="14"/>
        <v>0</v>
      </c>
      <c r="X24" s="361"/>
      <c r="Y24" s="82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</row>
    <row r="25" spans="1:71" s="55" customFormat="1" ht="28.9" customHeight="1">
      <c r="A25" s="461"/>
      <c r="B25" s="82" t="s">
        <v>34</v>
      </c>
      <c r="C25" s="82"/>
      <c r="D25" s="82"/>
      <c r="E25" s="82"/>
      <c r="F25" s="82"/>
      <c r="G25" s="80">
        <f t="shared" si="13"/>
        <v>155038.1</v>
      </c>
      <c r="H25" s="80">
        <f t="shared" si="13"/>
        <v>0</v>
      </c>
      <c r="I25" s="80">
        <f t="shared" si="13"/>
        <v>12414.900000000001</v>
      </c>
      <c r="J25" s="80">
        <f t="shared" si="13"/>
        <v>88004</v>
      </c>
      <c r="K25" s="80">
        <f t="shared" si="13"/>
        <v>54619.200000000004</v>
      </c>
      <c r="L25" s="131"/>
      <c r="M25" s="131"/>
      <c r="N25" s="131"/>
      <c r="O25" s="131"/>
      <c r="P25" s="131"/>
      <c r="Q25" s="131">
        <f>Q29</f>
        <v>0</v>
      </c>
      <c r="R25" s="131"/>
      <c r="S25" s="131"/>
      <c r="T25" s="131"/>
      <c r="U25" s="131"/>
      <c r="V25" s="131">
        <f t="shared" ref="V25:W25" si="15">V29</f>
        <v>112790.03</v>
      </c>
      <c r="W25" s="131">
        <f t="shared" si="15"/>
        <v>0</v>
      </c>
      <c r="X25" s="361"/>
      <c r="Y25" s="82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</row>
    <row r="26" spans="1:71" s="55" customFormat="1" ht="28.9" customHeight="1">
      <c r="A26" s="462" t="s">
        <v>540</v>
      </c>
      <c r="B26" s="167" t="s">
        <v>89</v>
      </c>
      <c r="C26" s="82"/>
      <c r="D26" s="82"/>
      <c r="E26" s="82"/>
      <c r="F26" s="82"/>
      <c r="G26" s="74">
        <f>SUM(H26:K26)</f>
        <v>1.0169999999999999</v>
      </c>
      <c r="H26" s="74"/>
      <c r="I26" s="74"/>
      <c r="J26" s="74"/>
      <c r="K26" s="74">
        <v>1.0169999999999999</v>
      </c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>
        <v>13.1</v>
      </c>
      <c r="W26" s="151"/>
      <c r="X26" s="361"/>
      <c r="Y26" s="453" t="s">
        <v>464</v>
      </c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</row>
    <row r="27" spans="1:71" ht="28.9" customHeight="1">
      <c r="A27" s="462"/>
      <c r="B27" s="167" t="s">
        <v>272</v>
      </c>
      <c r="C27" s="167">
        <v>176</v>
      </c>
      <c r="D27" s="167" t="s">
        <v>15</v>
      </c>
      <c r="E27" s="167">
        <v>6100404</v>
      </c>
      <c r="F27" s="167">
        <v>414</v>
      </c>
      <c r="G27" s="74">
        <f>G28+G29</f>
        <v>30400</v>
      </c>
      <c r="H27" s="74">
        <f>H28+H29</f>
        <v>0</v>
      </c>
      <c r="I27" s="74">
        <f>I28+I29</f>
        <v>0</v>
      </c>
      <c r="J27" s="74">
        <f>J28+J29</f>
        <v>0</v>
      </c>
      <c r="K27" s="74">
        <f>K28+K29</f>
        <v>30400</v>
      </c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>
        <f>V28+V29</f>
        <v>312790.03000000003</v>
      </c>
      <c r="W27" s="132">
        <f>W29</f>
        <v>0</v>
      </c>
      <c r="X27" s="361"/>
      <c r="Y27" s="453"/>
    </row>
    <row r="28" spans="1:71" ht="24.6" customHeight="1">
      <c r="A28" s="462"/>
      <c r="B28" s="167" t="s">
        <v>10</v>
      </c>
      <c r="C28" s="167"/>
      <c r="D28" s="167"/>
      <c r="E28" s="167"/>
      <c r="F28" s="167"/>
      <c r="G28" s="74">
        <f>SUM(H28:K28)</f>
        <v>19762.099999999999</v>
      </c>
      <c r="H28" s="74"/>
      <c r="I28" s="74"/>
      <c r="J28" s="74"/>
      <c r="K28" s="74">
        <v>19762.099999999999</v>
      </c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>
        <v>200000</v>
      </c>
      <c r="W28" s="132"/>
      <c r="X28" s="361"/>
      <c r="Y28" s="453"/>
    </row>
    <row r="29" spans="1:71" ht="18.600000000000001" customHeight="1">
      <c r="A29" s="462"/>
      <c r="B29" s="167" t="s">
        <v>34</v>
      </c>
      <c r="C29" s="167"/>
      <c r="D29" s="167"/>
      <c r="E29" s="167"/>
      <c r="F29" s="167"/>
      <c r="G29" s="74">
        <f>SUM(H29:K29)</f>
        <v>10637.9</v>
      </c>
      <c r="H29" s="74"/>
      <c r="I29" s="74"/>
      <c r="J29" s="74"/>
      <c r="K29" s="74">
        <v>10637.9</v>
      </c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>
        <v>112790.03</v>
      </c>
      <c r="W29" s="132"/>
      <c r="X29" s="361"/>
      <c r="Y29" s="453"/>
    </row>
    <row r="30" spans="1:71" ht="24.6" hidden="1" customHeight="1">
      <c r="A30" s="519" t="s">
        <v>13</v>
      </c>
      <c r="B30" s="167" t="s">
        <v>89</v>
      </c>
      <c r="C30" s="167"/>
      <c r="D30" s="167"/>
      <c r="E30" s="167"/>
      <c r="F30" s="167"/>
      <c r="G30" s="74">
        <f>SUM(H30:K30)</f>
        <v>2.665</v>
      </c>
      <c r="H30" s="74"/>
      <c r="I30" s="74"/>
      <c r="J30" s="74"/>
      <c r="K30" s="74">
        <v>2.665</v>
      </c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361"/>
      <c r="Y30" s="453" t="s">
        <v>228</v>
      </c>
    </row>
    <row r="31" spans="1:71" ht="24.6" hidden="1" customHeight="1">
      <c r="A31" s="519"/>
      <c r="B31" s="167" t="s">
        <v>272</v>
      </c>
      <c r="C31" s="167">
        <v>176</v>
      </c>
      <c r="D31" s="167" t="s">
        <v>15</v>
      </c>
      <c r="E31" s="167">
        <v>6100404</v>
      </c>
      <c r="F31" s="167">
        <v>414</v>
      </c>
      <c r="G31" s="74">
        <f>G33+G32</f>
        <v>83700.100000000006</v>
      </c>
      <c r="H31" s="74">
        <f>H33+H32</f>
        <v>0</v>
      </c>
      <c r="I31" s="74">
        <f>I33+I32</f>
        <v>6983.6</v>
      </c>
      <c r="J31" s="74">
        <f>J33+J32</f>
        <v>49504</v>
      </c>
      <c r="K31" s="74">
        <f>K33+K32</f>
        <v>27212.5</v>
      </c>
      <c r="L31" s="132">
        <v>0</v>
      </c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361"/>
      <c r="Y31" s="453"/>
    </row>
    <row r="32" spans="1:71" ht="24.6" hidden="1" customHeight="1">
      <c r="A32" s="519"/>
      <c r="B32" s="167" t="s">
        <v>10</v>
      </c>
      <c r="C32" s="167"/>
      <c r="D32" s="167"/>
      <c r="E32" s="167"/>
      <c r="F32" s="167"/>
      <c r="G32" s="74">
        <f>SUM(H32:K32)</f>
        <v>3000</v>
      </c>
      <c r="H32" s="74"/>
      <c r="I32" s="74"/>
      <c r="J32" s="74"/>
      <c r="K32" s="74">
        <v>3000</v>
      </c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361"/>
      <c r="Y32" s="453"/>
    </row>
    <row r="33" spans="1:71" ht="24" hidden="1" customHeight="1">
      <c r="A33" s="519"/>
      <c r="B33" s="167" t="s">
        <v>34</v>
      </c>
      <c r="C33" s="167"/>
      <c r="D33" s="167"/>
      <c r="E33" s="167"/>
      <c r="F33" s="167"/>
      <c r="G33" s="74">
        <f>SUM(H33:K33)</f>
        <v>80700.100000000006</v>
      </c>
      <c r="H33" s="74"/>
      <c r="I33" s="74">
        <v>6983.6</v>
      </c>
      <c r="J33" s="74">
        <v>49504</v>
      </c>
      <c r="K33" s="74">
        <f>31912.4-2420.7-5279.2</f>
        <v>24212.5</v>
      </c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361"/>
      <c r="Y33" s="453"/>
    </row>
    <row r="34" spans="1:71" ht="24.6" hidden="1" customHeight="1">
      <c r="A34" s="462" t="s">
        <v>14</v>
      </c>
      <c r="B34" s="167" t="s">
        <v>89</v>
      </c>
      <c r="C34" s="167"/>
      <c r="D34" s="167"/>
      <c r="E34" s="167"/>
      <c r="F34" s="167"/>
      <c r="G34" s="74">
        <f>SUM(H34:K34)</f>
        <v>2.0659999999999998</v>
      </c>
      <c r="H34" s="74"/>
      <c r="I34" s="74"/>
      <c r="J34" s="74"/>
      <c r="K34" s="74">
        <v>2.0659999999999998</v>
      </c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361"/>
      <c r="Y34" s="453" t="s">
        <v>229</v>
      </c>
    </row>
    <row r="35" spans="1:71" ht="24.6" hidden="1" customHeight="1">
      <c r="A35" s="462"/>
      <c r="B35" s="167" t="s">
        <v>272</v>
      </c>
      <c r="C35" s="167">
        <v>176</v>
      </c>
      <c r="D35" s="167" t="s">
        <v>15</v>
      </c>
      <c r="E35" s="167">
        <v>6100404</v>
      </c>
      <c r="F35" s="167">
        <v>414</v>
      </c>
      <c r="G35" s="74">
        <f>G37+G36</f>
        <v>64700.100000000006</v>
      </c>
      <c r="H35" s="74">
        <f>H37+H36</f>
        <v>0</v>
      </c>
      <c r="I35" s="74">
        <f>I37+I36</f>
        <v>5431.3</v>
      </c>
      <c r="J35" s="74">
        <f>J37+J36</f>
        <v>38500</v>
      </c>
      <c r="K35" s="74">
        <f>K37+K36</f>
        <v>20768.800000000003</v>
      </c>
      <c r="L35" s="132">
        <v>0</v>
      </c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361"/>
      <c r="Y35" s="453"/>
    </row>
    <row r="36" spans="1:71" ht="24.6" hidden="1" customHeight="1">
      <c r="A36" s="462"/>
      <c r="B36" s="167" t="s">
        <v>10</v>
      </c>
      <c r="C36" s="167"/>
      <c r="D36" s="167"/>
      <c r="E36" s="167"/>
      <c r="F36" s="167"/>
      <c r="G36" s="74">
        <f>SUM(H36:K36)</f>
        <v>1000</v>
      </c>
      <c r="H36" s="74"/>
      <c r="I36" s="74"/>
      <c r="J36" s="74"/>
      <c r="K36" s="74">
        <v>1000</v>
      </c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361"/>
      <c r="Y36" s="453"/>
    </row>
    <row r="37" spans="1:71" ht="24.6" hidden="1" customHeight="1">
      <c r="A37" s="462"/>
      <c r="B37" s="167" t="s">
        <v>34</v>
      </c>
      <c r="C37" s="167"/>
      <c r="D37" s="167"/>
      <c r="E37" s="167"/>
      <c r="F37" s="167"/>
      <c r="G37" s="74">
        <f>SUM(H37:K37)</f>
        <v>63700.100000000006</v>
      </c>
      <c r="H37" s="74"/>
      <c r="I37" s="74">
        <v>5431.3</v>
      </c>
      <c r="J37" s="74">
        <v>38500</v>
      </c>
      <c r="K37" s="74">
        <f>24818.7-1206.6-3843.3</f>
        <v>19768.800000000003</v>
      </c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361"/>
      <c r="Y37" s="453"/>
    </row>
    <row r="38" spans="1:71" ht="24.6" customHeight="1">
      <c r="A38" s="461" t="s">
        <v>117</v>
      </c>
      <c r="B38" s="82" t="s">
        <v>89</v>
      </c>
      <c r="C38" s="82"/>
      <c r="D38" s="82"/>
      <c r="E38" s="82"/>
      <c r="F38" s="82"/>
      <c r="G38" s="80">
        <f>G42</f>
        <v>4.2</v>
      </c>
      <c r="H38" s="80">
        <f t="shared" ref="H38:L38" si="16">H42</f>
        <v>0</v>
      </c>
      <c r="I38" s="80">
        <f t="shared" si="16"/>
        <v>0</v>
      </c>
      <c r="J38" s="80">
        <f t="shared" si="16"/>
        <v>0</v>
      </c>
      <c r="K38" s="80">
        <f t="shared" si="16"/>
        <v>4.2</v>
      </c>
      <c r="L38" s="131">
        <f t="shared" si="16"/>
        <v>0</v>
      </c>
      <c r="M38" s="131"/>
      <c r="N38" s="131"/>
      <c r="O38" s="131"/>
      <c r="P38" s="131"/>
      <c r="Q38" s="131">
        <f>Q42</f>
        <v>3.6</v>
      </c>
      <c r="R38" s="131"/>
      <c r="S38" s="131"/>
      <c r="T38" s="131"/>
      <c r="U38" s="131">
        <v>3.6</v>
      </c>
      <c r="V38" s="131">
        <f t="shared" ref="V38" si="17">V42</f>
        <v>3.9</v>
      </c>
      <c r="W38" s="131"/>
      <c r="X38" s="361"/>
      <c r="Y38" s="338"/>
    </row>
    <row r="39" spans="1:71" ht="24.6" customHeight="1">
      <c r="A39" s="461"/>
      <c r="B39" s="82" t="s">
        <v>272</v>
      </c>
      <c r="C39" s="82"/>
      <c r="D39" s="82"/>
      <c r="E39" s="82"/>
      <c r="F39" s="82"/>
      <c r="G39" s="80">
        <f>G40+G41</f>
        <v>111074.5</v>
      </c>
      <c r="H39" s="80">
        <f>H40+H41</f>
        <v>0</v>
      </c>
      <c r="I39" s="80">
        <f>I40+I41</f>
        <v>8263.4</v>
      </c>
      <c r="J39" s="80">
        <f>J40+J41</f>
        <v>58576</v>
      </c>
      <c r="K39" s="80">
        <f>K40+K41</f>
        <v>44235.1</v>
      </c>
      <c r="L39" s="131"/>
      <c r="M39" s="131"/>
      <c r="N39" s="131"/>
      <c r="O39" s="131"/>
      <c r="P39" s="131"/>
      <c r="Q39" s="131">
        <f>Q40+Q41</f>
        <v>146350.70000000001</v>
      </c>
      <c r="R39" s="131">
        <f t="shared" ref="R39:U39" si="18">R40+R41</f>
        <v>5955.2</v>
      </c>
      <c r="S39" s="131">
        <f t="shared" si="18"/>
        <v>0</v>
      </c>
      <c r="T39" s="131">
        <f t="shared" si="18"/>
        <v>129044.8</v>
      </c>
      <c r="U39" s="131">
        <f t="shared" si="18"/>
        <v>11350.7</v>
      </c>
      <c r="V39" s="131">
        <f t="shared" ref="V39:W39" si="19">V40+V41</f>
        <v>180000</v>
      </c>
      <c r="W39" s="131">
        <f t="shared" si="19"/>
        <v>0</v>
      </c>
      <c r="X39" s="361"/>
      <c r="Y39" s="338"/>
    </row>
    <row r="40" spans="1:71" ht="24.6" customHeight="1">
      <c r="A40" s="461"/>
      <c r="B40" s="82" t="s">
        <v>10</v>
      </c>
      <c r="C40" s="82"/>
      <c r="D40" s="82"/>
      <c r="E40" s="82"/>
      <c r="F40" s="82"/>
      <c r="G40" s="80">
        <f t="shared" ref="G40:K41" si="20">G44</f>
        <v>6474.5</v>
      </c>
      <c r="H40" s="80">
        <f t="shared" si="20"/>
        <v>0</v>
      </c>
      <c r="I40" s="80">
        <f t="shared" si="20"/>
        <v>0</v>
      </c>
      <c r="J40" s="80">
        <f t="shared" si="20"/>
        <v>0</v>
      </c>
      <c r="K40" s="80">
        <f t="shared" si="20"/>
        <v>6474.5</v>
      </c>
      <c r="L40" s="131"/>
      <c r="M40" s="131"/>
      <c r="N40" s="131"/>
      <c r="O40" s="131"/>
      <c r="P40" s="131"/>
      <c r="Q40" s="131">
        <f>Q44</f>
        <v>146350.70000000001</v>
      </c>
      <c r="R40" s="131">
        <f t="shared" ref="R40:U40" si="21">R44</f>
        <v>5955.2</v>
      </c>
      <c r="S40" s="131">
        <f t="shared" si="21"/>
        <v>0</v>
      </c>
      <c r="T40" s="131">
        <f t="shared" si="21"/>
        <v>129044.8</v>
      </c>
      <c r="U40" s="131">
        <f t="shared" si="21"/>
        <v>11350.7</v>
      </c>
      <c r="V40" s="131">
        <f t="shared" ref="V40:W40" si="22">V44</f>
        <v>180000</v>
      </c>
      <c r="W40" s="131">
        <f t="shared" si="22"/>
        <v>0</v>
      </c>
      <c r="X40" s="361"/>
      <c r="Y40" s="338"/>
    </row>
    <row r="41" spans="1:71" ht="24.6" customHeight="1">
      <c r="A41" s="461"/>
      <c r="B41" s="82" t="s">
        <v>463</v>
      </c>
      <c r="C41" s="82"/>
      <c r="D41" s="82"/>
      <c r="E41" s="82"/>
      <c r="F41" s="82"/>
      <c r="G41" s="80">
        <f t="shared" si="20"/>
        <v>104600</v>
      </c>
      <c r="H41" s="80">
        <f t="shared" si="20"/>
        <v>0</v>
      </c>
      <c r="I41" s="80">
        <f t="shared" si="20"/>
        <v>8263.4</v>
      </c>
      <c r="J41" s="80">
        <f t="shared" si="20"/>
        <v>58576</v>
      </c>
      <c r="K41" s="80">
        <f t="shared" si="20"/>
        <v>37760.6</v>
      </c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361"/>
      <c r="Y41" s="338"/>
    </row>
    <row r="42" spans="1:71" ht="24.6" customHeight="1">
      <c r="A42" s="475" t="s">
        <v>347</v>
      </c>
      <c r="B42" s="167" t="s">
        <v>89</v>
      </c>
      <c r="C42" s="82"/>
      <c r="D42" s="82"/>
      <c r="E42" s="82"/>
      <c r="F42" s="82"/>
      <c r="G42" s="74">
        <f>H42+I42+J42+K42</f>
        <v>4.2</v>
      </c>
      <c r="H42" s="74"/>
      <c r="I42" s="74"/>
      <c r="J42" s="74"/>
      <c r="K42" s="74">
        <v>4.2</v>
      </c>
      <c r="L42" s="131"/>
      <c r="M42" s="131"/>
      <c r="N42" s="131"/>
      <c r="O42" s="131"/>
      <c r="P42" s="131"/>
      <c r="Q42" s="131">
        <v>3.6</v>
      </c>
      <c r="R42" s="131"/>
      <c r="S42" s="131"/>
      <c r="T42" s="131"/>
      <c r="U42" s="131">
        <v>3.6</v>
      </c>
      <c r="V42" s="131">
        <v>3.9</v>
      </c>
      <c r="W42" s="131"/>
      <c r="X42" s="361"/>
      <c r="Y42" s="453" t="s">
        <v>499</v>
      </c>
    </row>
    <row r="43" spans="1:71" ht="24.6" customHeight="1">
      <c r="A43" s="476"/>
      <c r="B43" s="167" t="s">
        <v>272</v>
      </c>
      <c r="C43" s="167"/>
      <c r="D43" s="167"/>
      <c r="E43" s="167"/>
      <c r="F43" s="167"/>
      <c r="G43" s="74">
        <f>G45+G44</f>
        <v>111074.5</v>
      </c>
      <c r="H43" s="74">
        <f>H45+H44</f>
        <v>0</v>
      </c>
      <c r="I43" s="74">
        <f>I45+I44</f>
        <v>8263.4</v>
      </c>
      <c r="J43" s="74">
        <f>J45+J44</f>
        <v>58576</v>
      </c>
      <c r="K43" s="74">
        <f>K45+K44</f>
        <v>44235.1</v>
      </c>
      <c r="L43" s="132"/>
      <c r="M43" s="132"/>
      <c r="N43" s="132"/>
      <c r="O43" s="132"/>
      <c r="P43" s="132"/>
      <c r="Q43" s="132">
        <f>Q44+Q45</f>
        <v>146350.70000000001</v>
      </c>
      <c r="R43" s="132">
        <f>R44</f>
        <v>5955.2</v>
      </c>
      <c r="S43" s="132"/>
      <c r="T43" s="132">
        <f>T44</f>
        <v>129044.8</v>
      </c>
      <c r="U43" s="132">
        <f>U44</f>
        <v>11350.7</v>
      </c>
      <c r="V43" s="132">
        <f t="shared" ref="V43:W43" si="23">V44+V45</f>
        <v>180000</v>
      </c>
      <c r="W43" s="132">
        <f t="shared" si="23"/>
        <v>0</v>
      </c>
      <c r="X43" s="361"/>
      <c r="Y43" s="453"/>
    </row>
    <row r="44" spans="1:71" ht="24.6" customHeight="1">
      <c r="A44" s="476"/>
      <c r="B44" s="167" t="s">
        <v>10</v>
      </c>
      <c r="C44" s="167"/>
      <c r="D44" s="167"/>
      <c r="E44" s="167"/>
      <c r="F44" s="167"/>
      <c r="G44" s="74">
        <f>SUM(H44:K44)</f>
        <v>6474.5</v>
      </c>
      <c r="H44" s="74"/>
      <c r="I44" s="74"/>
      <c r="J44" s="74"/>
      <c r="K44" s="74">
        <v>6474.5</v>
      </c>
      <c r="L44" s="132"/>
      <c r="M44" s="132"/>
      <c r="N44" s="132"/>
      <c r="O44" s="132"/>
      <c r="P44" s="132"/>
      <c r="Q44" s="132">
        <f>R44+T44+U44</f>
        <v>146350.70000000001</v>
      </c>
      <c r="R44" s="132">
        <v>5955.2</v>
      </c>
      <c r="S44" s="132"/>
      <c r="T44" s="132">
        <v>129044.8</v>
      </c>
      <c r="U44" s="132">
        <f>15000-3649.3</f>
        <v>11350.7</v>
      </c>
      <c r="V44" s="132">
        <v>180000</v>
      </c>
      <c r="W44" s="132">
        <v>0</v>
      </c>
      <c r="X44" s="361"/>
      <c r="Y44" s="453"/>
    </row>
    <row r="45" spans="1:71" ht="24" customHeight="1">
      <c r="A45" s="477"/>
      <c r="B45" s="167" t="s">
        <v>463</v>
      </c>
      <c r="C45" s="167"/>
      <c r="D45" s="167"/>
      <c r="E45" s="167"/>
      <c r="F45" s="167"/>
      <c r="G45" s="74">
        <f>SUM(H45:K45)</f>
        <v>104600</v>
      </c>
      <c r="H45" s="74"/>
      <c r="I45" s="74">
        <v>8263.4</v>
      </c>
      <c r="J45" s="74">
        <v>58576</v>
      </c>
      <c r="K45" s="74">
        <f>37760.6</f>
        <v>37760.6</v>
      </c>
      <c r="L45" s="132"/>
      <c r="M45" s="132"/>
      <c r="N45" s="132"/>
      <c r="O45" s="132"/>
      <c r="P45" s="132"/>
      <c r="Q45" s="307"/>
      <c r="R45" s="132"/>
      <c r="S45" s="132"/>
      <c r="T45" s="132"/>
      <c r="U45" s="132"/>
      <c r="V45" s="132"/>
      <c r="W45" s="132"/>
      <c r="X45" s="361"/>
      <c r="Y45" s="453"/>
    </row>
    <row r="46" spans="1:71" s="55" customFormat="1" ht="24.6" hidden="1" customHeight="1">
      <c r="A46" s="461" t="s">
        <v>97</v>
      </c>
      <c r="B46" s="82" t="s">
        <v>89</v>
      </c>
      <c r="C46" s="82"/>
      <c r="D46" s="82"/>
      <c r="E46" s="82"/>
      <c r="F46" s="82"/>
      <c r="G46" s="80">
        <f>SUM(H46:K46)</f>
        <v>2.68</v>
      </c>
      <c r="H46" s="80">
        <f t="shared" ref="H46:Q46" si="24">SUM(H49)</f>
        <v>0</v>
      </c>
      <c r="I46" s="80">
        <f t="shared" si="24"/>
        <v>0</v>
      </c>
      <c r="J46" s="80">
        <f t="shared" si="24"/>
        <v>0</v>
      </c>
      <c r="K46" s="80">
        <f t="shared" si="24"/>
        <v>2.68</v>
      </c>
      <c r="L46" s="131">
        <f t="shared" si="24"/>
        <v>2.5</v>
      </c>
      <c r="M46" s="131">
        <f t="shared" si="24"/>
        <v>0</v>
      </c>
      <c r="N46" s="131">
        <f t="shared" si="24"/>
        <v>0</v>
      </c>
      <c r="O46" s="131">
        <f t="shared" si="24"/>
        <v>2.5</v>
      </c>
      <c r="P46" s="131"/>
      <c r="Q46" s="131">
        <f t="shared" si="24"/>
        <v>0</v>
      </c>
      <c r="R46" s="131"/>
      <c r="S46" s="131"/>
      <c r="T46" s="131"/>
      <c r="U46" s="131"/>
      <c r="V46" s="131"/>
      <c r="W46" s="131"/>
      <c r="X46" s="361"/>
      <c r="Y46" s="82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</row>
    <row r="47" spans="1:71" s="55" customFormat="1" ht="24.6" hidden="1" customHeight="1">
      <c r="A47" s="461"/>
      <c r="B47" s="82" t="s">
        <v>272</v>
      </c>
      <c r="C47" s="82"/>
      <c r="D47" s="82"/>
      <c r="E47" s="82"/>
      <c r="F47" s="82"/>
      <c r="G47" s="80">
        <f>G48</f>
        <v>68666.899999999994</v>
      </c>
      <c r="H47" s="80">
        <f t="shared" ref="H47:Q47" si="25">H48</f>
        <v>0</v>
      </c>
      <c r="I47" s="80">
        <f t="shared" si="25"/>
        <v>5545.3</v>
      </c>
      <c r="J47" s="80">
        <f t="shared" si="25"/>
        <v>39308.699999999997</v>
      </c>
      <c r="K47" s="80">
        <f t="shared" si="25"/>
        <v>23812.899999999998</v>
      </c>
      <c r="L47" s="131">
        <f t="shared" si="25"/>
        <v>1754.1</v>
      </c>
      <c r="M47" s="131"/>
      <c r="N47" s="131"/>
      <c r="O47" s="131"/>
      <c r="P47" s="131"/>
      <c r="Q47" s="131">
        <f t="shared" si="25"/>
        <v>0</v>
      </c>
      <c r="R47" s="131"/>
      <c r="S47" s="131"/>
      <c r="T47" s="131"/>
      <c r="U47" s="131"/>
      <c r="V47" s="131"/>
      <c r="W47" s="131"/>
      <c r="X47" s="361"/>
      <c r="Y47" s="82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</row>
    <row r="48" spans="1:71" s="55" customFormat="1" ht="24.6" hidden="1" customHeight="1">
      <c r="A48" s="461"/>
      <c r="B48" s="82" t="s">
        <v>34</v>
      </c>
      <c r="C48" s="82"/>
      <c r="D48" s="82"/>
      <c r="E48" s="82"/>
      <c r="F48" s="82"/>
      <c r="G48" s="80">
        <f>G51</f>
        <v>68666.899999999994</v>
      </c>
      <c r="H48" s="80">
        <f>H51</f>
        <v>0</v>
      </c>
      <c r="I48" s="80">
        <f>I51</f>
        <v>5545.3</v>
      </c>
      <c r="J48" s="80">
        <f>J51</f>
        <v>39308.699999999997</v>
      </c>
      <c r="K48" s="80">
        <f>K51</f>
        <v>23812.899999999998</v>
      </c>
      <c r="L48" s="131">
        <f>L50</f>
        <v>1754.1</v>
      </c>
      <c r="M48" s="131">
        <f t="shared" ref="M48:P48" si="26">M50</f>
        <v>0</v>
      </c>
      <c r="N48" s="131">
        <f t="shared" si="26"/>
        <v>0</v>
      </c>
      <c r="O48" s="132">
        <f t="shared" si="26"/>
        <v>1754.1</v>
      </c>
      <c r="P48" s="131">
        <f t="shared" si="26"/>
        <v>0</v>
      </c>
      <c r="Q48" s="131"/>
      <c r="R48" s="131"/>
      <c r="S48" s="131"/>
      <c r="T48" s="131"/>
      <c r="U48" s="131"/>
      <c r="V48" s="131"/>
      <c r="W48" s="131"/>
      <c r="X48" s="361"/>
      <c r="Y48" s="82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</row>
    <row r="49" spans="1:71" ht="24.6" hidden="1" customHeight="1">
      <c r="A49" s="513" t="s">
        <v>19</v>
      </c>
      <c r="B49" s="167" t="s">
        <v>89</v>
      </c>
      <c r="C49" s="167">
        <v>176</v>
      </c>
      <c r="D49" s="167" t="s">
        <v>15</v>
      </c>
      <c r="E49" s="167">
        <v>6100404</v>
      </c>
      <c r="F49" s="167">
        <v>414</v>
      </c>
      <c r="G49" s="74">
        <f>SUM(H49:K49)</f>
        <v>2.68</v>
      </c>
      <c r="H49" s="74">
        <f>H50</f>
        <v>0</v>
      </c>
      <c r="I49" s="74"/>
      <c r="J49" s="74"/>
      <c r="K49" s="74">
        <f>2.5+0.18</f>
        <v>2.68</v>
      </c>
      <c r="L49" s="132">
        <v>2.5</v>
      </c>
      <c r="M49" s="132"/>
      <c r="N49" s="132"/>
      <c r="O49" s="132">
        <v>2.5</v>
      </c>
      <c r="P49" s="132"/>
      <c r="Q49" s="132">
        <v>0</v>
      </c>
      <c r="R49" s="132"/>
      <c r="S49" s="132"/>
      <c r="T49" s="132"/>
      <c r="U49" s="132"/>
      <c r="V49" s="132"/>
      <c r="W49" s="132"/>
      <c r="X49" s="361"/>
      <c r="Y49" s="453" t="s">
        <v>308</v>
      </c>
    </row>
    <row r="50" spans="1:71" ht="24.6" hidden="1" customHeight="1">
      <c r="A50" s="513"/>
      <c r="B50" s="167" t="s">
        <v>272</v>
      </c>
      <c r="C50" s="167"/>
      <c r="D50" s="167"/>
      <c r="E50" s="167"/>
      <c r="F50" s="167"/>
      <c r="G50" s="74">
        <f>G51</f>
        <v>68666.899999999994</v>
      </c>
      <c r="H50" s="74">
        <f>H51</f>
        <v>0</v>
      </c>
      <c r="I50" s="74">
        <f>I51</f>
        <v>5545.3</v>
      </c>
      <c r="J50" s="74">
        <f>J51</f>
        <v>39308.699999999997</v>
      </c>
      <c r="K50" s="74">
        <f>K51</f>
        <v>23812.899999999998</v>
      </c>
      <c r="L50" s="132">
        <f>L51</f>
        <v>1754.1</v>
      </c>
      <c r="M50" s="132">
        <f t="shared" ref="M50:O50" si="27">M51</f>
        <v>0</v>
      </c>
      <c r="N50" s="132">
        <f t="shared" si="27"/>
        <v>0</v>
      </c>
      <c r="O50" s="132">
        <f t="shared" si="27"/>
        <v>1754.1</v>
      </c>
      <c r="P50" s="132"/>
      <c r="Q50" s="132"/>
      <c r="R50" s="132"/>
      <c r="S50" s="132"/>
      <c r="T50" s="132"/>
      <c r="U50" s="132"/>
      <c r="V50" s="132"/>
      <c r="W50" s="132"/>
      <c r="X50" s="361"/>
      <c r="Y50" s="453"/>
    </row>
    <row r="51" spans="1:71" ht="22.9" hidden="1" customHeight="1">
      <c r="A51" s="513"/>
      <c r="B51" s="167" t="s">
        <v>34</v>
      </c>
      <c r="C51" s="167"/>
      <c r="D51" s="167"/>
      <c r="E51" s="167"/>
      <c r="F51" s="167"/>
      <c r="G51" s="74">
        <f>SUM(H51:K51)</f>
        <v>68666.899999999994</v>
      </c>
      <c r="H51" s="74"/>
      <c r="I51" s="74">
        <v>5545.3</v>
      </c>
      <c r="J51" s="74">
        <v>39308.699999999997</v>
      </c>
      <c r="K51" s="74">
        <f>25340.1-1527.2</f>
        <v>23812.899999999998</v>
      </c>
      <c r="L51" s="132">
        <v>1754.1</v>
      </c>
      <c r="M51" s="132"/>
      <c r="N51" s="132"/>
      <c r="O51" s="132">
        <v>1754.1</v>
      </c>
      <c r="P51" s="132"/>
      <c r="Q51" s="132"/>
      <c r="R51" s="132"/>
      <c r="S51" s="132"/>
      <c r="T51" s="132"/>
      <c r="U51" s="132"/>
      <c r="V51" s="132"/>
      <c r="W51" s="132"/>
      <c r="X51" s="361"/>
      <c r="Y51" s="453"/>
    </row>
    <row r="52" spans="1:71" s="55" customFormat="1" ht="22.9" customHeight="1">
      <c r="A52" s="514" t="s">
        <v>98</v>
      </c>
      <c r="B52" s="82" t="s">
        <v>89</v>
      </c>
      <c r="C52" s="82"/>
      <c r="D52" s="82"/>
      <c r="E52" s="82"/>
      <c r="F52" s="82"/>
      <c r="G52" s="80">
        <f>SUM(H52:K52)</f>
        <v>2.0510000000000002</v>
      </c>
      <c r="H52" s="80">
        <f>H56+H60+H64+H67</f>
        <v>0</v>
      </c>
      <c r="I52" s="80">
        <f t="shared" ref="I52:P52" si="28">I56+I60+I64+I67</f>
        <v>0</v>
      </c>
      <c r="J52" s="80">
        <f t="shared" si="28"/>
        <v>0</v>
      </c>
      <c r="K52" s="80">
        <f t="shared" si="28"/>
        <v>2.0510000000000002</v>
      </c>
      <c r="L52" s="131">
        <f t="shared" si="28"/>
        <v>1.75</v>
      </c>
      <c r="M52" s="131">
        <f t="shared" si="28"/>
        <v>0</v>
      </c>
      <c r="N52" s="131">
        <f t="shared" si="28"/>
        <v>0</v>
      </c>
      <c r="O52" s="131">
        <f t="shared" si="28"/>
        <v>0</v>
      </c>
      <c r="P52" s="131">
        <f t="shared" si="28"/>
        <v>1.75</v>
      </c>
      <c r="Q52" s="308">
        <f>Q60+Q67+Q71+Q75+Q79+Q83</f>
        <v>9.5940000000000012</v>
      </c>
      <c r="R52" s="303">
        <f t="shared" ref="R52:T52" si="29">R60+R67+R71+R75+R79+R83</f>
        <v>0</v>
      </c>
      <c r="S52" s="303">
        <f t="shared" si="29"/>
        <v>0</v>
      </c>
      <c r="T52" s="303">
        <f t="shared" si="29"/>
        <v>0</v>
      </c>
      <c r="U52" s="308">
        <v>9.5940000000000012</v>
      </c>
      <c r="V52" s="131">
        <f t="shared" ref="V52:W52" si="30">V60+V67+V71+V75+V79+V83</f>
        <v>0</v>
      </c>
      <c r="W52" s="131">
        <f t="shared" si="30"/>
        <v>12.5</v>
      </c>
      <c r="X52" s="361"/>
      <c r="Y52" s="82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</row>
    <row r="53" spans="1:71" s="55" customFormat="1" ht="22.9" customHeight="1">
      <c r="A53" s="515"/>
      <c r="B53" s="82" t="s">
        <v>272</v>
      </c>
      <c r="C53" s="82"/>
      <c r="D53" s="82"/>
      <c r="E53" s="82"/>
      <c r="F53" s="82"/>
      <c r="G53" s="80">
        <f t="shared" ref="G53:K53" si="31">G54+G55</f>
        <v>41968.4</v>
      </c>
      <c r="H53" s="80">
        <f t="shared" si="31"/>
        <v>0</v>
      </c>
      <c r="I53" s="80">
        <f t="shared" si="31"/>
        <v>0</v>
      </c>
      <c r="J53" s="80">
        <f t="shared" si="31"/>
        <v>0</v>
      </c>
      <c r="K53" s="80">
        <f t="shared" si="31"/>
        <v>41968.4</v>
      </c>
      <c r="L53" s="131">
        <f>L54+L55</f>
        <v>46500</v>
      </c>
      <c r="M53" s="131">
        <f t="shared" ref="M53:P53" si="32">M54+M55</f>
        <v>0</v>
      </c>
      <c r="N53" s="131">
        <f t="shared" si="32"/>
        <v>0</v>
      </c>
      <c r="O53" s="131">
        <f t="shared" si="32"/>
        <v>0</v>
      </c>
      <c r="P53" s="131">
        <f t="shared" si="32"/>
        <v>46500</v>
      </c>
      <c r="Q53" s="131">
        <f>Q61+Q68+Q72+Q76+Q80+Q84</f>
        <v>285739.40000000002</v>
      </c>
      <c r="R53" s="131">
        <f t="shared" ref="R53:U53" si="33">R61+R68+R72+R76+R80+R84</f>
        <v>0</v>
      </c>
      <c r="S53" s="131">
        <f t="shared" si="33"/>
        <v>0</v>
      </c>
      <c r="T53" s="131">
        <f t="shared" si="33"/>
        <v>44239.1</v>
      </c>
      <c r="U53" s="131">
        <f t="shared" si="33"/>
        <v>241500.3</v>
      </c>
      <c r="V53" s="131">
        <f t="shared" ref="V53" si="34">V61+V68+V72+V76+V80+V84</f>
        <v>0</v>
      </c>
      <c r="W53" s="131">
        <f>W54+W55</f>
        <v>375541.07</v>
      </c>
      <c r="X53" s="361"/>
      <c r="Y53" s="82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</row>
    <row r="54" spans="1:71" s="55" customFormat="1" ht="24.6" customHeight="1">
      <c r="A54" s="515"/>
      <c r="B54" s="82" t="s">
        <v>10</v>
      </c>
      <c r="C54" s="82"/>
      <c r="D54" s="82"/>
      <c r="E54" s="82"/>
      <c r="F54" s="82"/>
      <c r="G54" s="80">
        <f t="shared" ref="G54:K54" si="35">G58+G69</f>
        <v>20514.900000000001</v>
      </c>
      <c r="H54" s="80">
        <f t="shared" si="35"/>
        <v>0</v>
      </c>
      <c r="I54" s="80">
        <f t="shared" si="35"/>
        <v>0</v>
      </c>
      <c r="J54" s="80">
        <f t="shared" si="35"/>
        <v>0</v>
      </c>
      <c r="K54" s="80">
        <f t="shared" si="35"/>
        <v>20514.900000000001</v>
      </c>
      <c r="L54" s="131">
        <f>L58+L69</f>
        <v>37000</v>
      </c>
      <c r="M54" s="131">
        <f t="shared" ref="M54:P54" si="36">M58+M69</f>
        <v>0</v>
      </c>
      <c r="N54" s="131">
        <f t="shared" si="36"/>
        <v>0</v>
      </c>
      <c r="O54" s="131">
        <f t="shared" si="36"/>
        <v>0</v>
      </c>
      <c r="P54" s="131">
        <f t="shared" si="36"/>
        <v>37000</v>
      </c>
      <c r="Q54" s="131">
        <f>Q69+Q73+Q77+Q81+Q85+Q62</f>
        <v>157469.5</v>
      </c>
      <c r="R54" s="131">
        <f t="shared" ref="R54:U54" si="37">R69+R73+R77+R81+R85+R62</f>
        <v>0</v>
      </c>
      <c r="S54" s="131">
        <f t="shared" si="37"/>
        <v>0</v>
      </c>
      <c r="T54" s="131">
        <f t="shared" si="37"/>
        <v>22433.199999999997</v>
      </c>
      <c r="U54" s="131">
        <f t="shared" si="37"/>
        <v>135036.29999999999</v>
      </c>
      <c r="V54" s="131">
        <f t="shared" ref="V54:W54" si="38">V69+V73+V77+V81+V85</f>
        <v>0</v>
      </c>
      <c r="W54" s="131">
        <f t="shared" si="38"/>
        <v>258000</v>
      </c>
      <c r="X54" s="361"/>
      <c r="Y54" s="82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</row>
    <row r="55" spans="1:71" s="55" customFormat="1" ht="23.45" customHeight="1">
      <c r="A55" s="516"/>
      <c r="B55" s="82" t="s">
        <v>34</v>
      </c>
      <c r="C55" s="82"/>
      <c r="D55" s="82"/>
      <c r="E55" s="82"/>
      <c r="F55" s="82"/>
      <c r="G55" s="80">
        <f t="shared" ref="G55:K55" si="39">G59+G63+G66</f>
        <v>21453.5</v>
      </c>
      <c r="H55" s="80">
        <f t="shared" si="39"/>
        <v>0</v>
      </c>
      <c r="I55" s="80">
        <f t="shared" si="39"/>
        <v>0</v>
      </c>
      <c r="J55" s="80">
        <f t="shared" si="39"/>
        <v>0</v>
      </c>
      <c r="K55" s="80">
        <f t="shared" si="39"/>
        <v>21453.5</v>
      </c>
      <c r="L55" s="131">
        <f>L59+L63+L66+L70</f>
        <v>9500</v>
      </c>
      <c r="M55" s="131">
        <f>M59+M63+M66+M70</f>
        <v>0</v>
      </c>
      <c r="N55" s="131">
        <f>N59+N63+N66+N70</f>
        <v>0</v>
      </c>
      <c r="O55" s="131">
        <f>O59+O63+O66+O70</f>
        <v>0</v>
      </c>
      <c r="P55" s="131">
        <f>P59+P63+P66+P70</f>
        <v>9500</v>
      </c>
      <c r="Q55" s="131">
        <f>Q63+Q70+Q74+Q78+Q82+Q86</f>
        <v>128269.9</v>
      </c>
      <c r="R55" s="131">
        <f t="shared" ref="R55:U55" si="40">R63+R70+R74+R78+R82+R86</f>
        <v>0</v>
      </c>
      <c r="S55" s="131">
        <f t="shared" si="40"/>
        <v>0</v>
      </c>
      <c r="T55" s="131">
        <f t="shared" si="40"/>
        <v>21805.9</v>
      </c>
      <c r="U55" s="131">
        <f t="shared" si="40"/>
        <v>106464</v>
      </c>
      <c r="V55" s="131">
        <f t="shared" ref="V55:W55" si="41">V63+V70+V74+V78+V82+V86</f>
        <v>0</v>
      </c>
      <c r="W55" s="131">
        <f t="shared" si="41"/>
        <v>117541.07</v>
      </c>
      <c r="X55" s="361"/>
      <c r="Y55" s="82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</row>
    <row r="56" spans="1:71" s="55" customFormat="1" ht="24.95" hidden="1" customHeight="1">
      <c r="A56" s="462" t="s">
        <v>17</v>
      </c>
      <c r="B56" s="167" t="s">
        <v>89</v>
      </c>
      <c r="C56" s="82"/>
      <c r="D56" s="82"/>
      <c r="E56" s="82"/>
      <c r="F56" s="82"/>
      <c r="G56" s="74">
        <f>SUM(H56:K56)</f>
        <v>2.0510000000000002</v>
      </c>
      <c r="H56" s="74"/>
      <c r="I56" s="74"/>
      <c r="J56" s="74"/>
      <c r="K56" s="74">
        <v>2.0510000000000002</v>
      </c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361"/>
      <c r="Y56" s="82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</row>
    <row r="57" spans="1:71" ht="24.95" hidden="1" customHeight="1">
      <c r="A57" s="462"/>
      <c r="B57" s="167" t="s">
        <v>272</v>
      </c>
      <c r="C57" s="167">
        <v>176</v>
      </c>
      <c r="D57" s="167" t="s">
        <v>15</v>
      </c>
      <c r="E57" s="167">
        <v>6100404</v>
      </c>
      <c r="F57" s="167">
        <v>414</v>
      </c>
      <c r="G57" s="74">
        <f>G58+G59</f>
        <v>41968.4</v>
      </c>
      <c r="H57" s="74">
        <f>H58+H59</f>
        <v>0</v>
      </c>
      <c r="I57" s="74">
        <f>I58+I59</f>
        <v>0</v>
      </c>
      <c r="J57" s="74">
        <f>J58+J59</f>
        <v>0</v>
      </c>
      <c r="K57" s="74">
        <f>K58+K59</f>
        <v>41968.4</v>
      </c>
      <c r="L57" s="132">
        <v>0</v>
      </c>
      <c r="M57" s="132"/>
      <c r="N57" s="132"/>
      <c r="O57" s="132"/>
      <c r="P57" s="132"/>
      <c r="Q57" s="132">
        <v>0</v>
      </c>
      <c r="R57" s="132"/>
      <c r="S57" s="132"/>
      <c r="T57" s="132"/>
      <c r="U57" s="132"/>
      <c r="V57" s="132">
        <v>0</v>
      </c>
      <c r="W57" s="132"/>
      <c r="X57" s="361"/>
      <c r="Y57" s="453" t="s">
        <v>226</v>
      </c>
    </row>
    <row r="58" spans="1:71" ht="24.95" hidden="1" customHeight="1">
      <c r="A58" s="462"/>
      <c r="B58" s="167" t="s">
        <v>10</v>
      </c>
      <c r="C58" s="167"/>
      <c r="D58" s="167"/>
      <c r="E58" s="167"/>
      <c r="F58" s="167"/>
      <c r="G58" s="74">
        <f>SUM(H58:K58)</f>
        <v>20514.900000000001</v>
      </c>
      <c r="H58" s="74"/>
      <c r="I58" s="74"/>
      <c r="J58" s="74"/>
      <c r="K58" s="74">
        <v>20514.900000000001</v>
      </c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361"/>
      <c r="Y58" s="453"/>
    </row>
    <row r="59" spans="1:71" ht="22.9" hidden="1" customHeight="1">
      <c r="A59" s="462"/>
      <c r="B59" s="167" t="s">
        <v>34</v>
      </c>
      <c r="C59" s="167"/>
      <c r="D59" s="167"/>
      <c r="E59" s="167"/>
      <c r="F59" s="167"/>
      <c r="G59" s="74">
        <f>SUM(H59:K59)</f>
        <v>21453.5</v>
      </c>
      <c r="H59" s="74"/>
      <c r="I59" s="74"/>
      <c r="J59" s="74"/>
      <c r="K59" s="74">
        <v>21453.5</v>
      </c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361"/>
      <c r="Y59" s="453"/>
      <c r="AA59" s="58"/>
      <c r="AC59" s="58"/>
    </row>
    <row r="60" spans="1:71" ht="22.9" customHeight="1">
      <c r="A60" s="462" t="s">
        <v>529</v>
      </c>
      <c r="B60" s="167" t="s">
        <v>89</v>
      </c>
      <c r="C60" s="167"/>
      <c r="D60" s="167"/>
      <c r="E60" s="167"/>
      <c r="F60" s="167"/>
      <c r="G60" s="74"/>
      <c r="H60" s="74"/>
      <c r="I60" s="74"/>
      <c r="J60" s="74"/>
      <c r="K60" s="74"/>
      <c r="L60" s="132"/>
      <c r="M60" s="132"/>
      <c r="N60" s="132"/>
      <c r="O60" s="132"/>
      <c r="P60" s="132"/>
      <c r="Q60" s="151">
        <v>0</v>
      </c>
      <c r="R60" s="151"/>
      <c r="S60" s="151"/>
      <c r="T60" s="151"/>
      <c r="U60" s="151"/>
      <c r="V60" s="132"/>
      <c r="W60" s="132"/>
      <c r="X60" s="361"/>
      <c r="Y60" s="453" t="s">
        <v>609</v>
      </c>
    </row>
    <row r="61" spans="1:71" ht="22.9" customHeight="1">
      <c r="A61" s="462"/>
      <c r="B61" s="167" t="s">
        <v>272</v>
      </c>
      <c r="C61" s="167"/>
      <c r="D61" s="167"/>
      <c r="E61" s="167"/>
      <c r="F61" s="167"/>
      <c r="G61" s="74">
        <f>G63</f>
        <v>0</v>
      </c>
      <c r="H61" s="74">
        <f t="shared" ref="H61:V61" si="42">H63</f>
        <v>0</v>
      </c>
      <c r="I61" s="74">
        <f t="shared" si="42"/>
        <v>0</v>
      </c>
      <c r="J61" s="74">
        <f t="shared" si="42"/>
        <v>0</v>
      </c>
      <c r="K61" s="74">
        <f t="shared" si="42"/>
        <v>0</v>
      </c>
      <c r="L61" s="132">
        <f t="shared" si="42"/>
        <v>0</v>
      </c>
      <c r="M61" s="132"/>
      <c r="N61" s="132"/>
      <c r="O61" s="132"/>
      <c r="P61" s="132"/>
      <c r="Q61" s="132">
        <f>Q62+Q63</f>
        <v>50000</v>
      </c>
      <c r="R61" s="132">
        <f t="shared" ref="R61:U61" si="43">R62+R63</f>
        <v>0</v>
      </c>
      <c r="S61" s="132">
        <f t="shared" si="43"/>
        <v>0</v>
      </c>
      <c r="T61" s="132">
        <f t="shared" si="43"/>
        <v>0</v>
      </c>
      <c r="U61" s="132">
        <f t="shared" si="43"/>
        <v>50000</v>
      </c>
      <c r="V61" s="132">
        <f t="shared" si="42"/>
        <v>0</v>
      </c>
      <c r="W61" s="132"/>
      <c r="X61" s="361"/>
      <c r="Y61" s="453"/>
      <c r="AA61" s="58"/>
      <c r="AH61" s="58" t="e">
        <f>#REF!-AC13</f>
        <v>#REF!</v>
      </c>
    </row>
    <row r="62" spans="1:71" ht="24.6" customHeight="1">
      <c r="A62" s="462"/>
      <c r="B62" s="312" t="s">
        <v>10</v>
      </c>
      <c r="C62" s="312"/>
      <c r="D62" s="312"/>
      <c r="E62" s="312"/>
      <c r="F62" s="312"/>
      <c r="G62" s="74"/>
      <c r="H62" s="74"/>
      <c r="I62" s="74"/>
      <c r="J62" s="74"/>
      <c r="K62" s="74"/>
      <c r="L62" s="132"/>
      <c r="M62" s="132"/>
      <c r="N62" s="132"/>
      <c r="O62" s="132"/>
      <c r="P62" s="132"/>
      <c r="Q62" s="132">
        <f>U62</f>
        <v>50000</v>
      </c>
      <c r="R62" s="132"/>
      <c r="S62" s="132"/>
      <c r="T62" s="132"/>
      <c r="U62" s="132">
        <v>50000</v>
      </c>
      <c r="V62" s="132"/>
      <c r="W62" s="132"/>
      <c r="X62" s="361"/>
      <c r="Y62" s="453"/>
      <c r="AA62" s="58"/>
      <c r="AH62" s="58"/>
    </row>
    <row r="63" spans="1:71" ht="24.6" customHeight="1">
      <c r="A63" s="462"/>
      <c r="B63" s="167" t="s">
        <v>34</v>
      </c>
      <c r="C63" s="167"/>
      <c r="D63" s="167"/>
      <c r="E63" s="167"/>
      <c r="F63" s="167"/>
      <c r="G63" s="74"/>
      <c r="H63" s="74"/>
      <c r="I63" s="74"/>
      <c r="J63" s="74"/>
      <c r="K63" s="74"/>
      <c r="L63" s="132">
        <v>0</v>
      </c>
      <c r="M63" s="132"/>
      <c r="N63" s="132"/>
      <c r="O63" s="132"/>
      <c r="P63" s="132"/>
      <c r="Q63" s="132">
        <v>0</v>
      </c>
      <c r="R63" s="132"/>
      <c r="S63" s="132"/>
      <c r="T63" s="132"/>
      <c r="U63" s="132"/>
      <c r="V63" s="132"/>
      <c r="W63" s="132"/>
      <c r="X63" s="361"/>
      <c r="Y63" s="453"/>
    </row>
    <row r="64" spans="1:71" ht="24.95" hidden="1" customHeight="1">
      <c r="A64" s="462" t="s">
        <v>245</v>
      </c>
      <c r="B64" s="167" t="s">
        <v>89</v>
      </c>
      <c r="C64" s="167"/>
      <c r="D64" s="167"/>
      <c r="E64" s="167"/>
      <c r="F64" s="167"/>
      <c r="G64" s="74"/>
      <c r="H64" s="74"/>
      <c r="I64" s="74"/>
      <c r="J64" s="74"/>
      <c r="K64" s="74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361"/>
      <c r="Y64" s="453" t="s">
        <v>246</v>
      </c>
      <c r="AA64" s="58"/>
    </row>
    <row r="65" spans="1:26" ht="24.95" hidden="1" customHeight="1">
      <c r="A65" s="462"/>
      <c r="B65" s="167" t="s">
        <v>272</v>
      </c>
      <c r="C65" s="167"/>
      <c r="D65" s="167"/>
      <c r="E65" s="167"/>
      <c r="F65" s="167"/>
      <c r="G65" s="74">
        <f>G66</f>
        <v>0</v>
      </c>
      <c r="H65" s="74">
        <f>H66</f>
        <v>0</v>
      </c>
      <c r="I65" s="74">
        <f>I66</f>
        <v>0</v>
      </c>
      <c r="J65" s="74">
        <f>J66</f>
        <v>0</v>
      </c>
      <c r="K65" s="74">
        <f>K66</f>
        <v>0</v>
      </c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361"/>
      <c r="Y65" s="453"/>
    </row>
    <row r="66" spans="1:26" ht="24.95" hidden="1" customHeight="1">
      <c r="A66" s="462"/>
      <c r="B66" s="167" t="s">
        <v>34</v>
      </c>
      <c r="C66" s="167"/>
      <c r="D66" s="167"/>
      <c r="E66" s="167"/>
      <c r="F66" s="167"/>
      <c r="G66" s="74"/>
      <c r="H66" s="74"/>
      <c r="I66" s="74"/>
      <c r="J66" s="74"/>
      <c r="K66" s="74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361"/>
      <c r="Y66" s="453"/>
    </row>
    <row r="67" spans="1:26" ht="6.6" hidden="1" customHeight="1">
      <c r="A67" s="475" t="s">
        <v>280</v>
      </c>
      <c r="B67" s="167" t="s">
        <v>89</v>
      </c>
      <c r="C67" s="167"/>
      <c r="D67" s="167"/>
      <c r="E67" s="167"/>
      <c r="F67" s="167"/>
      <c r="G67" s="74"/>
      <c r="H67" s="74"/>
      <c r="I67" s="74"/>
      <c r="J67" s="74"/>
      <c r="K67" s="74"/>
      <c r="L67" s="132">
        <f>1.4+0.35</f>
        <v>1.75</v>
      </c>
      <c r="M67" s="132"/>
      <c r="N67" s="132"/>
      <c r="O67" s="132"/>
      <c r="P67" s="132">
        <f>1.4+0.35</f>
        <v>1.75</v>
      </c>
      <c r="Q67" s="151">
        <v>0</v>
      </c>
      <c r="R67" s="151"/>
      <c r="S67" s="151"/>
      <c r="T67" s="151"/>
      <c r="U67" s="151"/>
      <c r="V67" s="132"/>
      <c r="W67" s="132"/>
      <c r="X67" s="361"/>
      <c r="Y67" s="453" t="s">
        <v>421</v>
      </c>
    </row>
    <row r="68" spans="1:26" ht="24.6" hidden="1" customHeight="1">
      <c r="A68" s="476"/>
      <c r="B68" s="167" t="s">
        <v>272</v>
      </c>
      <c r="C68" s="167"/>
      <c r="D68" s="167"/>
      <c r="E68" s="167"/>
      <c r="F68" s="167"/>
      <c r="G68" s="74"/>
      <c r="H68" s="74">
        <f>H69</f>
        <v>0</v>
      </c>
      <c r="I68" s="74">
        <f t="shared" ref="I68:V68" si="44">I69</f>
        <v>0</v>
      </c>
      <c r="J68" s="74">
        <f t="shared" si="44"/>
        <v>0</v>
      </c>
      <c r="K68" s="74">
        <f t="shared" si="44"/>
        <v>0</v>
      </c>
      <c r="L68" s="132">
        <f t="shared" si="44"/>
        <v>37000</v>
      </c>
      <c r="M68" s="132">
        <f t="shared" si="44"/>
        <v>0</v>
      </c>
      <c r="N68" s="132">
        <f t="shared" si="44"/>
        <v>0</v>
      </c>
      <c r="O68" s="132">
        <f t="shared" si="44"/>
        <v>0</v>
      </c>
      <c r="P68" s="132">
        <f t="shared" si="44"/>
        <v>37000</v>
      </c>
      <c r="Q68" s="132">
        <f>Q70</f>
        <v>0</v>
      </c>
      <c r="R68" s="132"/>
      <c r="S68" s="132"/>
      <c r="T68" s="132"/>
      <c r="U68" s="132"/>
      <c r="V68" s="132">
        <f t="shared" si="44"/>
        <v>0</v>
      </c>
      <c r="W68" s="132"/>
      <c r="X68" s="361"/>
      <c r="Y68" s="453"/>
    </row>
    <row r="69" spans="1:26" ht="24.6" hidden="1" customHeight="1">
      <c r="A69" s="476"/>
      <c r="B69" s="167" t="s">
        <v>10</v>
      </c>
      <c r="C69" s="167"/>
      <c r="D69" s="167"/>
      <c r="E69" s="167"/>
      <c r="F69" s="167"/>
      <c r="G69" s="74"/>
      <c r="H69" s="74"/>
      <c r="I69" s="74"/>
      <c r="J69" s="74"/>
      <c r="K69" s="74"/>
      <c r="L69" s="132">
        <v>37000</v>
      </c>
      <c r="M69" s="132"/>
      <c r="N69" s="132"/>
      <c r="O69" s="132"/>
      <c r="P69" s="132">
        <v>37000</v>
      </c>
      <c r="Q69" s="132"/>
      <c r="R69" s="132"/>
      <c r="S69" s="132"/>
      <c r="T69" s="132"/>
      <c r="U69" s="132"/>
      <c r="V69" s="132"/>
      <c r="W69" s="132"/>
      <c r="X69" s="361"/>
      <c r="Y69" s="453"/>
    </row>
    <row r="70" spans="1:26" ht="24.6" hidden="1" customHeight="1">
      <c r="A70" s="477"/>
      <c r="B70" s="167" t="s">
        <v>34</v>
      </c>
      <c r="C70" s="167"/>
      <c r="D70" s="167"/>
      <c r="E70" s="167"/>
      <c r="F70" s="167"/>
      <c r="G70" s="74"/>
      <c r="H70" s="74"/>
      <c r="I70" s="74"/>
      <c r="J70" s="74"/>
      <c r="K70" s="74"/>
      <c r="L70" s="132">
        <f>46500-37000</f>
        <v>9500</v>
      </c>
      <c r="M70" s="132"/>
      <c r="N70" s="132"/>
      <c r="O70" s="132"/>
      <c r="P70" s="132">
        <v>9500</v>
      </c>
      <c r="Q70" s="132">
        <v>0</v>
      </c>
      <c r="R70" s="132"/>
      <c r="S70" s="132"/>
      <c r="T70" s="132"/>
      <c r="U70" s="132"/>
      <c r="V70" s="132"/>
      <c r="W70" s="132"/>
      <c r="X70" s="361"/>
      <c r="Y70" s="453"/>
    </row>
    <row r="71" spans="1:26" ht="24.6" hidden="1" customHeight="1">
      <c r="A71" s="475" t="s">
        <v>458</v>
      </c>
      <c r="B71" s="167" t="s">
        <v>89</v>
      </c>
      <c r="C71" s="167"/>
      <c r="D71" s="167"/>
      <c r="E71" s="167"/>
      <c r="F71" s="167"/>
      <c r="G71" s="74"/>
      <c r="H71" s="74"/>
      <c r="I71" s="74"/>
      <c r="J71" s="74"/>
      <c r="K71" s="74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361"/>
      <c r="Y71" s="453" t="s">
        <v>416</v>
      </c>
    </row>
    <row r="72" spans="1:26" ht="24.6" hidden="1" customHeight="1">
      <c r="A72" s="476"/>
      <c r="B72" s="167" t="s">
        <v>272</v>
      </c>
      <c r="C72" s="167"/>
      <c r="D72" s="167"/>
      <c r="E72" s="167"/>
      <c r="F72" s="167"/>
      <c r="G72" s="74"/>
      <c r="H72" s="74"/>
      <c r="I72" s="74"/>
      <c r="J72" s="74"/>
      <c r="K72" s="74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>
        <f>W73+W74</f>
        <v>0</v>
      </c>
      <c r="X72" s="361"/>
      <c r="Y72" s="453"/>
    </row>
    <row r="73" spans="1:26" ht="24.6" hidden="1" customHeight="1">
      <c r="A73" s="476"/>
      <c r="B73" s="167" t="s">
        <v>10</v>
      </c>
      <c r="C73" s="167"/>
      <c r="D73" s="167"/>
      <c r="E73" s="167"/>
      <c r="F73" s="167"/>
      <c r="G73" s="74"/>
      <c r="H73" s="74"/>
      <c r="I73" s="74"/>
      <c r="J73" s="74"/>
      <c r="K73" s="74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361"/>
      <c r="Y73" s="453"/>
    </row>
    <row r="74" spans="1:26" ht="24.6" hidden="1" customHeight="1">
      <c r="A74" s="477"/>
      <c r="B74" s="169" t="s">
        <v>34</v>
      </c>
      <c r="C74" s="169"/>
      <c r="D74" s="169"/>
      <c r="E74" s="169"/>
      <c r="F74" s="169"/>
      <c r="G74" s="140"/>
      <c r="H74" s="140"/>
      <c r="I74" s="140"/>
      <c r="J74" s="140"/>
      <c r="K74" s="140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361"/>
      <c r="Y74" s="453"/>
    </row>
    <row r="75" spans="1:26" ht="24.6" customHeight="1">
      <c r="A75" s="475" t="s">
        <v>422</v>
      </c>
      <c r="B75" s="302" t="s">
        <v>89</v>
      </c>
      <c r="C75" s="302"/>
      <c r="D75" s="302"/>
      <c r="E75" s="302"/>
      <c r="F75" s="302"/>
      <c r="G75" s="140"/>
      <c r="H75" s="140"/>
      <c r="I75" s="140"/>
      <c r="J75" s="140"/>
      <c r="K75" s="140"/>
      <c r="L75" s="141"/>
      <c r="M75" s="141"/>
      <c r="N75" s="141"/>
      <c r="O75" s="141"/>
      <c r="P75" s="141"/>
      <c r="Q75" s="309">
        <v>6.9480000000000004</v>
      </c>
      <c r="R75" s="309"/>
      <c r="S75" s="309"/>
      <c r="T75" s="309"/>
      <c r="U75" s="309">
        <v>6.9480000000000004</v>
      </c>
      <c r="V75" s="141"/>
      <c r="W75" s="183"/>
      <c r="X75" s="361"/>
      <c r="Y75" s="453" t="s">
        <v>542</v>
      </c>
    </row>
    <row r="76" spans="1:26" ht="24.6" customHeight="1">
      <c r="A76" s="476"/>
      <c r="B76" s="302" t="s">
        <v>272</v>
      </c>
      <c r="C76" s="302"/>
      <c r="D76" s="302"/>
      <c r="E76" s="302"/>
      <c r="F76" s="302"/>
      <c r="G76" s="140"/>
      <c r="H76" s="140"/>
      <c r="I76" s="140"/>
      <c r="J76" s="140"/>
      <c r="K76" s="140"/>
      <c r="L76" s="141"/>
      <c r="M76" s="141"/>
      <c r="N76" s="141"/>
      <c r="O76" s="141"/>
      <c r="P76" s="141"/>
      <c r="Q76" s="141">
        <f>Q77+Q78</f>
        <v>175897.07</v>
      </c>
      <c r="R76" s="141"/>
      <c r="S76" s="141">
        <f t="shared" ref="S76:U76" si="45">S77+S78</f>
        <v>0</v>
      </c>
      <c r="T76" s="141">
        <f t="shared" si="45"/>
        <v>33039.199999999997</v>
      </c>
      <c r="U76" s="141">
        <f t="shared" si="45"/>
        <v>142857.87</v>
      </c>
      <c r="V76" s="141"/>
      <c r="W76" s="141">
        <f>W78</f>
        <v>0</v>
      </c>
      <c r="X76" s="361"/>
      <c r="Y76" s="453"/>
    </row>
    <row r="77" spans="1:26" ht="24.6" customHeight="1">
      <c r="A77" s="476"/>
      <c r="B77" s="302" t="s">
        <v>10</v>
      </c>
      <c r="C77" s="302"/>
      <c r="D77" s="302"/>
      <c r="E77" s="302"/>
      <c r="F77" s="302"/>
      <c r="G77" s="140"/>
      <c r="H77" s="140"/>
      <c r="I77" s="140"/>
      <c r="J77" s="140"/>
      <c r="K77" s="140"/>
      <c r="L77" s="141"/>
      <c r="M77" s="141"/>
      <c r="N77" s="141"/>
      <c r="O77" s="141"/>
      <c r="P77" s="141"/>
      <c r="Q77" s="141">
        <f>T77+U77</f>
        <v>80174.899999999994</v>
      </c>
      <c r="R77" s="141"/>
      <c r="S77" s="141"/>
      <c r="T77" s="141">
        <v>17247.3</v>
      </c>
      <c r="U77" s="141">
        <f>64630.7-409.3-1293.8</f>
        <v>62927.599999999991</v>
      </c>
      <c r="V77" s="141"/>
      <c r="W77" s="141"/>
      <c r="X77" s="361"/>
      <c r="Y77" s="453"/>
    </row>
    <row r="78" spans="1:26" ht="24.6" customHeight="1">
      <c r="A78" s="477"/>
      <c r="B78" s="302" t="s">
        <v>34</v>
      </c>
      <c r="C78" s="302"/>
      <c r="D78" s="302"/>
      <c r="E78" s="302"/>
      <c r="F78" s="302"/>
      <c r="G78" s="140"/>
      <c r="H78" s="140"/>
      <c r="I78" s="140"/>
      <c r="J78" s="140"/>
      <c r="K78" s="140"/>
      <c r="L78" s="141"/>
      <c r="M78" s="141"/>
      <c r="N78" s="141"/>
      <c r="O78" s="141"/>
      <c r="P78" s="141"/>
      <c r="Q78" s="141">
        <v>95722.17</v>
      </c>
      <c r="R78" s="141"/>
      <c r="S78" s="141"/>
      <c r="T78" s="141">
        <v>15791.9</v>
      </c>
      <c r="U78" s="141">
        <v>79930.27</v>
      </c>
      <c r="V78" s="141"/>
      <c r="W78" s="141"/>
      <c r="X78" s="361"/>
      <c r="Y78" s="453"/>
      <c r="Z78" s="160"/>
    </row>
    <row r="79" spans="1:26" ht="24.6" customHeight="1">
      <c r="A79" s="475" t="s">
        <v>349</v>
      </c>
      <c r="B79" s="302" t="s">
        <v>89</v>
      </c>
      <c r="C79" s="302"/>
      <c r="D79" s="302"/>
      <c r="E79" s="302"/>
      <c r="F79" s="302"/>
      <c r="G79" s="140"/>
      <c r="H79" s="140"/>
      <c r="I79" s="140"/>
      <c r="J79" s="140"/>
      <c r="K79" s="140"/>
      <c r="L79" s="141"/>
      <c r="M79" s="141"/>
      <c r="N79" s="141"/>
      <c r="O79" s="141"/>
      <c r="P79" s="141"/>
      <c r="Q79" s="309">
        <v>2.6459999999999999</v>
      </c>
      <c r="R79" s="309"/>
      <c r="S79" s="309"/>
      <c r="T79" s="309"/>
      <c r="U79" s="309">
        <v>2.6459999999999999</v>
      </c>
      <c r="V79" s="141"/>
      <c r="W79" s="183"/>
      <c r="X79" s="361"/>
      <c r="Y79" s="494" t="s">
        <v>543</v>
      </c>
    </row>
    <row r="80" spans="1:26" ht="24.6" customHeight="1">
      <c r="A80" s="476"/>
      <c r="B80" s="302" t="s">
        <v>272</v>
      </c>
      <c r="C80" s="302"/>
      <c r="D80" s="302"/>
      <c r="E80" s="302"/>
      <c r="F80" s="302"/>
      <c r="G80" s="140"/>
      <c r="H80" s="140"/>
      <c r="I80" s="140"/>
      <c r="J80" s="140"/>
      <c r="K80" s="140"/>
      <c r="L80" s="141"/>
      <c r="M80" s="141"/>
      <c r="N80" s="141"/>
      <c r="O80" s="141"/>
      <c r="P80" s="141"/>
      <c r="Q80" s="141">
        <f>Q81+Q82</f>
        <v>59842.33</v>
      </c>
      <c r="R80" s="141"/>
      <c r="S80" s="141">
        <f t="shared" ref="S80:U80" si="46">S81+S82</f>
        <v>0</v>
      </c>
      <c r="T80" s="141">
        <f t="shared" si="46"/>
        <v>11199.9</v>
      </c>
      <c r="U80" s="141">
        <f t="shared" si="46"/>
        <v>48642.43</v>
      </c>
      <c r="V80" s="141">
        <f>V81+V82</f>
        <v>0</v>
      </c>
      <c r="W80" s="141">
        <f>W82</f>
        <v>0</v>
      </c>
      <c r="X80" s="361"/>
      <c r="Y80" s="495"/>
    </row>
    <row r="81" spans="1:71" ht="24.6" customHeight="1">
      <c r="A81" s="476"/>
      <c r="B81" s="302" t="s">
        <v>10</v>
      </c>
      <c r="C81" s="302"/>
      <c r="D81" s="302"/>
      <c r="E81" s="302"/>
      <c r="F81" s="302"/>
      <c r="G81" s="140"/>
      <c r="H81" s="140"/>
      <c r="I81" s="140"/>
      <c r="J81" s="140"/>
      <c r="K81" s="140"/>
      <c r="L81" s="141"/>
      <c r="M81" s="141"/>
      <c r="N81" s="141"/>
      <c r="O81" s="141"/>
      <c r="P81" s="141"/>
      <c r="Q81" s="141">
        <f>T81+U81</f>
        <v>27294.6</v>
      </c>
      <c r="R81" s="141"/>
      <c r="S81" s="141"/>
      <c r="T81" s="141">
        <v>5185.8999999999996</v>
      </c>
      <c r="U81" s="141">
        <f>22654.5-139.1-406.7</f>
        <v>22108.7</v>
      </c>
      <c r="V81" s="141">
        <v>0</v>
      </c>
      <c r="W81" s="141"/>
      <c r="X81" s="361"/>
      <c r="Y81" s="495"/>
    </row>
    <row r="82" spans="1:71" ht="24.6" customHeight="1">
      <c r="A82" s="477"/>
      <c r="B82" s="302" t="s">
        <v>34</v>
      </c>
      <c r="C82" s="302"/>
      <c r="D82" s="302"/>
      <c r="E82" s="302"/>
      <c r="F82" s="302"/>
      <c r="G82" s="140"/>
      <c r="H82" s="140"/>
      <c r="I82" s="140"/>
      <c r="J82" s="140"/>
      <c r="K82" s="140"/>
      <c r="L82" s="141"/>
      <c r="M82" s="141"/>
      <c r="N82" s="141"/>
      <c r="O82" s="141"/>
      <c r="P82" s="141"/>
      <c r="Q82" s="141">
        <v>32547.73</v>
      </c>
      <c r="R82" s="141"/>
      <c r="S82" s="141"/>
      <c r="T82" s="141">
        <v>6014</v>
      </c>
      <c r="U82" s="141">
        <v>26533.73</v>
      </c>
      <c r="V82" s="141"/>
      <c r="W82" s="141"/>
      <c r="X82" s="361"/>
      <c r="Y82" s="496"/>
    </row>
    <row r="83" spans="1:71" ht="27" customHeight="1">
      <c r="A83" s="475" t="s">
        <v>539</v>
      </c>
      <c r="B83" s="169" t="s">
        <v>89</v>
      </c>
      <c r="C83" s="169"/>
      <c r="D83" s="169"/>
      <c r="E83" s="169"/>
      <c r="F83" s="169"/>
      <c r="G83" s="140"/>
      <c r="H83" s="140"/>
      <c r="I83" s="140"/>
      <c r="J83" s="140"/>
      <c r="K83" s="140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83">
        <v>12.5</v>
      </c>
      <c r="X83" s="361"/>
      <c r="Y83" s="453" t="s">
        <v>500</v>
      </c>
    </row>
    <row r="84" spans="1:71" ht="24.6" customHeight="1">
      <c r="A84" s="476"/>
      <c r="B84" s="169" t="s">
        <v>272</v>
      </c>
      <c r="C84" s="169"/>
      <c r="D84" s="169"/>
      <c r="E84" s="169"/>
      <c r="F84" s="169"/>
      <c r="G84" s="140"/>
      <c r="H84" s="140"/>
      <c r="I84" s="140"/>
      <c r="J84" s="140"/>
      <c r="K84" s="140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>
        <f>W85+W86</f>
        <v>375541.07</v>
      </c>
      <c r="X84" s="361"/>
      <c r="Y84" s="453"/>
    </row>
    <row r="85" spans="1:71" ht="24.6" customHeight="1">
      <c r="A85" s="476"/>
      <c r="B85" s="169" t="s">
        <v>10</v>
      </c>
      <c r="C85" s="169"/>
      <c r="D85" s="169"/>
      <c r="E85" s="169"/>
      <c r="F85" s="169"/>
      <c r="G85" s="140"/>
      <c r="H85" s="140"/>
      <c r="I85" s="140"/>
      <c r="J85" s="140"/>
      <c r="K85" s="140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>
        <v>258000</v>
      </c>
      <c r="X85" s="361"/>
      <c r="Y85" s="453"/>
    </row>
    <row r="86" spans="1:71" ht="24.6" customHeight="1">
      <c r="A86" s="477"/>
      <c r="B86" s="167" t="s">
        <v>34</v>
      </c>
      <c r="C86" s="167"/>
      <c r="D86" s="167"/>
      <c r="E86" s="167"/>
      <c r="F86" s="167"/>
      <c r="G86" s="74"/>
      <c r="H86" s="74"/>
      <c r="I86" s="74"/>
      <c r="J86" s="74"/>
      <c r="K86" s="74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>
        <v>117541.07</v>
      </c>
      <c r="X86" s="361"/>
      <c r="Y86" s="453"/>
    </row>
    <row r="87" spans="1:71" s="55" customFormat="1" ht="24.95" hidden="1" customHeight="1">
      <c r="A87" s="472" t="s">
        <v>99</v>
      </c>
      <c r="B87" s="128" t="s">
        <v>89</v>
      </c>
      <c r="C87" s="128"/>
      <c r="D87" s="128"/>
      <c r="E87" s="128"/>
      <c r="F87" s="128"/>
      <c r="G87" s="142">
        <f>SUM(H87:K87)</f>
        <v>1.6819999999999999</v>
      </c>
      <c r="H87" s="142">
        <f t="shared" ref="H87:V87" si="47">H91+H95</f>
        <v>0</v>
      </c>
      <c r="I87" s="142">
        <f t="shared" si="47"/>
        <v>0</v>
      </c>
      <c r="J87" s="142">
        <f t="shared" si="47"/>
        <v>0</v>
      </c>
      <c r="K87" s="142">
        <f t="shared" si="47"/>
        <v>1.6819999999999999</v>
      </c>
      <c r="L87" s="143">
        <f t="shared" si="47"/>
        <v>0</v>
      </c>
      <c r="M87" s="143"/>
      <c r="N87" s="143"/>
      <c r="O87" s="143"/>
      <c r="P87" s="143"/>
      <c r="Q87" s="143">
        <f t="shared" si="47"/>
        <v>0</v>
      </c>
      <c r="R87" s="143"/>
      <c r="S87" s="143"/>
      <c r="T87" s="143"/>
      <c r="U87" s="143"/>
      <c r="V87" s="143">
        <f t="shared" si="47"/>
        <v>0</v>
      </c>
      <c r="W87" s="143"/>
      <c r="X87" s="361"/>
      <c r="Y87" s="148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  <c r="BI87" s="150"/>
      <c r="BJ87" s="150"/>
      <c r="BK87" s="150"/>
      <c r="BL87" s="150"/>
      <c r="BM87" s="150"/>
      <c r="BN87" s="150"/>
      <c r="BO87" s="150"/>
      <c r="BP87" s="150"/>
      <c r="BQ87" s="150"/>
      <c r="BR87" s="150"/>
      <c r="BS87" s="150"/>
    </row>
    <row r="88" spans="1:71" s="55" customFormat="1" ht="27.75" hidden="1" customHeight="1">
      <c r="A88" s="473"/>
      <c r="B88" s="82" t="s">
        <v>272</v>
      </c>
      <c r="C88" s="82"/>
      <c r="D88" s="82"/>
      <c r="E88" s="82"/>
      <c r="F88" s="82"/>
      <c r="G88" s="80">
        <f t="shared" ref="G88:V88" si="48">G89+G90</f>
        <v>49973.100000000006</v>
      </c>
      <c r="H88" s="80">
        <f t="shared" si="48"/>
        <v>0</v>
      </c>
      <c r="I88" s="80">
        <f t="shared" si="48"/>
        <v>4056.6</v>
      </c>
      <c r="J88" s="80">
        <f t="shared" si="48"/>
        <v>28756</v>
      </c>
      <c r="K88" s="80">
        <f t="shared" si="48"/>
        <v>17160.500000000004</v>
      </c>
      <c r="L88" s="131">
        <f t="shared" si="48"/>
        <v>0</v>
      </c>
      <c r="M88" s="131"/>
      <c r="N88" s="131"/>
      <c r="O88" s="131"/>
      <c r="P88" s="131"/>
      <c r="Q88" s="131">
        <f t="shared" si="48"/>
        <v>0</v>
      </c>
      <c r="R88" s="131"/>
      <c r="S88" s="131"/>
      <c r="T88" s="131"/>
      <c r="U88" s="131"/>
      <c r="V88" s="131">
        <f t="shared" si="48"/>
        <v>0</v>
      </c>
      <c r="W88" s="131"/>
      <c r="X88" s="361"/>
      <c r="Y88" s="82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150"/>
      <c r="BQ88" s="150"/>
      <c r="BR88" s="150"/>
      <c r="BS88" s="150"/>
    </row>
    <row r="89" spans="1:71" s="55" customFormat="1" ht="24.95" hidden="1" customHeight="1">
      <c r="A89" s="473"/>
      <c r="B89" s="82" t="s">
        <v>10</v>
      </c>
      <c r="C89" s="82"/>
      <c r="D89" s="82"/>
      <c r="E89" s="82"/>
      <c r="F89" s="82"/>
      <c r="G89" s="80">
        <f t="shared" ref="G89:K90" si="49">G93</f>
        <v>2000</v>
      </c>
      <c r="H89" s="80">
        <f t="shared" si="49"/>
        <v>0</v>
      </c>
      <c r="I89" s="80">
        <f t="shared" si="49"/>
        <v>0</v>
      </c>
      <c r="J89" s="80">
        <f t="shared" si="49"/>
        <v>0</v>
      </c>
      <c r="K89" s="80">
        <f t="shared" si="49"/>
        <v>2000</v>
      </c>
      <c r="L89" s="131">
        <f>L97</f>
        <v>0</v>
      </c>
      <c r="M89" s="131"/>
      <c r="N89" s="131"/>
      <c r="O89" s="131"/>
      <c r="P89" s="131"/>
      <c r="Q89" s="131">
        <f>Q97</f>
        <v>0</v>
      </c>
      <c r="R89" s="131"/>
      <c r="S89" s="131"/>
      <c r="T89" s="131">
        <f>T97</f>
        <v>0</v>
      </c>
      <c r="U89" s="131"/>
      <c r="V89" s="131">
        <f>V97</f>
        <v>0</v>
      </c>
      <c r="W89" s="131"/>
      <c r="X89" s="361"/>
      <c r="Y89" s="82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0"/>
      <c r="BR89" s="150"/>
      <c r="BS89" s="150"/>
    </row>
    <row r="90" spans="1:71" s="55" customFormat="1" ht="24.95" hidden="1" customHeight="1">
      <c r="A90" s="474"/>
      <c r="B90" s="82" t="s">
        <v>34</v>
      </c>
      <c r="C90" s="82"/>
      <c r="D90" s="82"/>
      <c r="E90" s="82"/>
      <c r="F90" s="82"/>
      <c r="G90" s="80">
        <f t="shared" si="49"/>
        <v>47973.100000000006</v>
      </c>
      <c r="H90" s="80">
        <f t="shared" si="49"/>
        <v>0</v>
      </c>
      <c r="I90" s="80">
        <f t="shared" si="49"/>
        <v>4056.6</v>
      </c>
      <c r="J90" s="80">
        <f t="shared" si="49"/>
        <v>28756</v>
      </c>
      <c r="K90" s="80">
        <f t="shared" si="49"/>
        <v>15160.500000000004</v>
      </c>
      <c r="L90" s="131">
        <f>L94+L98</f>
        <v>0</v>
      </c>
      <c r="M90" s="131"/>
      <c r="N90" s="131"/>
      <c r="O90" s="131"/>
      <c r="P90" s="131"/>
      <c r="Q90" s="131">
        <f>Q94+Q98</f>
        <v>0</v>
      </c>
      <c r="R90" s="131"/>
      <c r="S90" s="131"/>
      <c r="T90" s="131">
        <f>T98</f>
        <v>0</v>
      </c>
      <c r="U90" s="131"/>
      <c r="V90" s="131">
        <f>V94+V98</f>
        <v>0</v>
      </c>
      <c r="W90" s="131"/>
      <c r="X90" s="361"/>
      <c r="Y90" s="82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</row>
    <row r="91" spans="1:71" s="55" customFormat="1" ht="24.95" hidden="1" customHeight="1">
      <c r="A91" s="462" t="s">
        <v>18</v>
      </c>
      <c r="B91" s="167" t="s">
        <v>89</v>
      </c>
      <c r="C91" s="82"/>
      <c r="D91" s="82"/>
      <c r="E91" s="82"/>
      <c r="F91" s="82"/>
      <c r="G91" s="74">
        <f>SUM(H91:K91)</f>
        <v>1.6819999999999999</v>
      </c>
      <c r="H91" s="80"/>
      <c r="I91" s="80"/>
      <c r="J91" s="80"/>
      <c r="K91" s="74">
        <v>1.6819999999999999</v>
      </c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361"/>
      <c r="Y91" s="453" t="s">
        <v>268</v>
      </c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150"/>
      <c r="BJ91" s="150"/>
      <c r="BK91" s="150"/>
      <c r="BL91" s="150"/>
      <c r="BM91" s="150"/>
      <c r="BN91" s="150"/>
      <c r="BO91" s="150"/>
      <c r="BP91" s="150"/>
      <c r="BQ91" s="150"/>
      <c r="BR91" s="150"/>
      <c r="BS91" s="150"/>
    </row>
    <row r="92" spans="1:71" ht="24.95" hidden="1" customHeight="1">
      <c r="A92" s="462"/>
      <c r="B92" s="167" t="s">
        <v>272</v>
      </c>
      <c r="C92" s="167">
        <v>176</v>
      </c>
      <c r="D92" s="167" t="s">
        <v>15</v>
      </c>
      <c r="E92" s="167">
        <v>6100404</v>
      </c>
      <c r="F92" s="167">
        <v>414</v>
      </c>
      <c r="G92" s="74">
        <f>G94+G93</f>
        <v>49973.100000000006</v>
      </c>
      <c r="H92" s="74">
        <f>H94+H93</f>
        <v>0</v>
      </c>
      <c r="I92" s="74">
        <f>I94+I93</f>
        <v>4056.6</v>
      </c>
      <c r="J92" s="74">
        <f>J94+J93</f>
        <v>28756</v>
      </c>
      <c r="K92" s="74">
        <f>K94+K93</f>
        <v>17160.500000000004</v>
      </c>
      <c r="L92" s="132">
        <f>L94</f>
        <v>0</v>
      </c>
      <c r="M92" s="132"/>
      <c r="N92" s="132"/>
      <c r="O92" s="132"/>
      <c r="P92" s="132"/>
      <c r="Q92" s="132">
        <f>Q94</f>
        <v>0</v>
      </c>
      <c r="R92" s="132"/>
      <c r="S92" s="132"/>
      <c r="T92" s="132"/>
      <c r="U92" s="132"/>
      <c r="V92" s="132"/>
      <c r="W92" s="132"/>
      <c r="X92" s="361"/>
      <c r="Y92" s="453"/>
    </row>
    <row r="93" spans="1:71" ht="24.95" hidden="1" customHeight="1">
      <c r="A93" s="462"/>
      <c r="B93" s="167" t="s">
        <v>10</v>
      </c>
      <c r="C93" s="167"/>
      <c r="D93" s="167"/>
      <c r="E93" s="167"/>
      <c r="F93" s="167"/>
      <c r="G93" s="74">
        <f>SUM(H93:K93)</f>
        <v>2000</v>
      </c>
      <c r="H93" s="74"/>
      <c r="I93" s="74"/>
      <c r="J93" s="74"/>
      <c r="K93" s="74">
        <v>2000</v>
      </c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361"/>
      <c r="Y93" s="453"/>
    </row>
    <row r="94" spans="1:71" ht="24.95" hidden="1" customHeight="1">
      <c r="A94" s="462"/>
      <c r="B94" s="167" t="s">
        <v>34</v>
      </c>
      <c r="C94" s="167"/>
      <c r="D94" s="167"/>
      <c r="E94" s="167"/>
      <c r="F94" s="167"/>
      <c r="G94" s="74">
        <f>SUM(H94:K94)</f>
        <v>47973.100000000006</v>
      </c>
      <c r="H94" s="74"/>
      <c r="I94" s="74">
        <v>4056.6</v>
      </c>
      <c r="J94" s="74">
        <v>28756</v>
      </c>
      <c r="K94" s="74">
        <f>18537.4-498.6-2878.3</f>
        <v>15160.500000000004</v>
      </c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361"/>
      <c r="Y94" s="453"/>
    </row>
    <row r="95" spans="1:71" ht="24.95" hidden="1" customHeight="1">
      <c r="A95" s="462" t="s">
        <v>481</v>
      </c>
      <c r="B95" s="167" t="s">
        <v>89</v>
      </c>
      <c r="C95" s="167"/>
      <c r="D95" s="167"/>
      <c r="E95" s="167"/>
      <c r="F95" s="167"/>
      <c r="G95" s="74">
        <f>SUM(H95:K95)</f>
        <v>0</v>
      </c>
      <c r="H95" s="74"/>
      <c r="I95" s="74"/>
      <c r="J95" s="74"/>
      <c r="K95" s="74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361"/>
      <c r="Y95" s="338"/>
    </row>
    <row r="96" spans="1:71" ht="29.25" hidden="1" customHeight="1">
      <c r="A96" s="462"/>
      <c r="B96" s="167" t="s">
        <v>272</v>
      </c>
      <c r="C96" s="167">
        <v>176</v>
      </c>
      <c r="D96" s="167" t="s">
        <v>15</v>
      </c>
      <c r="E96" s="167">
        <v>6100404</v>
      </c>
      <c r="F96" s="167">
        <v>414</v>
      </c>
      <c r="G96" s="74">
        <f>G97+G98</f>
        <v>0</v>
      </c>
      <c r="H96" s="74">
        <f t="shared" ref="H96:Q96" si="50">H97+H98</f>
        <v>0</v>
      </c>
      <c r="I96" s="74">
        <f t="shared" si="50"/>
        <v>0</v>
      </c>
      <c r="J96" s="74">
        <f t="shared" si="50"/>
        <v>0</v>
      </c>
      <c r="K96" s="74">
        <f t="shared" si="50"/>
        <v>0</v>
      </c>
      <c r="L96" s="132">
        <f t="shared" si="50"/>
        <v>0</v>
      </c>
      <c r="M96" s="132"/>
      <c r="N96" s="132"/>
      <c r="O96" s="132"/>
      <c r="P96" s="132"/>
      <c r="Q96" s="132">
        <f t="shared" si="50"/>
        <v>0</v>
      </c>
      <c r="R96" s="132"/>
      <c r="S96" s="132"/>
      <c r="T96" s="132"/>
      <c r="U96" s="132"/>
      <c r="V96" s="132"/>
      <c r="W96" s="132"/>
      <c r="X96" s="361"/>
      <c r="Y96" s="453" t="s">
        <v>400</v>
      </c>
      <c r="Z96" s="160"/>
    </row>
    <row r="97" spans="1:71" ht="24.95" hidden="1" customHeight="1">
      <c r="A97" s="462"/>
      <c r="B97" s="167" t="s">
        <v>10</v>
      </c>
      <c r="C97" s="167"/>
      <c r="D97" s="167"/>
      <c r="E97" s="167"/>
      <c r="F97" s="167"/>
      <c r="G97" s="74"/>
      <c r="H97" s="74"/>
      <c r="I97" s="74"/>
      <c r="J97" s="74"/>
      <c r="K97" s="74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361"/>
      <c r="Y97" s="453"/>
      <c r="Z97" s="160"/>
    </row>
    <row r="98" spans="1:71" ht="24.95" hidden="1" customHeight="1">
      <c r="A98" s="462"/>
      <c r="B98" s="167" t="s">
        <v>34</v>
      </c>
      <c r="C98" s="167"/>
      <c r="D98" s="167"/>
      <c r="E98" s="167"/>
      <c r="F98" s="167"/>
      <c r="G98" s="74"/>
      <c r="H98" s="74"/>
      <c r="I98" s="74"/>
      <c r="J98" s="74"/>
      <c r="K98" s="74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361"/>
      <c r="Y98" s="453"/>
    </row>
    <row r="99" spans="1:71" ht="24.95" hidden="1" customHeight="1">
      <c r="A99" s="475" t="s">
        <v>339</v>
      </c>
      <c r="B99" s="167" t="s">
        <v>89</v>
      </c>
      <c r="C99" s="167"/>
      <c r="D99" s="167"/>
      <c r="E99" s="167"/>
      <c r="F99" s="167"/>
      <c r="G99" s="74"/>
      <c r="H99" s="74"/>
      <c r="I99" s="74"/>
      <c r="J99" s="74"/>
      <c r="K99" s="74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361"/>
      <c r="Y99" s="453" t="s">
        <v>342</v>
      </c>
    </row>
    <row r="100" spans="1:71" ht="24.95" hidden="1" customHeight="1">
      <c r="A100" s="476"/>
      <c r="B100" s="167" t="s">
        <v>272</v>
      </c>
      <c r="C100" s="167"/>
      <c r="D100" s="167"/>
      <c r="E100" s="167"/>
      <c r="F100" s="167"/>
      <c r="G100" s="74"/>
      <c r="H100" s="74"/>
      <c r="I100" s="74"/>
      <c r="J100" s="74"/>
      <c r="K100" s="74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361"/>
      <c r="Y100" s="453"/>
    </row>
    <row r="101" spans="1:71" ht="24.95" hidden="1" customHeight="1">
      <c r="A101" s="476"/>
      <c r="B101" s="167" t="s">
        <v>10</v>
      </c>
      <c r="C101" s="167"/>
      <c r="D101" s="167"/>
      <c r="E101" s="167"/>
      <c r="F101" s="167"/>
      <c r="G101" s="74"/>
      <c r="H101" s="74"/>
      <c r="I101" s="74"/>
      <c r="J101" s="74"/>
      <c r="K101" s="74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361"/>
      <c r="Y101" s="453"/>
    </row>
    <row r="102" spans="1:71" ht="24.95" hidden="1" customHeight="1">
      <c r="A102" s="477"/>
      <c r="B102" s="167" t="s">
        <v>463</v>
      </c>
      <c r="C102" s="167"/>
      <c r="D102" s="167"/>
      <c r="E102" s="167"/>
      <c r="F102" s="167"/>
      <c r="G102" s="74"/>
      <c r="H102" s="74"/>
      <c r="I102" s="74"/>
      <c r="J102" s="74"/>
      <c r="K102" s="74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361"/>
      <c r="Y102" s="453"/>
    </row>
    <row r="103" spans="1:71" s="55" customFormat="1" ht="24.95" customHeight="1">
      <c r="A103" s="461" t="s">
        <v>100</v>
      </c>
      <c r="B103" s="82" t="s">
        <v>89</v>
      </c>
      <c r="C103" s="82"/>
      <c r="D103" s="82"/>
      <c r="E103" s="82"/>
      <c r="F103" s="82"/>
      <c r="G103" s="80">
        <f>G116+G119+G123+G127</f>
        <v>0.91</v>
      </c>
      <c r="H103" s="80">
        <f t="shared" ref="H103:K103" si="51">H116+H119+H123+H127</f>
        <v>0</v>
      </c>
      <c r="I103" s="80">
        <f t="shared" si="51"/>
        <v>0</v>
      </c>
      <c r="J103" s="80">
        <f t="shared" si="51"/>
        <v>0</v>
      </c>
      <c r="K103" s="80">
        <f t="shared" si="51"/>
        <v>0.91</v>
      </c>
      <c r="L103" s="131">
        <f>L116+L119+L123+L127+L113+L110</f>
        <v>2.1419999999999999</v>
      </c>
      <c r="M103" s="131">
        <f t="shared" ref="M103:P103" si="52">M116+M119+M123+M127</f>
        <v>0</v>
      </c>
      <c r="N103" s="131">
        <f t="shared" si="52"/>
        <v>0</v>
      </c>
      <c r="O103" s="131">
        <f t="shared" si="52"/>
        <v>0</v>
      </c>
      <c r="P103" s="131">
        <f t="shared" si="52"/>
        <v>2.1419999999999999</v>
      </c>
      <c r="Q103" s="131">
        <f>Q116+Q119+Q127</f>
        <v>0</v>
      </c>
      <c r="R103" s="131">
        <f t="shared" ref="R103:T103" si="53">R116+R119+R127</f>
        <v>0</v>
      </c>
      <c r="S103" s="131">
        <f t="shared" si="53"/>
        <v>0</v>
      </c>
      <c r="T103" s="131">
        <f t="shared" si="53"/>
        <v>0</v>
      </c>
      <c r="U103" s="131"/>
      <c r="V103" s="131">
        <f t="shared" ref="V103:W103" si="54">V116+V119+V127</f>
        <v>0.3</v>
      </c>
      <c r="W103" s="131">
        <f t="shared" si="54"/>
        <v>0</v>
      </c>
      <c r="X103" s="361"/>
      <c r="Y103" s="82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0"/>
      <c r="BN103" s="150"/>
      <c r="BO103" s="150"/>
      <c r="BP103" s="150"/>
      <c r="BQ103" s="150"/>
      <c r="BR103" s="150"/>
      <c r="BS103" s="150"/>
    </row>
    <row r="104" spans="1:71" s="55" customFormat="1" ht="29.25" customHeight="1">
      <c r="A104" s="461"/>
      <c r="B104" s="82" t="s">
        <v>272</v>
      </c>
      <c r="C104" s="82"/>
      <c r="D104" s="82"/>
      <c r="E104" s="82"/>
      <c r="F104" s="82"/>
      <c r="G104" s="80">
        <f>G105+G106</f>
        <v>86253.9</v>
      </c>
      <c r="H104" s="80">
        <f t="shared" ref="H104:W104" si="55">H105+H106</f>
        <v>62029</v>
      </c>
      <c r="I104" s="80">
        <f t="shared" si="55"/>
        <v>1913.7</v>
      </c>
      <c r="J104" s="80">
        <f t="shared" si="55"/>
        <v>13565.9</v>
      </c>
      <c r="K104" s="80">
        <f t="shared" si="55"/>
        <v>8745.2999999999993</v>
      </c>
      <c r="L104" s="131">
        <f t="shared" si="55"/>
        <v>43938.8</v>
      </c>
      <c r="M104" s="131">
        <f t="shared" si="55"/>
        <v>0</v>
      </c>
      <c r="N104" s="131">
        <f t="shared" si="55"/>
        <v>0</v>
      </c>
      <c r="O104" s="131">
        <f t="shared" si="55"/>
        <v>0</v>
      </c>
      <c r="P104" s="131">
        <f t="shared" si="55"/>
        <v>43938.8</v>
      </c>
      <c r="Q104" s="131">
        <f t="shared" si="55"/>
        <v>6402.1</v>
      </c>
      <c r="R104" s="131">
        <f t="shared" si="55"/>
        <v>0</v>
      </c>
      <c r="S104" s="131">
        <f t="shared" si="55"/>
        <v>6402.1</v>
      </c>
      <c r="T104" s="131">
        <f t="shared" si="55"/>
        <v>0</v>
      </c>
      <c r="U104" s="131">
        <f t="shared" si="55"/>
        <v>0</v>
      </c>
      <c r="V104" s="131">
        <f t="shared" si="55"/>
        <v>22375</v>
      </c>
      <c r="W104" s="131">
        <f t="shared" si="55"/>
        <v>0</v>
      </c>
      <c r="X104" s="361"/>
      <c r="Y104" s="82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0"/>
      <c r="BN104" s="150"/>
      <c r="BO104" s="150"/>
      <c r="BP104" s="150"/>
      <c r="BQ104" s="150"/>
      <c r="BR104" s="150"/>
      <c r="BS104" s="150"/>
    </row>
    <row r="105" spans="1:71" s="55" customFormat="1" ht="24.95" customHeight="1">
      <c r="A105" s="461"/>
      <c r="B105" s="82" t="s">
        <v>10</v>
      </c>
      <c r="C105" s="82"/>
      <c r="D105" s="82"/>
      <c r="E105" s="82"/>
      <c r="F105" s="82"/>
      <c r="G105" s="80">
        <f>SUM(H105:K105)</f>
        <v>62029</v>
      </c>
      <c r="H105" s="80">
        <f>H118+H121+H125+H129</f>
        <v>62029</v>
      </c>
      <c r="I105" s="80">
        <f t="shared" ref="I105:K105" si="56">I118+I121+I125+I129</f>
        <v>0</v>
      </c>
      <c r="J105" s="80">
        <f t="shared" si="56"/>
        <v>0</v>
      </c>
      <c r="K105" s="80">
        <f t="shared" si="56"/>
        <v>0</v>
      </c>
      <c r="L105" s="131">
        <f>L121+L125+L129</f>
        <v>19384.8</v>
      </c>
      <c r="M105" s="131">
        <f t="shared" ref="M105:P105" si="57">M121+M125+M129</f>
        <v>0</v>
      </c>
      <c r="N105" s="131">
        <f t="shared" si="57"/>
        <v>0</v>
      </c>
      <c r="O105" s="131">
        <f t="shared" si="57"/>
        <v>0</v>
      </c>
      <c r="P105" s="131">
        <f t="shared" si="57"/>
        <v>19384.8</v>
      </c>
      <c r="Q105" s="131">
        <f>Q118+Q121+Q129</f>
        <v>6402.1</v>
      </c>
      <c r="R105" s="131">
        <f t="shared" ref="R105:U105" si="58">R118+R121+R129</f>
        <v>0</v>
      </c>
      <c r="S105" s="131">
        <f t="shared" si="58"/>
        <v>6402.1</v>
      </c>
      <c r="T105" s="131">
        <f t="shared" si="58"/>
        <v>0</v>
      </c>
      <c r="U105" s="131">
        <f t="shared" si="58"/>
        <v>0</v>
      </c>
      <c r="V105" s="131">
        <f t="shared" ref="V105:W105" si="59">V118+V121+V129</f>
        <v>22375</v>
      </c>
      <c r="W105" s="131">
        <f t="shared" si="59"/>
        <v>0</v>
      </c>
      <c r="X105" s="361"/>
      <c r="Y105" s="82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  <c r="BI105" s="150"/>
      <c r="BJ105" s="150"/>
      <c r="BK105" s="150"/>
      <c r="BL105" s="150"/>
      <c r="BM105" s="150"/>
      <c r="BN105" s="150"/>
      <c r="BO105" s="150"/>
      <c r="BP105" s="150"/>
      <c r="BQ105" s="150"/>
      <c r="BR105" s="150"/>
      <c r="BS105" s="150"/>
    </row>
    <row r="106" spans="1:71" s="55" customFormat="1" ht="24.6" customHeight="1">
      <c r="A106" s="461"/>
      <c r="B106" s="82" t="s">
        <v>463</v>
      </c>
      <c r="C106" s="82"/>
      <c r="D106" s="82"/>
      <c r="E106" s="82"/>
      <c r="F106" s="82"/>
      <c r="G106" s="80">
        <f>SUM(H106:K106)</f>
        <v>24224.9</v>
      </c>
      <c r="H106" s="80">
        <f>H122+H126+H130</f>
        <v>0</v>
      </c>
      <c r="I106" s="80">
        <f>I122+I126+I130</f>
        <v>1913.7</v>
      </c>
      <c r="J106" s="80">
        <f>J122+J126+J130</f>
        <v>13565.9</v>
      </c>
      <c r="K106" s="80">
        <f>K122+K126+K130</f>
        <v>8745.2999999999993</v>
      </c>
      <c r="L106" s="131">
        <f>L122+L126+L130+L118</f>
        <v>24554</v>
      </c>
      <c r="M106" s="131">
        <f t="shared" ref="M106:P106" si="60">M122+M126+M130+M118</f>
        <v>0</v>
      </c>
      <c r="N106" s="131">
        <f t="shared" si="60"/>
        <v>0</v>
      </c>
      <c r="O106" s="131">
        <f t="shared" si="60"/>
        <v>0</v>
      </c>
      <c r="P106" s="131">
        <f t="shared" si="60"/>
        <v>24554</v>
      </c>
      <c r="Q106" s="131">
        <f>Q122+Q130</f>
        <v>0</v>
      </c>
      <c r="R106" s="131"/>
      <c r="S106" s="131"/>
      <c r="T106" s="131"/>
      <c r="U106" s="131"/>
      <c r="V106" s="131">
        <f t="shared" ref="V106:W106" si="61">V122+V130</f>
        <v>0</v>
      </c>
      <c r="W106" s="131">
        <f t="shared" si="61"/>
        <v>0</v>
      </c>
      <c r="X106" s="361"/>
      <c r="Y106" s="82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  <c r="BI106" s="150"/>
      <c r="BJ106" s="150"/>
      <c r="BK106" s="150"/>
      <c r="BL106" s="150"/>
      <c r="BM106" s="150"/>
      <c r="BN106" s="150"/>
      <c r="BO106" s="150"/>
      <c r="BP106" s="150"/>
      <c r="BQ106" s="150"/>
      <c r="BR106" s="150"/>
      <c r="BS106" s="150"/>
    </row>
    <row r="107" spans="1:71" s="55" customFormat="1" ht="24.95" hidden="1" customHeight="1">
      <c r="A107" s="510" t="s">
        <v>334</v>
      </c>
      <c r="B107" s="167" t="s">
        <v>89</v>
      </c>
      <c r="C107" s="82"/>
      <c r="D107" s="82"/>
      <c r="E107" s="82"/>
      <c r="F107" s="82"/>
      <c r="G107" s="80">
        <f>SUM(H107:K107)</f>
        <v>0</v>
      </c>
      <c r="H107" s="80"/>
      <c r="I107" s="80"/>
      <c r="J107" s="80"/>
      <c r="K107" s="80"/>
      <c r="L107" s="132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361"/>
      <c r="Y107" s="453" t="s">
        <v>31</v>
      </c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  <c r="BI107" s="150"/>
      <c r="BJ107" s="150"/>
      <c r="BK107" s="150"/>
      <c r="BL107" s="150"/>
      <c r="BM107" s="150"/>
      <c r="BN107" s="150"/>
      <c r="BO107" s="150"/>
      <c r="BP107" s="150"/>
      <c r="BQ107" s="150"/>
      <c r="BR107" s="150"/>
      <c r="BS107" s="150"/>
    </row>
    <row r="108" spans="1:71" ht="24.95" hidden="1" customHeight="1">
      <c r="A108" s="511"/>
      <c r="B108" s="167" t="s">
        <v>272</v>
      </c>
      <c r="C108" s="167">
        <v>176</v>
      </c>
      <c r="D108" s="167" t="s">
        <v>15</v>
      </c>
      <c r="E108" s="167">
        <v>6100404</v>
      </c>
      <c r="F108" s="167">
        <v>414</v>
      </c>
      <c r="G108" s="74">
        <f t="shared" ref="G108:Q108" si="62">G109</f>
        <v>62029</v>
      </c>
      <c r="H108" s="74">
        <f t="shared" si="62"/>
        <v>62029</v>
      </c>
      <c r="I108" s="74">
        <f t="shared" si="62"/>
        <v>0</v>
      </c>
      <c r="J108" s="74">
        <f t="shared" si="62"/>
        <v>0</v>
      </c>
      <c r="K108" s="74">
        <f t="shared" si="62"/>
        <v>0</v>
      </c>
      <c r="L108" s="132">
        <f t="shared" si="62"/>
        <v>0</v>
      </c>
      <c r="M108" s="132">
        <f t="shared" si="62"/>
        <v>0</v>
      </c>
      <c r="N108" s="132">
        <f t="shared" si="62"/>
        <v>0</v>
      </c>
      <c r="O108" s="132">
        <f t="shared" si="62"/>
        <v>0</v>
      </c>
      <c r="P108" s="132">
        <f t="shared" si="62"/>
        <v>0</v>
      </c>
      <c r="Q108" s="132">
        <f t="shared" si="62"/>
        <v>0</v>
      </c>
      <c r="R108" s="132"/>
      <c r="S108" s="132"/>
      <c r="T108" s="132"/>
      <c r="U108" s="132"/>
      <c r="V108" s="132">
        <f>V109</f>
        <v>0</v>
      </c>
      <c r="W108" s="132"/>
      <c r="X108" s="361"/>
      <c r="Y108" s="453"/>
    </row>
    <row r="109" spans="1:71" ht="24.95" hidden="1" customHeight="1">
      <c r="A109" s="512"/>
      <c r="B109" s="167" t="s">
        <v>34</v>
      </c>
      <c r="C109" s="167"/>
      <c r="D109" s="167"/>
      <c r="E109" s="167"/>
      <c r="F109" s="167"/>
      <c r="G109" s="74">
        <f>SUM(H109:K109)</f>
        <v>62029</v>
      </c>
      <c r="H109" s="74">
        <v>62029</v>
      </c>
      <c r="I109" s="74"/>
      <c r="J109" s="74"/>
      <c r="K109" s="74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361"/>
      <c r="Y109" s="453"/>
    </row>
    <row r="110" spans="1:71" ht="0.6" hidden="1" customHeight="1">
      <c r="A110" s="510" t="s">
        <v>335</v>
      </c>
      <c r="B110" s="167" t="str">
        <f t="shared" ref="B110:V110" si="63">B107</f>
        <v>Мощность, км</v>
      </c>
      <c r="C110" s="167">
        <f t="shared" si="63"/>
        <v>0</v>
      </c>
      <c r="D110" s="167">
        <f t="shared" si="63"/>
        <v>0</v>
      </c>
      <c r="E110" s="167">
        <f t="shared" si="63"/>
        <v>0</v>
      </c>
      <c r="F110" s="167">
        <f t="shared" si="63"/>
        <v>0</v>
      </c>
      <c r="G110" s="74">
        <f t="shared" si="63"/>
        <v>0</v>
      </c>
      <c r="H110" s="74">
        <f t="shared" si="63"/>
        <v>0</v>
      </c>
      <c r="I110" s="74">
        <f t="shared" si="63"/>
        <v>0</v>
      </c>
      <c r="J110" s="74">
        <f t="shared" si="63"/>
        <v>0</v>
      </c>
      <c r="K110" s="74">
        <f t="shared" si="63"/>
        <v>0</v>
      </c>
      <c r="L110" s="132">
        <f t="shared" si="63"/>
        <v>0</v>
      </c>
      <c r="M110" s="132">
        <f t="shared" si="63"/>
        <v>0</v>
      </c>
      <c r="N110" s="132">
        <f t="shared" si="63"/>
        <v>0</v>
      </c>
      <c r="O110" s="132">
        <f t="shared" si="63"/>
        <v>0</v>
      </c>
      <c r="P110" s="132">
        <f t="shared" si="63"/>
        <v>0</v>
      </c>
      <c r="Q110" s="132">
        <f t="shared" si="63"/>
        <v>0</v>
      </c>
      <c r="R110" s="132"/>
      <c r="S110" s="132"/>
      <c r="T110" s="132"/>
      <c r="U110" s="132"/>
      <c r="V110" s="132">
        <f t="shared" si="63"/>
        <v>0</v>
      </c>
      <c r="W110" s="132"/>
      <c r="X110" s="361"/>
      <c r="Y110" s="453" t="str">
        <f>Y107</f>
        <v>Объем работ уточняется</v>
      </c>
    </row>
    <row r="111" spans="1:71" ht="24.6" hidden="1" customHeight="1">
      <c r="A111" s="511"/>
      <c r="B111" s="167" t="str">
        <f t="shared" ref="B111:Q111" si="64">B108</f>
        <v>Сумма затрат (тыс.руб.), в том числе:</v>
      </c>
      <c r="C111" s="167">
        <f t="shared" si="64"/>
        <v>176</v>
      </c>
      <c r="D111" s="167" t="str">
        <f t="shared" si="64"/>
        <v>0409</v>
      </c>
      <c r="E111" s="167">
        <f t="shared" si="64"/>
        <v>6100404</v>
      </c>
      <c r="F111" s="167">
        <f t="shared" si="64"/>
        <v>414</v>
      </c>
      <c r="G111" s="74">
        <f t="shared" si="64"/>
        <v>62029</v>
      </c>
      <c r="H111" s="74">
        <f t="shared" si="64"/>
        <v>62029</v>
      </c>
      <c r="I111" s="74">
        <f t="shared" si="64"/>
        <v>0</v>
      </c>
      <c r="J111" s="74">
        <f t="shared" si="64"/>
        <v>0</v>
      </c>
      <c r="K111" s="74">
        <f t="shared" si="64"/>
        <v>0</v>
      </c>
      <c r="L111" s="132">
        <f t="shared" si="64"/>
        <v>0</v>
      </c>
      <c r="M111" s="132">
        <f t="shared" si="64"/>
        <v>0</v>
      </c>
      <c r="N111" s="132">
        <f t="shared" si="64"/>
        <v>0</v>
      </c>
      <c r="O111" s="132">
        <f t="shared" si="64"/>
        <v>0</v>
      </c>
      <c r="P111" s="132">
        <f t="shared" si="64"/>
        <v>0</v>
      </c>
      <c r="Q111" s="132">
        <f t="shared" si="64"/>
        <v>0</v>
      </c>
      <c r="R111" s="132"/>
      <c r="S111" s="132"/>
      <c r="T111" s="132"/>
      <c r="U111" s="132"/>
      <c r="V111" s="132">
        <f>V112</f>
        <v>0</v>
      </c>
      <c r="W111" s="132"/>
      <c r="X111" s="361"/>
      <c r="Y111" s="453"/>
    </row>
    <row r="112" spans="1:71" ht="24.6" hidden="1" customHeight="1">
      <c r="A112" s="512"/>
      <c r="B112" s="167" t="str">
        <f t="shared" ref="B112:Q112" si="65">B109</f>
        <v>федеральный бюджет *</v>
      </c>
      <c r="C112" s="167">
        <f t="shared" si="65"/>
        <v>0</v>
      </c>
      <c r="D112" s="167">
        <f t="shared" si="65"/>
        <v>0</v>
      </c>
      <c r="E112" s="167">
        <f t="shared" si="65"/>
        <v>0</v>
      </c>
      <c r="F112" s="167">
        <f t="shared" si="65"/>
        <v>0</v>
      </c>
      <c r="G112" s="74">
        <f t="shared" si="65"/>
        <v>62029</v>
      </c>
      <c r="H112" s="74">
        <f t="shared" si="65"/>
        <v>62029</v>
      </c>
      <c r="I112" s="74">
        <f t="shared" si="65"/>
        <v>0</v>
      </c>
      <c r="J112" s="74">
        <f t="shared" si="65"/>
        <v>0</v>
      </c>
      <c r="K112" s="74">
        <f t="shared" si="65"/>
        <v>0</v>
      </c>
      <c r="L112" s="132">
        <f t="shared" si="65"/>
        <v>0</v>
      </c>
      <c r="M112" s="132">
        <f t="shared" si="65"/>
        <v>0</v>
      </c>
      <c r="N112" s="132">
        <f t="shared" si="65"/>
        <v>0</v>
      </c>
      <c r="O112" s="132">
        <f t="shared" si="65"/>
        <v>0</v>
      </c>
      <c r="P112" s="132">
        <f t="shared" si="65"/>
        <v>0</v>
      </c>
      <c r="Q112" s="132">
        <f t="shared" si="65"/>
        <v>0</v>
      </c>
      <c r="R112" s="132"/>
      <c r="S112" s="132"/>
      <c r="T112" s="132"/>
      <c r="U112" s="132"/>
      <c r="V112" s="132">
        <v>0</v>
      </c>
      <c r="W112" s="132"/>
      <c r="X112" s="361"/>
      <c r="Y112" s="453"/>
    </row>
    <row r="113" spans="1:32" ht="24.6" hidden="1" customHeight="1">
      <c r="A113" s="510" t="s">
        <v>336</v>
      </c>
      <c r="B113" s="167" t="s">
        <v>89</v>
      </c>
      <c r="C113" s="167"/>
      <c r="D113" s="167"/>
      <c r="E113" s="167"/>
      <c r="F113" s="167"/>
      <c r="G113" s="74"/>
      <c r="H113" s="74"/>
      <c r="I113" s="74"/>
      <c r="J113" s="74"/>
      <c r="K113" s="74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361"/>
      <c r="Y113" s="338" t="s">
        <v>31</v>
      </c>
    </row>
    <row r="114" spans="1:32" ht="24.6" hidden="1" customHeight="1">
      <c r="A114" s="511"/>
      <c r="B114" s="167" t="s">
        <v>272</v>
      </c>
      <c r="C114" s="167"/>
      <c r="D114" s="167"/>
      <c r="E114" s="167"/>
      <c r="F114" s="167"/>
      <c r="G114" s="74"/>
      <c r="H114" s="74"/>
      <c r="I114" s="74"/>
      <c r="J114" s="74"/>
      <c r="K114" s="74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>
        <f>V115</f>
        <v>0</v>
      </c>
      <c r="W114" s="132"/>
      <c r="X114" s="361"/>
      <c r="Y114" s="338"/>
    </row>
    <row r="115" spans="1:32" ht="24.6" hidden="1" customHeight="1">
      <c r="A115" s="512"/>
      <c r="B115" s="167" t="s">
        <v>34</v>
      </c>
      <c r="C115" s="167"/>
      <c r="D115" s="167"/>
      <c r="E115" s="167"/>
      <c r="F115" s="167"/>
      <c r="G115" s="74"/>
      <c r="H115" s="74"/>
      <c r="I115" s="74"/>
      <c r="J115" s="74"/>
      <c r="K115" s="74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>
        <v>0</v>
      </c>
      <c r="W115" s="132"/>
      <c r="X115" s="361"/>
      <c r="Y115" s="338"/>
    </row>
    <row r="116" spans="1:32" ht="24.95" hidden="1" customHeight="1">
      <c r="A116" s="510" t="s">
        <v>350</v>
      </c>
      <c r="B116" s="167" t="s">
        <v>89</v>
      </c>
      <c r="C116" s="82"/>
      <c r="D116" s="82"/>
      <c r="E116" s="82"/>
      <c r="F116" s="82"/>
      <c r="G116" s="80">
        <f>SUM(H116:K116)</f>
        <v>0</v>
      </c>
      <c r="H116" s="80"/>
      <c r="I116" s="80"/>
      <c r="J116" s="80"/>
      <c r="K116" s="80"/>
      <c r="L116" s="132">
        <v>0.98</v>
      </c>
      <c r="M116" s="131"/>
      <c r="N116" s="131"/>
      <c r="O116" s="131"/>
      <c r="P116" s="131">
        <v>0.98</v>
      </c>
      <c r="Q116" s="132"/>
      <c r="R116" s="131"/>
      <c r="S116" s="131"/>
      <c r="T116" s="131"/>
      <c r="U116" s="131"/>
      <c r="V116" s="131"/>
      <c r="W116" s="131">
        <f t="shared" ref="W116" si="66">+W119+W127</f>
        <v>0</v>
      </c>
      <c r="X116" s="361"/>
      <c r="Y116" s="453" t="s">
        <v>465</v>
      </c>
      <c r="AF116" s="54">
        <v>63.82</v>
      </c>
    </row>
    <row r="117" spans="1:32" ht="24.95" hidden="1" customHeight="1">
      <c r="A117" s="511"/>
      <c r="B117" s="167" t="s">
        <v>272</v>
      </c>
      <c r="C117" s="167">
        <v>176</v>
      </c>
      <c r="D117" s="167" t="s">
        <v>15</v>
      </c>
      <c r="E117" s="167">
        <v>6100404</v>
      </c>
      <c r="F117" s="167">
        <v>414</v>
      </c>
      <c r="G117" s="74">
        <f t="shared" ref="G117:Q117" si="67">G118</f>
        <v>62029</v>
      </c>
      <c r="H117" s="74">
        <f t="shared" si="67"/>
        <v>62029</v>
      </c>
      <c r="I117" s="74">
        <f t="shared" si="67"/>
        <v>0</v>
      </c>
      <c r="J117" s="74">
        <f t="shared" si="67"/>
        <v>0</v>
      </c>
      <c r="K117" s="74">
        <f t="shared" si="67"/>
        <v>0</v>
      </c>
      <c r="L117" s="132">
        <f t="shared" si="67"/>
        <v>24554</v>
      </c>
      <c r="M117" s="132">
        <f t="shared" si="67"/>
        <v>0</v>
      </c>
      <c r="N117" s="132">
        <f t="shared" si="67"/>
        <v>0</v>
      </c>
      <c r="O117" s="132">
        <f t="shared" si="67"/>
        <v>0</v>
      </c>
      <c r="P117" s="132">
        <f t="shared" si="67"/>
        <v>24554</v>
      </c>
      <c r="Q117" s="132">
        <f t="shared" si="67"/>
        <v>0</v>
      </c>
      <c r="R117" s="132"/>
      <c r="S117" s="132"/>
      <c r="T117" s="132">
        <f>T118</f>
        <v>0</v>
      </c>
      <c r="U117" s="132"/>
      <c r="V117" s="132"/>
      <c r="W117" s="132"/>
      <c r="X117" s="361"/>
      <c r="Y117" s="453"/>
    </row>
    <row r="118" spans="1:32" ht="22.15" hidden="1" customHeight="1">
      <c r="A118" s="512"/>
      <c r="B118" s="167" t="s">
        <v>10</v>
      </c>
      <c r="C118" s="167"/>
      <c r="D118" s="167"/>
      <c r="E118" s="167"/>
      <c r="F118" s="167"/>
      <c r="G118" s="74">
        <f>SUM(H118:K118)</f>
        <v>62029</v>
      </c>
      <c r="H118" s="74">
        <v>62029</v>
      </c>
      <c r="I118" s="74"/>
      <c r="J118" s="74"/>
      <c r="K118" s="74"/>
      <c r="L118" s="132">
        <v>24554</v>
      </c>
      <c r="M118" s="132"/>
      <c r="N118" s="132"/>
      <c r="O118" s="132"/>
      <c r="P118" s="132">
        <v>24554</v>
      </c>
      <c r="Q118" s="132">
        <f>T118</f>
        <v>0</v>
      </c>
      <c r="R118" s="132"/>
      <c r="S118" s="132"/>
      <c r="T118" s="132"/>
      <c r="U118" s="132"/>
      <c r="V118" s="132"/>
      <c r="W118" s="132"/>
      <c r="X118" s="361"/>
      <c r="Y118" s="453"/>
    </row>
    <row r="119" spans="1:32" ht="24.6" customHeight="1">
      <c r="A119" s="529" t="s">
        <v>275</v>
      </c>
      <c r="B119" s="167" t="s">
        <v>89</v>
      </c>
      <c r="C119" s="167">
        <v>176</v>
      </c>
      <c r="D119" s="167" t="s">
        <v>15</v>
      </c>
      <c r="E119" s="167">
        <v>6100404</v>
      </c>
      <c r="F119" s="167">
        <v>414</v>
      </c>
      <c r="G119" s="74">
        <f>SUM(H119:K119)</f>
        <v>0</v>
      </c>
      <c r="H119" s="74"/>
      <c r="I119" s="74"/>
      <c r="J119" s="74"/>
      <c r="K119" s="74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>
        <v>0.3</v>
      </c>
      <c r="W119" s="132"/>
      <c r="X119" s="361"/>
      <c r="Y119" s="453" t="s">
        <v>612</v>
      </c>
    </row>
    <row r="120" spans="1:32" ht="24.6" customHeight="1">
      <c r="A120" s="529"/>
      <c r="B120" s="167" t="s">
        <v>272</v>
      </c>
      <c r="C120" s="167"/>
      <c r="D120" s="167"/>
      <c r="E120" s="167"/>
      <c r="F120" s="167"/>
      <c r="G120" s="74">
        <f>G121+G122</f>
        <v>0</v>
      </c>
      <c r="H120" s="74">
        <f t="shared" ref="H120:V120" si="68">H121+H122</f>
        <v>0</v>
      </c>
      <c r="I120" s="74">
        <f t="shared" si="68"/>
        <v>0</v>
      </c>
      <c r="J120" s="74">
        <f t="shared" si="68"/>
        <v>0</v>
      </c>
      <c r="K120" s="74">
        <f t="shared" si="68"/>
        <v>0</v>
      </c>
      <c r="L120" s="132">
        <f t="shared" si="68"/>
        <v>0</v>
      </c>
      <c r="M120" s="132"/>
      <c r="N120" s="132"/>
      <c r="O120" s="132"/>
      <c r="P120" s="132"/>
      <c r="Q120" s="132">
        <f t="shared" si="68"/>
        <v>6402.1</v>
      </c>
      <c r="R120" s="132">
        <f t="shared" si="68"/>
        <v>0</v>
      </c>
      <c r="S120" s="132">
        <f t="shared" si="68"/>
        <v>6402.1</v>
      </c>
      <c r="T120" s="132">
        <f t="shared" si="68"/>
        <v>0</v>
      </c>
      <c r="U120" s="132">
        <f>U121</f>
        <v>0</v>
      </c>
      <c r="V120" s="132">
        <f t="shared" si="68"/>
        <v>22375</v>
      </c>
      <c r="W120" s="132"/>
      <c r="X120" s="361"/>
      <c r="Y120" s="453"/>
    </row>
    <row r="121" spans="1:32" ht="24.6" customHeight="1">
      <c r="A121" s="529"/>
      <c r="B121" s="167" t="s">
        <v>10</v>
      </c>
      <c r="C121" s="167"/>
      <c r="D121" s="167"/>
      <c r="E121" s="167"/>
      <c r="F121" s="167"/>
      <c r="G121" s="80">
        <f>SUM(H121:K121)</f>
        <v>0</v>
      </c>
      <c r="H121" s="74"/>
      <c r="I121" s="74"/>
      <c r="J121" s="74"/>
      <c r="K121" s="74"/>
      <c r="L121" s="132"/>
      <c r="M121" s="132"/>
      <c r="N121" s="132"/>
      <c r="O121" s="132"/>
      <c r="P121" s="132"/>
      <c r="Q121" s="132">
        <f>S121+T121</f>
        <v>6402.1</v>
      </c>
      <c r="R121" s="132"/>
      <c r="S121" s="132">
        <v>6402.1</v>
      </c>
      <c r="T121" s="132"/>
      <c r="U121" s="132">
        <v>0</v>
      </c>
      <c r="V121" s="132">
        <f>25000-2625</f>
        <v>22375</v>
      </c>
      <c r="W121" s="132"/>
      <c r="X121" s="361"/>
      <c r="Y121" s="453"/>
    </row>
    <row r="122" spans="1:32" ht="24.6" customHeight="1">
      <c r="A122" s="529"/>
      <c r="B122" s="167" t="s">
        <v>34</v>
      </c>
      <c r="C122" s="167"/>
      <c r="D122" s="167"/>
      <c r="E122" s="167"/>
      <c r="F122" s="167"/>
      <c r="G122" s="80">
        <f>SUM(H122:K122)</f>
        <v>0</v>
      </c>
      <c r="H122" s="74"/>
      <c r="I122" s="74"/>
      <c r="J122" s="74"/>
      <c r="K122" s="74"/>
      <c r="L122" s="132"/>
      <c r="M122" s="132"/>
      <c r="N122" s="132"/>
      <c r="O122" s="132"/>
      <c r="P122" s="132"/>
      <c r="Q122" s="132">
        <v>0</v>
      </c>
      <c r="R122" s="132"/>
      <c r="S122" s="132"/>
      <c r="T122" s="132"/>
      <c r="U122" s="132"/>
      <c r="V122" s="132"/>
      <c r="W122" s="132"/>
      <c r="X122" s="361"/>
      <c r="Y122" s="453"/>
    </row>
    <row r="123" spans="1:32" ht="24.6" hidden="1" customHeight="1">
      <c r="A123" s="513" t="s">
        <v>274</v>
      </c>
      <c r="B123" s="167" t="s">
        <v>89</v>
      </c>
      <c r="C123" s="167"/>
      <c r="D123" s="167"/>
      <c r="E123" s="167"/>
      <c r="F123" s="167"/>
      <c r="G123" s="74">
        <f>SUM(H123:K123)</f>
        <v>0.91</v>
      </c>
      <c r="H123" s="74"/>
      <c r="I123" s="74"/>
      <c r="J123" s="74"/>
      <c r="K123" s="74">
        <v>0.91</v>
      </c>
      <c r="L123" s="132">
        <f>0.74+0.422</f>
        <v>1.1619999999999999</v>
      </c>
      <c r="M123" s="132"/>
      <c r="N123" s="132"/>
      <c r="O123" s="132"/>
      <c r="P123" s="132">
        <f t="shared" ref="P123" si="69">0.74+0.422</f>
        <v>1.1619999999999999</v>
      </c>
      <c r="Q123" s="132"/>
      <c r="R123" s="132"/>
      <c r="S123" s="132"/>
      <c r="T123" s="132"/>
      <c r="U123" s="132"/>
      <c r="V123" s="132"/>
      <c r="W123" s="132"/>
      <c r="X123" s="361"/>
      <c r="Y123" s="453" t="s">
        <v>306</v>
      </c>
    </row>
    <row r="124" spans="1:32" ht="24.6" hidden="1" customHeight="1">
      <c r="A124" s="513"/>
      <c r="B124" s="167" t="s">
        <v>272</v>
      </c>
      <c r="C124" s="167">
        <v>176</v>
      </c>
      <c r="D124" s="167" t="s">
        <v>15</v>
      </c>
      <c r="E124" s="167">
        <v>6100404</v>
      </c>
      <c r="F124" s="167">
        <v>414</v>
      </c>
      <c r="G124" s="74">
        <f>G125+G126</f>
        <v>24224.9</v>
      </c>
      <c r="H124" s="74">
        <f t="shared" ref="H124:V124" si="70">H125+H126</f>
        <v>0</v>
      </c>
      <c r="I124" s="74">
        <f t="shared" si="70"/>
        <v>1913.7</v>
      </c>
      <c r="J124" s="74">
        <f t="shared" si="70"/>
        <v>13565.9</v>
      </c>
      <c r="K124" s="74">
        <f t="shared" si="70"/>
        <v>8745.2999999999993</v>
      </c>
      <c r="L124" s="132">
        <f t="shared" si="70"/>
        <v>19384.8</v>
      </c>
      <c r="M124" s="132">
        <f t="shared" si="70"/>
        <v>0</v>
      </c>
      <c r="N124" s="132">
        <f t="shared" si="70"/>
        <v>0</v>
      </c>
      <c r="O124" s="132">
        <f t="shared" si="70"/>
        <v>0</v>
      </c>
      <c r="P124" s="132">
        <f t="shared" si="70"/>
        <v>19384.8</v>
      </c>
      <c r="Q124" s="132">
        <f t="shared" si="70"/>
        <v>0</v>
      </c>
      <c r="R124" s="132"/>
      <c r="S124" s="132"/>
      <c r="T124" s="132"/>
      <c r="U124" s="132"/>
      <c r="V124" s="132">
        <f t="shared" si="70"/>
        <v>0</v>
      </c>
      <c r="W124" s="132"/>
      <c r="X124" s="361"/>
      <c r="Y124" s="453"/>
    </row>
    <row r="125" spans="1:32" ht="24.6" hidden="1" customHeight="1">
      <c r="A125" s="513"/>
      <c r="B125" s="167" t="s">
        <v>10</v>
      </c>
      <c r="C125" s="167"/>
      <c r="D125" s="167"/>
      <c r="E125" s="167"/>
      <c r="F125" s="167"/>
      <c r="G125" s="74">
        <f>SUM(H125:K125)</f>
        <v>0</v>
      </c>
      <c r="H125" s="74"/>
      <c r="I125" s="74"/>
      <c r="J125" s="74"/>
      <c r="K125" s="74"/>
      <c r="L125" s="132">
        <f>19384.8</f>
        <v>19384.8</v>
      </c>
      <c r="M125" s="132"/>
      <c r="N125" s="132"/>
      <c r="O125" s="132"/>
      <c r="P125" s="132">
        <v>19384.8</v>
      </c>
      <c r="Q125" s="132"/>
      <c r="R125" s="132"/>
      <c r="S125" s="132"/>
      <c r="T125" s="132"/>
      <c r="U125" s="132"/>
      <c r="V125" s="132"/>
      <c r="W125" s="132"/>
      <c r="X125" s="361"/>
      <c r="Y125" s="453"/>
    </row>
    <row r="126" spans="1:32" ht="24.6" hidden="1" customHeight="1">
      <c r="A126" s="513"/>
      <c r="B126" s="167" t="s">
        <v>34</v>
      </c>
      <c r="C126" s="167"/>
      <c r="D126" s="167"/>
      <c r="E126" s="167"/>
      <c r="F126" s="167"/>
      <c r="G126" s="74">
        <f>SUM(H126:K126)</f>
        <v>24224.9</v>
      </c>
      <c r="H126" s="74"/>
      <c r="I126" s="74">
        <v>1913.7</v>
      </c>
      <c r="J126" s="74">
        <v>13565.9</v>
      </c>
      <c r="K126" s="74">
        <v>8745.2999999999993</v>
      </c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361"/>
      <c r="Y126" s="453"/>
    </row>
    <row r="127" spans="1:32" ht="0.6" customHeight="1">
      <c r="A127" s="513" t="s">
        <v>461</v>
      </c>
      <c r="B127" s="167" t="s">
        <v>89</v>
      </c>
      <c r="C127" s="167"/>
      <c r="D127" s="167"/>
      <c r="E127" s="167"/>
      <c r="F127" s="167"/>
      <c r="G127" s="74">
        <f>SUM(H127:K127)</f>
        <v>0</v>
      </c>
      <c r="H127" s="74"/>
      <c r="I127" s="74"/>
      <c r="J127" s="74"/>
      <c r="K127" s="74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361"/>
      <c r="Y127" s="453" t="s">
        <v>396</v>
      </c>
    </row>
    <row r="128" spans="1:32" ht="24.6" hidden="1" customHeight="1">
      <c r="A128" s="513"/>
      <c r="B128" s="167" t="s">
        <v>272</v>
      </c>
      <c r="C128" s="167">
        <v>176</v>
      </c>
      <c r="D128" s="167" t="s">
        <v>15</v>
      </c>
      <c r="E128" s="167">
        <v>6100404</v>
      </c>
      <c r="F128" s="167">
        <v>414</v>
      </c>
      <c r="G128" s="74">
        <f t="shared" ref="G128:V128" si="71">G129+G130</f>
        <v>0</v>
      </c>
      <c r="H128" s="74">
        <f t="shared" si="71"/>
        <v>0</v>
      </c>
      <c r="I128" s="74">
        <f t="shared" si="71"/>
        <v>0</v>
      </c>
      <c r="J128" s="74">
        <f t="shared" si="71"/>
        <v>0</v>
      </c>
      <c r="K128" s="74">
        <f t="shared" si="71"/>
        <v>0</v>
      </c>
      <c r="L128" s="132">
        <f t="shared" si="71"/>
        <v>0</v>
      </c>
      <c r="M128" s="132"/>
      <c r="N128" s="132"/>
      <c r="O128" s="132"/>
      <c r="P128" s="132"/>
      <c r="Q128" s="132">
        <f t="shared" si="71"/>
        <v>0</v>
      </c>
      <c r="R128" s="132"/>
      <c r="S128" s="132"/>
      <c r="T128" s="132"/>
      <c r="U128" s="132"/>
      <c r="V128" s="132">
        <f t="shared" si="71"/>
        <v>0</v>
      </c>
      <c r="W128" s="132"/>
      <c r="X128" s="361"/>
      <c r="Y128" s="453"/>
    </row>
    <row r="129" spans="1:25" ht="30.6" hidden="1" customHeight="1">
      <c r="A129" s="513"/>
      <c r="B129" s="167" t="s">
        <v>10</v>
      </c>
      <c r="C129" s="167"/>
      <c r="D129" s="167"/>
      <c r="E129" s="167"/>
      <c r="F129" s="167"/>
      <c r="G129" s="80">
        <f>SUM(H129:K129)</f>
        <v>0</v>
      </c>
      <c r="H129" s="74"/>
      <c r="I129" s="74"/>
      <c r="J129" s="74"/>
      <c r="K129" s="74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361"/>
      <c r="Y129" s="453"/>
    </row>
    <row r="130" spans="1:25" ht="24" hidden="1" customHeight="1">
      <c r="A130" s="513"/>
      <c r="B130" s="167" t="s">
        <v>34</v>
      </c>
      <c r="C130" s="167"/>
      <c r="D130" s="167"/>
      <c r="E130" s="167"/>
      <c r="F130" s="167"/>
      <c r="G130" s="80">
        <f>SUM(H130:K130)</f>
        <v>0</v>
      </c>
      <c r="H130" s="74"/>
      <c r="I130" s="74"/>
      <c r="J130" s="74"/>
      <c r="K130" s="74"/>
      <c r="L130" s="132"/>
      <c r="M130" s="132"/>
      <c r="N130" s="132"/>
      <c r="O130" s="132"/>
      <c r="P130" s="132"/>
      <c r="Q130" s="132">
        <v>0</v>
      </c>
      <c r="R130" s="132"/>
      <c r="S130" s="132"/>
      <c r="T130" s="132"/>
      <c r="U130" s="132"/>
      <c r="V130" s="132"/>
      <c r="W130" s="132"/>
      <c r="X130" s="361"/>
      <c r="Y130" s="453"/>
    </row>
    <row r="131" spans="1:25" ht="0.6" customHeight="1">
      <c r="A131" s="478" t="s">
        <v>121</v>
      </c>
      <c r="B131" s="82" t="s">
        <v>89</v>
      </c>
      <c r="C131" s="167"/>
      <c r="D131" s="167"/>
      <c r="E131" s="167"/>
      <c r="F131" s="167"/>
      <c r="G131" s="80">
        <f>G135</f>
        <v>0.64</v>
      </c>
      <c r="H131" s="80">
        <f t="shared" ref="H131:Q131" si="72">H135</f>
        <v>0</v>
      </c>
      <c r="I131" s="80">
        <f t="shared" si="72"/>
        <v>0</v>
      </c>
      <c r="J131" s="80">
        <f t="shared" si="72"/>
        <v>0</v>
      </c>
      <c r="K131" s="80">
        <f t="shared" si="72"/>
        <v>0.64</v>
      </c>
      <c r="L131" s="131">
        <f>L135</f>
        <v>0.83799999999999997</v>
      </c>
      <c r="M131" s="131">
        <f t="shared" ref="M131:N131" si="73">M135</f>
        <v>0</v>
      </c>
      <c r="N131" s="131">
        <f t="shared" si="73"/>
        <v>0</v>
      </c>
      <c r="O131" s="131">
        <f>O135</f>
        <v>0.83799999999999997</v>
      </c>
      <c r="P131" s="131"/>
      <c r="Q131" s="131">
        <f t="shared" si="72"/>
        <v>0</v>
      </c>
      <c r="R131" s="131"/>
      <c r="S131" s="131"/>
      <c r="T131" s="131"/>
      <c r="U131" s="131"/>
      <c r="V131" s="131"/>
      <c r="W131" s="131"/>
      <c r="X131" s="361"/>
      <c r="Y131" s="338"/>
    </row>
    <row r="132" spans="1:25" ht="21.6" hidden="1" customHeight="1">
      <c r="A132" s="478"/>
      <c r="B132" s="82" t="s">
        <v>272</v>
      </c>
      <c r="C132" s="167"/>
      <c r="D132" s="167"/>
      <c r="E132" s="167"/>
      <c r="F132" s="167"/>
      <c r="G132" s="80">
        <f>G134+G133</f>
        <v>15427.8</v>
      </c>
      <c r="H132" s="80">
        <f t="shared" ref="H132:V132" si="74">H134+H133</f>
        <v>0</v>
      </c>
      <c r="I132" s="80">
        <f t="shared" si="74"/>
        <v>0</v>
      </c>
      <c r="J132" s="80">
        <f t="shared" si="74"/>
        <v>0</v>
      </c>
      <c r="K132" s="80">
        <f t="shared" si="74"/>
        <v>15427.8</v>
      </c>
      <c r="L132" s="131">
        <f t="shared" si="74"/>
        <v>21615.200000000001</v>
      </c>
      <c r="M132" s="131">
        <f t="shared" si="74"/>
        <v>0</v>
      </c>
      <c r="N132" s="131">
        <f t="shared" si="74"/>
        <v>0</v>
      </c>
      <c r="O132" s="131">
        <f t="shared" si="74"/>
        <v>21615.200000000001</v>
      </c>
      <c r="P132" s="131">
        <f t="shared" si="74"/>
        <v>0</v>
      </c>
      <c r="Q132" s="131">
        <f t="shared" si="74"/>
        <v>0</v>
      </c>
      <c r="R132" s="131"/>
      <c r="S132" s="131"/>
      <c r="T132" s="131"/>
      <c r="U132" s="131"/>
      <c r="V132" s="131">
        <f t="shared" si="74"/>
        <v>0</v>
      </c>
      <c r="W132" s="131"/>
      <c r="X132" s="361"/>
      <c r="Y132" s="338"/>
    </row>
    <row r="133" spans="1:25" ht="31.9" hidden="1" customHeight="1">
      <c r="A133" s="478"/>
      <c r="B133" s="82" t="s">
        <v>10</v>
      </c>
      <c r="C133" s="167"/>
      <c r="D133" s="167"/>
      <c r="E133" s="167"/>
      <c r="F133" s="167"/>
      <c r="G133" s="80">
        <f>G137</f>
        <v>15427.8</v>
      </c>
      <c r="H133" s="80">
        <f t="shared" ref="H133:V134" si="75">H137</f>
        <v>0</v>
      </c>
      <c r="I133" s="80">
        <f t="shared" si="75"/>
        <v>0</v>
      </c>
      <c r="J133" s="80">
        <f t="shared" si="75"/>
        <v>0</v>
      </c>
      <c r="K133" s="80">
        <f t="shared" si="75"/>
        <v>15427.8</v>
      </c>
      <c r="L133" s="131">
        <f t="shared" si="75"/>
        <v>21615.200000000001</v>
      </c>
      <c r="M133" s="131">
        <f t="shared" si="75"/>
        <v>0</v>
      </c>
      <c r="N133" s="131">
        <f t="shared" si="75"/>
        <v>0</v>
      </c>
      <c r="O133" s="131">
        <f t="shared" si="75"/>
        <v>21615.200000000001</v>
      </c>
      <c r="P133" s="131">
        <f t="shared" si="75"/>
        <v>0</v>
      </c>
      <c r="Q133" s="131">
        <f t="shared" si="75"/>
        <v>0</v>
      </c>
      <c r="R133" s="131"/>
      <c r="S133" s="131"/>
      <c r="T133" s="131"/>
      <c r="U133" s="131"/>
      <c r="V133" s="131"/>
      <c r="W133" s="131"/>
      <c r="X133" s="361"/>
      <c r="Y133" s="338"/>
    </row>
    <row r="134" spans="1:25" ht="24.6" hidden="1" customHeight="1">
      <c r="A134" s="478"/>
      <c r="B134" s="82" t="s">
        <v>34</v>
      </c>
      <c r="C134" s="167"/>
      <c r="D134" s="167"/>
      <c r="E134" s="167"/>
      <c r="F134" s="167"/>
      <c r="G134" s="80">
        <f>G138</f>
        <v>0</v>
      </c>
      <c r="H134" s="80">
        <f t="shared" si="75"/>
        <v>0</v>
      </c>
      <c r="I134" s="80">
        <f t="shared" si="75"/>
        <v>0</v>
      </c>
      <c r="J134" s="80">
        <f t="shared" si="75"/>
        <v>0</v>
      </c>
      <c r="K134" s="80">
        <f t="shared" si="75"/>
        <v>0</v>
      </c>
      <c r="L134" s="131">
        <f t="shared" si="75"/>
        <v>0</v>
      </c>
      <c r="M134" s="131"/>
      <c r="N134" s="131"/>
      <c r="O134" s="131"/>
      <c r="P134" s="131"/>
      <c r="Q134" s="131">
        <f t="shared" si="75"/>
        <v>0</v>
      </c>
      <c r="R134" s="131"/>
      <c r="S134" s="131"/>
      <c r="T134" s="131"/>
      <c r="U134" s="131"/>
      <c r="V134" s="131">
        <f t="shared" si="75"/>
        <v>0</v>
      </c>
      <c r="W134" s="131"/>
      <c r="X134" s="361"/>
      <c r="Y134" s="338"/>
    </row>
    <row r="135" spans="1:25" ht="0.6" hidden="1" customHeight="1">
      <c r="A135" s="526" t="s">
        <v>325</v>
      </c>
      <c r="B135" s="167" t="s">
        <v>89</v>
      </c>
      <c r="C135" s="167"/>
      <c r="D135" s="167"/>
      <c r="E135" s="167"/>
      <c r="F135" s="167"/>
      <c r="G135" s="74">
        <f>SUM(H135:K135)</f>
        <v>0.64</v>
      </c>
      <c r="H135" s="74"/>
      <c r="I135" s="74"/>
      <c r="J135" s="74"/>
      <c r="K135" s="74">
        <v>0.64</v>
      </c>
      <c r="L135" s="132">
        <f>0.76+0.078</f>
        <v>0.83799999999999997</v>
      </c>
      <c r="M135" s="132"/>
      <c r="N135" s="132"/>
      <c r="O135" s="132">
        <v>0.83799999999999997</v>
      </c>
      <c r="P135" s="133"/>
      <c r="Q135" s="132"/>
      <c r="R135" s="132"/>
      <c r="S135" s="132"/>
      <c r="T135" s="132"/>
      <c r="U135" s="132"/>
      <c r="V135" s="132"/>
      <c r="W135" s="132"/>
      <c r="X135" s="361"/>
      <c r="Y135" s="453" t="s">
        <v>307</v>
      </c>
    </row>
    <row r="136" spans="1:25" ht="24.6" hidden="1" customHeight="1">
      <c r="A136" s="527"/>
      <c r="B136" s="167" t="s">
        <v>272</v>
      </c>
      <c r="C136" s="167"/>
      <c r="D136" s="167"/>
      <c r="E136" s="167"/>
      <c r="F136" s="167"/>
      <c r="G136" s="74">
        <f>G138+G137</f>
        <v>15427.8</v>
      </c>
      <c r="H136" s="74">
        <f t="shared" ref="H136:V136" si="76">H138+H137</f>
        <v>0</v>
      </c>
      <c r="I136" s="74">
        <f t="shared" si="76"/>
        <v>0</v>
      </c>
      <c r="J136" s="74">
        <f t="shared" si="76"/>
        <v>0</v>
      </c>
      <c r="K136" s="74">
        <f t="shared" si="76"/>
        <v>15427.8</v>
      </c>
      <c r="L136" s="132">
        <f t="shared" si="76"/>
        <v>21615.200000000001</v>
      </c>
      <c r="M136" s="132">
        <f t="shared" si="76"/>
        <v>0</v>
      </c>
      <c r="N136" s="132">
        <f t="shared" si="76"/>
        <v>0</v>
      </c>
      <c r="O136" s="132">
        <f t="shared" si="76"/>
        <v>21615.200000000001</v>
      </c>
      <c r="P136" s="132">
        <f t="shared" si="76"/>
        <v>0</v>
      </c>
      <c r="Q136" s="132">
        <f t="shared" si="76"/>
        <v>0</v>
      </c>
      <c r="R136" s="132"/>
      <c r="S136" s="132"/>
      <c r="T136" s="132"/>
      <c r="U136" s="132"/>
      <c r="V136" s="132">
        <f t="shared" si="76"/>
        <v>0</v>
      </c>
      <c r="W136" s="132"/>
      <c r="X136" s="361"/>
      <c r="Y136" s="453"/>
    </row>
    <row r="137" spans="1:25" ht="28.9" hidden="1" customHeight="1">
      <c r="A137" s="527"/>
      <c r="B137" s="167" t="s">
        <v>10</v>
      </c>
      <c r="C137" s="167"/>
      <c r="D137" s="167"/>
      <c r="E137" s="167"/>
      <c r="F137" s="167"/>
      <c r="G137" s="74">
        <f>SUM(H137:K137)</f>
        <v>15427.8</v>
      </c>
      <c r="H137" s="74"/>
      <c r="I137" s="74"/>
      <c r="J137" s="74"/>
      <c r="K137" s="74">
        <v>15427.8</v>
      </c>
      <c r="L137" s="132">
        <f>19815.2+1800</f>
        <v>21615.200000000001</v>
      </c>
      <c r="M137" s="132"/>
      <c r="N137" s="132"/>
      <c r="O137" s="132">
        <v>21615.200000000001</v>
      </c>
      <c r="P137" s="132"/>
      <c r="Q137" s="132"/>
      <c r="R137" s="132"/>
      <c r="S137" s="132"/>
      <c r="T137" s="132"/>
      <c r="U137" s="132"/>
      <c r="V137" s="132"/>
      <c r="W137" s="132"/>
      <c r="X137" s="361"/>
      <c r="Y137" s="453"/>
    </row>
    <row r="138" spans="1:25" ht="24.6" hidden="1" customHeight="1">
      <c r="A138" s="528"/>
      <c r="B138" s="167" t="s">
        <v>34</v>
      </c>
      <c r="C138" s="167"/>
      <c r="D138" s="167"/>
      <c r="E138" s="167"/>
      <c r="F138" s="167"/>
      <c r="G138" s="74">
        <f>SUM(H138:V138)</f>
        <v>0</v>
      </c>
      <c r="H138" s="74"/>
      <c r="I138" s="74"/>
      <c r="J138" s="74"/>
      <c r="K138" s="74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361"/>
      <c r="Y138" s="453"/>
    </row>
    <row r="139" spans="1:25" ht="24.6" customHeight="1">
      <c r="A139" s="478" t="s">
        <v>126</v>
      </c>
      <c r="B139" s="82" t="s">
        <v>89</v>
      </c>
      <c r="C139" s="167"/>
      <c r="D139" s="167"/>
      <c r="E139" s="167"/>
      <c r="F139" s="167"/>
      <c r="G139" s="80">
        <f>G143+G155</f>
        <v>0.17</v>
      </c>
      <c r="H139" s="80">
        <f t="shared" ref="H139:W139" si="77">H143+H155</f>
        <v>0</v>
      </c>
      <c r="I139" s="80">
        <f t="shared" si="77"/>
        <v>0</v>
      </c>
      <c r="J139" s="80">
        <f t="shared" si="77"/>
        <v>0</v>
      </c>
      <c r="K139" s="80">
        <f t="shared" si="77"/>
        <v>0.17</v>
      </c>
      <c r="L139" s="131">
        <f>L143+L155</f>
        <v>0.2</v>
      </c>
      <c r="M139" s="131"/>
      <c r="N139" s="131"/>
      <c r="O139" s="131"/>
      <c r="P139" s="131">
        <v>0.2</v>
      </c>
      <c r="Q139" s="131">
        <f t="shared" si="77"/>
        <v>0</v>
      </c>
      <c r="R139" s="131"/>
      <c r="S139" s="131"/>
      <c r="T139" s="131"/>
      <c r="U139" s="131"/>
      <c r="V139" s="131">
        <f t="shared" si="77"/>
        <v>0</v>
      </c>
      <c r="W139" s="131">
        <f t="shared" si="77"/>
        <v>2.5</v>
      </c>
      <c r="X139" s="361"/>
      <c r="Y139" s="338"/>
    </row>
    <row r="140" spans="1:25" ht="24.6" customHeight="1">
      <c r="A140" s="478"/>
      <c r="B140" s="82" t="s">
        <v>272</v>
      </c>
      <c r="C140" s="167"/>
      <c r="D140" s="167"/>
      <c r="E140" s="167"/>
      <c r="F140" s="167"/>
      <c r="G140" s="80">
        <f t="shared" ref="G140:P140" si="78">G142+G141</f>
        <v>2029</v>
      </c>
      <c r="H140" s="80">
        <f t="shared" si="78"/>
        <v>0</v>
      </c>
      <c r="I140" s="80">
        <f t="shared" si="78"/>
        <v>0</v>
      </c>
      <c r="J140" s="80">
        <f t="shared" si="78"/>
        <v>0</v>
      </c>
      <c r="K140" s="80">
        <f t="shared" si="78"/>
        <v>2029</v>
      </c>
      <c r="L140" s="131">
        <f t="shared" si="78"/>
        <v>2171</v>
      </c>
      <c r="M140" s="131">
        <f t="shared" si="78"/>
        <v>0</v>
      </c>
      <c r="N140" s="131">
        <f t="shared" si="78"/>
        <v>0</v>
      </c>
      <c r="O140" s="131">
        <f t="shared" si="78"/>
        <v>0</v>
      </c>
      <c r="P140" s="131">
        <f t="shared" si="78"/>
        <v>2171</v>
      </c>
      <c r="Q140" s="131">
        <f>Q141+Q142</f>
        <v>0</v>
      </c>
      <c r="R140" s="131"/>
      <c r="S140" s="131"/>
      <c r="T140" s="131"/>
      <c r="U140" s="131"/>
      <c r="V140" s="131">
        <f>V141+V142</f>
        <v>0</v>
      </c>
      <c r="W140" s="131">
        <f>W141+W142</f>
        <v>125000</v>
      </c>
      <c r="X140" s="361"/>
      <c r="Y140" s="338"/>
    </row>
    <row r="141" spans="1:25" ht="24.6" customHeight="1">
      <c r="A141" s="478"/>
      <c r="B141" s="82" t="s">
        <v>10</v>
      </c>
      <c r="C141" s="167"/>
      <c r="D141" s="167"/>
      <c r="E141" s="167"/>
      <c r="F141" s="167"/>
      <c r="G141" s="80">
        <f t="shared" ref="G141:P141" si="79">G145</f>
        <v>2029</v>
      </c>
      <c r="H141" s="80">
        <f t="shared" si="79"/>
        <v>0</v>
      </c>
      <c r="I141" s="80">
        <f t="shared" si="79"/>
        <v>0</v>
      </c>
      <c r="J141" s="80">
        <f t="shared" si="79"/>
        <v>0</v>
      </c>
      <c r="K141" s="80">
        <f t="shared" si="79"/>
        <v>2029</v>
      </c>
      <c r="L141" s="131">
        <f t="shared" si="79"/>
        <v>2171</v>
      </c>
      <c r="M141" s="131">
        <f t="shared" si="79"/>
        <v>0</v>
      </c>
      <c r="N141" s="131">
        <f t="shared" si="79"/>
        <v>0</v>
      </c>
      <c r="O141" s="131">
        <f t="shared" si="79"/>
        <v>0</v>
      </c>
      <c r="P141" s="131">
        <f t="shared" si="79"/>
        <v>2171</v>
      </c>
      <c r="Q141" s="131">
        <f>Q144</f>
        <v>0</v>
      </c>
      <c r="R141" s="131"/>
      <c r="S141" s="131"/>
      <c r="T141" s="131"/>
      <c r="U141" s="131"/>
      <c r="V141" s="131">
        <f>V145</f>
        <v>0</v>
      </c>
      <c r="W141" s="131">
        <f>W145</f>
        <v>125000</v>
      </c>
      <c r="X141" s="361"/>
      <c r="Y141" s="338"/>
    </row>
    <row r="142" spans="1:25" ht="23.45" customHeight="1">
      <c r="A142" s="478"/>
      <c r="B142" s="82" t="s">
        <v>34</v>
      </c>
      <c r="C142" s="167"/>
      <c r="D142" s="167"/>
      <c r="E142" s="167"/>
      <c r="F142" s="167"/>
      <c r="G142" s="80">
        <f t="shared" ref="G142:V142" si="80">G154+G157</f>
        <v>0</v>
      </c>
      <c r="H142" s="80">
        <f t="shared" si="80"/>
        <v>0</v>
      </c>
      <c r="I142" s="80">
        <f t="shared" si="80"/>
        <v>0</v>
      </c>
      <c r="J142" s="80">
        <f t="shared" si="80"/>
        <v>0</v>
      </c>
      <c r="K142" s="80">
        <f t="shared" si="80"/>
        <v>0</v>
      </c>
      <c r="L142" s="131">
        <f t="shared" si="80"/>
        <v>0</v>
      </c>
      <c r="M142" s="131"/>
      <c r="N142" s="131"/>
      <c r="O142" s="131"/>
      <c r="P142" s="131"/>
      <c r="Q142" s="131">
        <f t="shared" si="80"/>
        <v>0</v>
      </c>
      <c r="R142" s="131"/>
      <c r="S142" s="131"/>
      <c r="T142" s="131"/>
      <c r="U142" s="131"/>
      <c r="V142" s="131">
        <f t="shared" si="80"/>
        <v>0</v>
      </c>
      <c r="W142" s="131"/>
      <c r="X142" s="361"/>
      <c r="Y142" s="338"/>
    </row>
    <row r="143" spans="1:25" ht="24.6" customHeight="1">
      <c r="A143" s="533" t="s">
        <v>580</v>
      </c>
      <c r="B143" s="167" t="s">
        <v>89</v>
      </c>
      <c r="C143" s="167"/>
      <c r="D143" s="167"/>
      <c r="E143" s="167"/>
      <c r="F143" s="167"/>
      <c r="G143" s="74">
        <f>SUM(H143:K143)</f>
        <v>0.17</v>
      </c>
      <c r="H143" s="74"/>
      <c r="I143" s="74"/>
      <c r="J143" s="74"/>
      <c r="K143" s="74">
        <v>0.17</v>
      </c>
      <c r="L143" s="132">
        <v>0.2</v>
      </c>
      <c r="M143" s="132"/>
      <c r="N143" s="132"/>
      <c r="O143" s="132"/>
      <c r="P143" s="132">
        <v>0.2</v>
      </c>
      <c r="Q143" s="132"/>
      <c r="R143" s="132"/>
      <c r="S143" s="132"/>
      <c r="T143" s="132"/>
      <c r="U143" s="132"/>
      <c r="V143" s="132"/>
      <c r="W143" s="132">
        <v>2.5</v>
      </c>
      <c r="X143" s="361"/>
      <c r="Y143" s="453" t="s">
        <v>501</v>
      </c>
    </row>
    <row r="144" spans="1:25" ht="24.6" customHeight="1">
      <c r="A144" s="534"/>
      <c r="B144" s="167" t="s">
        <v>272</v>
      </c>
      <c r="C144" s="167"/>
      <c r="D144" s="167"/>
      <c r="E144" s="167"/>
      <c r="F144" s="167"/>
      <c r="G144" s="74">
        <f>G154+G145</f>
        <v>2029</v>
      </c>
      <c r="H144" s="74">
        <f>H154+H145</f>
        <v>0</v>
      </c>
      <c r="I144" s="74">
        <f>I154+I145</f>
        <v>0</v>
      </c>
      <c r="J144" s="74">
        <f>J154+J145</f>
        <v>0</v>
      </c>
      <c r="K144" s="74">
        <f>K154+K145</f>
        <v>2029</v>
      </c>
      <c r="L144" s="132">
        <f>L145</f>
        <v>2171</v>
      </c>
      <c r="M144" s="132">
        <f t="shared" ref="M144:P144" si="81">M145</f>
        <v>0</v>
      </c>
      <c r="N144" s="132">
        <f t="shared" si="81"/>
        <v>0</v>
      </c>
      <c r="O144" s="132">
        <f t="shared" si="81"/>
        <v>0</v>
      </c>
      <c r="P144" s="132">
        <f t="shared" si="81"/>
        <v>2171</v>
      </c>
      <c r="Q144" s="132">
        <f>Q145</f>
        <v>0</v>
      </c>
      <c r="R144" s="132">
        <f t="shared" ref="R144:U144" si="82">R145</f>
        <v>0</v>
      </c>
      <c r="S144" s="132">
        <f t="shared" si="82"/>
        <v>0</v>
      </c>
      <c r="T144" s="132">
        <f t="shared" si="82"/>
        <v>0</v>
      </c>
      <c r="U144" s="132">
        <f t="shared" si="82"/>
        <v>0</v>
      </c>
      <c r="V144" s="132">
        <f>V145</f>
        <v>0</v>
      </c>
      <c r="W144" s="132">
        <f>W145</f>
        <v>125000</v>
      </c>
      <c r="X144" s="361"/>
      <c r="Y144" s="453"/>
    </row>
    <row r="145" spans="1:72" ht="24.6" customHeight="1">
      <c r="A145" s="534"/>
      <c r="B145" s="167" t="s">
        <v>10</v>
      </c>
      <c r="C145" s="167"/>
      <c r="D145" s="167"/>
      <c r="E145" s="167"/>
      <c r="F145" s="167"/>
      <c r="G145" s="74">
        <f>SUM(H145:K145)</f>
        <v>2029</v>
      </c>
      <c r="H145" s="74"/>
      <c r="I145" s="74"/>
      <c r="J145" s="74"/>
      <c r="K145" s="74">
        <v>2029</v>
      </c>
      <c r="L145" s="132">
        <f>SUM(M145:P145)</f>
        <v>2171</v>
      </c>
      <c r="M145" s="132"/>
      <c r="N145" s="132"/>
      <c r="O145" s="132"/>
      <c r="P145" s="132">
        <v>2171</v>
      </c>
      <c r="Q145" s="132"/>
      <c r="R145" s="193"/>
      <c r="S145" s="193"/>
      <c r="T145" s="193"/>
      <c r="U145" s="193"/>
      <c r="V145" s="247"/>
      <c r="W145" s="132">
        <v>125000</v>
      </c>
      <c r="X145" s="361"/>
      <c r="Y145" s="453"/>
    </row>
    <row r="146" spans="1:72" ht="24.6" customHeight="1">
      <c r="A146" s="524"/>
      <c r="B146" s="238" t="s">
        <v>463</v>
      </c>
      <c r="C146" s="238"/>
      <c r="D146" s="238"/>
      <c r="E146" s="238"/>
      <c r="F146" s="238"/>
      <c r="G146" s="140"/>
      <c r="H146" s="140"/>
      <c r="I146" s="140"/>
      <c r="J146" s="140"/>
      <c r="K146" s="140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247"/>
      <c r="W146" s="141"/>
      <c r="X146" s="361"/>
      <c r="Y146" s="453"/>
    </row>
    <row r="147" spans="1:72" ht="24.6" customHeight="1">
      <c r="A147" s="530" t="s">
        <v>124</v>
      </c>
      <c r="B147" s="251" t="s">
        <v>89</v>
      </c>
      <c r="C147" s="238"/>
      <c r="D147" s="238"/>
      <c r="E147" s="238"/>
      <c r="F147" s="238"/>
      <c r="G147" s="140"/>
      <c r="H147" s="140"/>
      <c r="I147" s="140"/>
      <c r="J147" s="140"/>
      <c r="K147" s="140"/>
      <c r="L147" s="141"/>
      <c r="M147" s="141"/>
      <c r="N147" s="141"/>
      <c r="O147" s="141"/>
      <c r="P147" s="141"/>
      <c r="Q147" s="243">
        <f>Q151</f>
        <v>0</v>
      </c>
      <c r="R147" s="243">
        <f t="shared" ref="R147:U147" si="83">R151</f>
        <v>0</v>
      </c>
      <c r="S147" s="243">
        <f t="shared" si="83"/>
        <v>0</v>
      </c>
      <c r="T147" s="243">
        <f t="shared" si="83"/>
        <v>0</v>
      </c>
      <c r="U147" s="243">
        <f t="shared" si="83"/>
        <v>0</v>
      </c>
      <c r="V147" s="334">
        <f>V151</f>
        <v>7.0000000000000007E-2</v>
      </c>
      <c r="W147" s="141"/>
      <c r="X147" s="361"/>
      <c r="Y147" s="453"/>
    </row>
    <row r="148" spans="1:72" ht="24.6" customHeight="1">
      <c r="A148" s="531"/>
      <c r="B148" s="251" t="s">
        <v>272</v>
      </c>
      <c r="C148" s="238"/>
      <c r="D148" s="238"/>
      <c r="E148" s="238"/>
      <c r="F148" s="238"/>
      <c r="G148" s="140"/>
      <c r="H148" s="140"/>
      <c r="I148" s="140"/>
      <c r="J148" s="140"/>
      <c r="K148" s="140"/>
      <c r="L148" s="141"/>
      <c r="M148" s="141"/>
      <c r="N148" s="141"/>
      <c r="O148" s="141"/>
      <c r="P148" s="141"/>
      <c r="Q148" s="243">
        <f>Q149</f>
        <v>0</v>
      </c>
      <c r="R148" s="243">
        <f t="shared" ref="R148:U148" si="84">R149</f>
        <v>0</v>
      </c>
      <c r="S148" s="243">
        <f t="shared" si="84"/>
        <v>0</v>
      </c>
      <c r="T148" s="243">
        <f t="shared" si="84"/>
        <v>0</v>
      </c>
      <c r="U148" s="243">
        <f t="shared" si="84"/>
        <v>0</v>
      </c>
      <c r="V148" s="334">
        <f>V152</f>
        <v>10000</v>
      </c>
      <c r="W148" s="141"/>
      <c r="X148" s="361"/>
      <c r="Y148" s="453"/>
    </row>
    <row r="149" spans="1:72" ht="24.6" customHeight="1">
      <c r="A149" s="531"/>
      <c r="B149" s="251" t="s">
        <v>10</v>
      </c>
      <c r="C149" s="238"/>
      <c r="D149" s="238"/>
      <c r="E149" s="238"/>
      <c r="F149" s="238"/>
      <c r="G149" s="140"/>
      <c r="H149" s="140"/>
      <c r="I149" s="140"/>
      <c r="J149" s="140"/>
      <c r="K149" s="140"/>
      <c r="L149" s="141"/>
      <c r="M149" s="141"/>
      <c r="N149" s="141"/>
      <c r="O149" s="141"/>
      <c r="P149" s="141"/>
      <c r="Q149" s="243">
        <f>Q153</f>
        <v>0</v>
      </c>
      <c r="R149" s="243">
        <f t="shared" ref="R149:U149" si="85">R153</f>
        <v>0</v>
      </c>
      <c r="S149" s="243">
        <f t="shared" si="85"/>
        <v>0</v>
      </c>
      <c r="T149" s="243">
        <f t="shared" si="85"/>
        <v>0</v>
      </c>
      <c r="U149" s="243">
        <f t="shared" si="85"/>
        <v>0</v>
      </c>
      <c r="V149" s="334">
        <f>V153</f>
        <v>10000</v>
      </c>
      <c r="W149" s="141"/>
      <c r="X149" s="361"/>
      <c r="Y149" s="453"/>
    </row>
    <row r="150" spans="1:72" ht="24.6" customHeight="1">
      <c r="A150" s="532"/>
      <c r="B150" s="251" t="s">
        <v>463</v>
      </c>
      <c r="C150" s="238"/>
      <c r="D150" s="238"/>
      <c r="E150" s="238"/>
      <c r="F150" s="238"/>
      <c r="G150" s="140"/>
      <c r="H150" s="140"/>
      <c r="I150" s="140"/>
      <c r="J150" s="140"/>
      <c r="K150" s="140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247"/>
      <c r="W150" s="141"/>
      <c r="X150" s="361"/>
      <c r="Y150" s="453"/>
    </row>
    <row r="151" spans="1:72" ht="24.6" customHeight="1">
      <c r="A151" s="533" t="s">
        <v>589</v>
      </c>
      <c r="B151" s="250" t="s">
        <v>89</v>
      </c>
      <c r="C151" s="238"/>
      <c r="D151" s="238"/>
      <c r="E151" s="238"/>
      <c r="F151" s="238"/>
      <c r="G151" s="140"/>
      <c r="H151" s="140"/>
      <c r="I151" s="140"/>
      <c r="J151" s="140"/>
      <c r="K151" s="140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247">
        <v>7.0000000000000007E-2</v>
      </c>
      <c r="W151" s="141"/>
      <c r="X151" s="361"/>
      <c r="Y151" s="453" t="s">
        <v>613</v>
      </c>
    </row>
    <row r="152" spans="1:72" ht="24.6" customHeight="1">
      <c r="A152" s="534"/>
      <c r="B152" s="250" t="s">
        <v>272</v>
      </c>
      <c r="C152" s="238"/>
      <c r="D152" s="238"/>
      <c r="E152" s="238"/>
      <c r="F152" s="238"/>
      <c r="G152" s="140"/>
      <c r="H152" s="140"/>
      <c r="I152" s="140"/>
      <c r="J152" s="140"/>
      <c r="K152" s="140"/>
      <c r="L152" s="141"/>
      <c r="M152" s="141"/>
      <c r="N152" s="141"/>
      <c r="O152" s="141"/>
      <c r="P152" s="141"/>
      <c r="Q152" s="141">
        <f>Q153</f>
        <v>0</v>
      </c>
      <c r="R152" s="141"/>
      <c r="S152" s="141"/>
      <c r="T152" s="141"/>
      <c r="U152" s="141">
        <f>U153</f>
        <v>0</v>
      </c>
      <c r="V152" s="247">
        <f>V153</f>
        <v>10000</v>
      </c>
      <c r="W152" s="141"/>
      <c r="X152" s="361"/>
      <c r="Y152" s="453"/>
    </row>
    <row r="153" spans="1:72" ht="24.6" customHeight="1">
      <c r="A153" s="534"/>
      <c r="B153" s="250" t="s">
        <v>10</v>
      </c>
      <c r="C153" s="238"/>
      <c r="D153" s="238"/>
      <c r="E153" s="238"/>
      <c r="F153" s="238"/>
      <c r="G153" s="140"/>
      <c r="H153" s="140"/>
      <c r="I153" s="140"/>
      <c r="J153" s="140"/>
      <c r="K153" s="140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247">
        <v>10000</v>
      </c>
      <c r="W153" s="141"/>
      <c r="X153" s="361"/>
      <c r="Y153" s="453"/>
    </row>
    <row r="154" spans="1:72" s="71" customFormat="1" ht="24" customHeight="1">
      <c r="A154" s="524"/>
      <c r="B154" s="240" t="s">
        <v>463</v>
      </c>
      <c r="C154" s="237"/>
      <c r="D154" s="237"/>
      <c r="E154" s="237"/>
      <c r="F154" s="237"/>
      <c r="G154" s="74">
        <f>SUM(H154:K154)</f>
        <v>0</v>
      </c>
      <c r="H154" s="74"/>
      <c r="I154" s="74"/>
      <c r="J154" s="74"/>
      <c r="K154" s="74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361"/>
      <c r="Y154" s="453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  <c r="AJ154" s="249"/>
      <c r="AK154" s="249"/>
      <c r="AL154" s="249"/>
      <c r="AM154" s="249"/>
      <c r="AN154" s="249"/>
      <c r="AO154" s="249"/>
      <c r="AP154" s="249"/>
      <c r="AQ154" s="249"/>
      <c r="AR154" s="249"/>
      <c r="AS154" s="341"/>
      <c r="AT154" s="249"/>
      <c r="AU154" s="249"/>
      <c r="AV154" s="249"/>
      <c r="AW154" s="249"/>
      <c r="AX154" s="249"/>
      <c r="AY154" s="249"/>
      <c r="AZ154" s="249"/>
      <c r="BA154" s="249"/>
      <c r="BB154" s="249"/>
      <c r="BC154" s="249"/>
      <c r="BD154" s="249"/>
      <c r="BE154" s="249"/>
      <c r="BF154" s="249"/>
      <c r="BG154" s="249"/>
      <c r="BH154" s="249"/>
      <c r="BI154" s="249"/>
      <c r="BJ154" s="249"/>
      <c r="BK154" s="249"/>
      <c r="BL154" s="249"/>
      <c r="BM154" s="249"/>
      <c r="BN154" s="249"/>
      <c r="BO154" s="249"/>
      <c r="BP154" s="249"/>
      <c r="BQ154" s="249"/>
      <c r="BR154" s="249"/>
      <c r="BS154" s="249"/>
      <c r="BT154" s="248"/>
    </row>
    <row r="155" spans="1:72" s="55" customFormat="1" ht="24.6" hidden="1" customHeight="1">
      <c r="A155" s="524" t="s">
        <v>247</v>
      </c>
      <c r="B155" s="239" t="s">
        <v>89</v>
      </c>
      <c r="C155" s="239"/>
      <c r="D155" s="239"/>
      <c r="E155" s="239"/>
      <c r="F155" s="239"/>
      <c r="G155" s="245"/>
      <c r="H155" s="245"/>
      <c r="I155" s="245"/>
      <c r="J155" s="245"/>
      <c r="K155" s="245"/>
      <c r="L155" s="246"/>
      <c r="M155" s="246"/>
      <c r="N155" s="246"/>
      <c r="O155" s="246"/>
      <c r="P155" s="246"/>
      <c r="Q155" s="246">
        <v>0</v>
      </c>
      <c r="R155" s="246"/>
      <c r="S155" s="246"/>
      <c r="T155" s="246"/>
      <c r="U155" s="246"/>
      <c r="V155" s="246">
        <v>0</v>
      </c>
      <c r="W155" s="246"/>
      <c r="X155" s="361"/>
      <c r="Y155" s="453" t="s">
        <v>252</v>
      </c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0"/>
      <c r="BN155" s="150"/>
      <c r="BO155" s="150"/>
      <c r="BP155" s="150"/>
      <c r="BQ155" s="150"/>
      <c r="BR155" s="150"/>
      <c r="BS155" s="150"/>
    </row>
    <row r="156" spans="1:72" s="55" customFormat="1" ht="24.6" hidden="1" customHeight="1">
      <c r="A156" s="525"/>
      <c r="B156" s="167" t="s">
        <v>272</v>
      </c>
      <c r="C156" s="167"/>
      <c r="D156" s="167"/>
      <c r="E156" s="167"/>
      <c r="F156" s="167"/>
      <c r="G156" s="74">
        <f>G157</f>
        <v>0</v>
      </c>
      <c r="H156" s="74">
        <f t="shared" ref="H156:V156" si="86">H157</f>
        <v>0</v>
      </c>
      <c r="I156" s="74">
        <f t="shared" si="86"/>
        <v>0</v>
      </c>
      <c r="J156" s="74">
        <f t="shared" si="86"/>
        <v>0</v>
      </c>
      <c r="K156" s="74">
        <f t="shared" si="86"/>
        <v>0</v>
      </c>
      <c r="L156" s="132">
        <f t="shared" si="86"/>
        <v>0</v>
      </c>
      <c r="M156" s="132"/>
      <c r="N156" s="132"/>
      <c r="O156" s="132"/>
      <c r="P156" s="132"/>
      <c r="Q156" s="132">
        <f t="shared" si="86"/>
        <v>0</v>
      </c>
      <c r="R156" s="132"/>
      <c r="S156" s="132"/>
      <c r="T156" s="132"/>
      <c r="U156" s="132"/>
      <c r="V156" s="132">
        <f t="shared" si="86"/>
        <v>0</v>
      </c>
      <c r="W156" s="132"/>
      <c r="X156" s="361"/>
      <c r="Y156" s="453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0"/>
      <c r="BN156" s="150"/>
      <c r="BO156" s="150"/>
      <c r="BP156" s="150"/>
      <c r="BQ156" s="150"/>
      <c r="BR156" s="150"/>
      <c r="BS156" s="150"/>
    </row>
    <row r="157" spans="1:72" s="55" customFormat="1" ht="11.25" hidden="1" customHeight="1">
      <c r="A157" s="525"/>
      <c r="B157" s="167" t="s">
        <v>34</v>
      </c>
      <c r="C157" s="167"/>
      <c r="D157" s="167"/>
      <c r="E157" s="167"/>
      <c r="F157" s="167"/>
      <c r="G157" s="74"/>
      <c r="H157" s="74"/>
      <c r="I157" s="74"/>
      <c r="J157" s="74"/>
      <c r="K157" s="74"/>
      <c r="L157" s="132"/>
      <c r="M157" s="132"/>
      <c r="N157" s="132"/>
      <c r="O157" s="132"/>
      <c r="P157" s="132"/>
      <c r="Q157" s="132">
        <v>0</v>
      </c>
      <c r="R157" s="132"/>
      <c r="S157" s="132"/>
      <c r="T157" s="132"/>
      <c r="U157" s="132"/>
      <c r="V157" s="132">
        <v>0</v>
      </c>
      <c r="W157" s="132"/>
      <c r="X157" s="361"/>
      <c r="Y157" s="453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150"/>
      <c r="BN157" s="150"/>
      <c r="BO157" s="150"/>
      <c r="BP157" s="150"/>
      <c r="BQ157" s="150"/>
      <c r="BR157" s="150"/>
      <c r="BS157" s="150"/>
    </row>
    <row r="158" spans="1:72" s="55" customFormat="1" ht="24.95" customHeight="1">
      <c r="A158" s="536" t="s">
        <v>101</v>
      </c>
      <c r="B158" s="82" t="s">
        <v>89</v>
      </c>
      <c r="C158" s="82"/>
      <c r="D158" s="82"/>
      <c r="E158" s="82"/>
      <c r="F158" s="82"/>
      <c r="G158" s="80" t="e">
        <f>#REF!+G162+G166</f>
        <v>#REF!</v>
      </c>
      <c r="H158" s="80" t="e">
        <f>#REF!+H162+H166</f>
        <v>#REF!</v>
      </c>
      <c r="I158" s="80" t="e">
        <f>#REF!+I162+I166</f>
        <v>#REF!</v>
      </c>
      <c r="J158" s="80" t="e">
        <f>#REF!+J162+J166</f>
        <v>#REF!</v>
      </c>
      <c r="K158" s="80" t="e">
        <f>#REF!+K162+K166</f>
        <v>#REF!</v>
      </c>
      <c r="L158" s="131">
        <f>L162+L166</f>
        <v>5.85</v>
      </c>
      <c r="M158" s="131">
        <f t="shared" ref="M158:V158" si="87">M162+M166</f>
        <v>0</v>
      </c>
      <c r="N158" s="131">
        <f t="shared" si="87"/>
        <v>0</v>
      </c>
      <c r="O158" s="131">
        <f t="shared" si="87"/>
        <v>0</v>
      </c>
      <c r="P158" s="131">
        <f t="shared" si="87"/>
        <v>5.85</v>
      </c>
      <c r="Q158" s="131">
        <f t="shared" si="87"/>
        <v>0.7</v>
      </c>
      <c r="R158" s="131">
        <f t="shared" si="87"/>
        <v>0</v>
      </c>
      <c r="S158" s="131">
        <f t="shared" si="87"/>
        <v>0</v>
      </c>
      <c r="T158" s="131">
        <f t="shared" si="87"/>
        <v>0.7</v>
      </c>
      <c r="U158" s="131">
        <f t="shared" si="87"/>
        <v>0</v>
      </c>
      <c r="V158" s="131">
        <f t="shared" si="87"/>
        <v>6</v>
      </c>
      <c r="W158" s="131"/>
      <c r="X158" s="361"/>
      <c r="Y158" s="82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0"/>
      <c r="BN158" s="150"/>
      <c r="BO158" s="150"/>
      <c r="BP158" s="150"/>
      <c r="BQ158" s="150"/>
      <c r="BR158" s="150"/>
      <c r="BS158" s="150"/>
    </row>
    <row r="159" spans="1:72" ht="24.95" customHeight="1">
      <c r="A159" s="536"/>
      <c r="B159" s="82" t="s">
        <v>272</v>
      </c>
      <c r="C159" s="82"/>
      <c r="D159" s="82"/>
      <c r="E159" s="82"/>
      <c r="F159" s="82"/>
      <c r="G159" s="80" t="e">
        <f t="shared" ref="G159:V159" si="88">G160+G161</f>
        <v>#REF!</v>
      </c>
      <c r="H159" s="80" t="e">
        <f t="shared" si="88"/>
        <v>#REF!</v>
      </c>
      <c r="I159" s="80" t="e">
        <f t="shared" si="88"/>
        <v>#REF!</v>
      </c>
      <c r="J159" s="80" t="e">
        <f t="shared" si="88"/>
        <v>#REF!</v>
      </c>
      <c r="K159" s="80" t="e">
        <f t="shared" si="88"/>
        <v>#REF!</v>
      </c>
      <c r="L159" s="131">
        <f t="shared" si="88"/>
        <v>199495</v>
      </c>
      <c r="M159" s="131">
        <f t="shared" si="88"/>
        <v>50000</v>
      </c>
      <c r="N159" s="131">
        <f t="shared" si="88"/>
        <v>10600</v>
      </c>
      <c r="O159" s="131">
        <f t="shared" si="88"/>
        <v>12000</v>
      </c>
      <c r="P159" s="131">
        <f t="shared" si="88"/>
        <v>126894.99999999999</v>
      </c>
      <c r="Q159" s="131">
        <f t="shared" si="88"/>
        <v>18599.999999999985</v>
      </c>
      <c r="R159" s="131">
        <f t="shared" si="88"/>
        <v>0</v>
      </c>
      <c r="S159" s="131">
        <f t="shared" si="88"/>
        <v>0</v>
      </c>
      <c r="T159" s="131">
        <f t="shared" si="88"/>
        <v>18599.999999999985</v>
      </c>
      <c r="U159" s="131">
        <f t="shared" si="88"/>
        <v>0</v>
      </c>
      <c r="V159" s="131">
        <f t="shared" si="88"/>
        <v>134439</v>
      </c>
      <c r="W159" s="131"/>
      <c r="X159" s="361"/>
      <c r="Y159" s="82"/>
    </row>
    <row r="160" spans="1:72" ht="24.95" customHeight="1">
      <c r="A160" s="536"/>
      <c r="B160" s="82" t="s">
        <v>10</v>
      </c>
      <c r="C160" s="82"/>
      <c r="D160" s="82"/>
      <c r="E160" s="82"/>
      <c r="F160" s="82"/>
      <c r="G160" s="80" t="e">
        <f>#REF!+G164+G168</f>
        <v>#REF!</v>
      </c>
      <c r="H160" s="80" t="e">
        <f>#REF!+H164+H168</f>
        <v>#REF!</v>
      </c>
      <c r="I160" s="80" t="e">
        <f>#REF!+I164+I168</f>
        <v>#REF!</v>
      </c>
      <c r="J160" s="80" t="e">
        <f>#REF!+J164+J168</f>
        <v>#REF!</v>
      </c>
      <c r="K160" s="80" t="e">
        <f>#REF!+K164+K168</f>
        <v>#REF!</v>
      </c>
      <c r="L160" s="131">
        <f>L164+L168</f>
        <v>199316.8</v>
      </c>
      <c r="M160" s="131">
        <f t="shared" ref="M160:V160" si="89">M164+M168</f>
        <v>50000</v>
      </c>
      <c r="N160" s="131">
        <f t="shared" si="89"/>
        <v>10600</v>
      </c>
      <c r="O160" s="131">
        <f t="shared" si="89"/>
        <v>12000</v>
      </c>
      <c r="P160" s="131">
        <f t="shared" si="89"/>
        <v>126716.79999999999</v>
      </c>
      <c r="Q160" s="131">
        <f t="shared" si="89"/>
        <v>18599.999999999985</v>
      </c>
      <c r="R160" s="131">
        <f t="shared" si="89"/>
        <v>0</v>
      </c>
      <c r="S160" s="131">
        <f t="shared" si="89"/>
        <v>0</v>
      </c>
      <c r="T160" s="131">
        <f t="shared" si="89"/>
        <v>18599.999999999985</v>
      </c>
      <c r="U160" s="131">
        <f t="shared" si="89"/>
        <v>0</v>
      </c>
      <c r="V160" s="131">
        <f t="shared" si="89"/>
        <v>134439</v>
      </c>
      <c r="W160" s="131"/>
      <c r="X160" s="361"/>
      <c r="Y160" s="82"/>
    </row>
    <row r="161" spans="1:34" ht="24" customHeight="1">
      <c r="A161" s="536"/>
      <c r="B161" s="82" t="s">
        <v>463</v>
      </c>
      <c r="C161" s="82"/>
      <c r="D161" s="82"/>
      <c r="E161" s="82"/>
      <c r="F161" s="82"/>
      <c r="G161" s="80" t="e">
        <f>#REF!+G165+G169</f>
        <v>#REF!</v>
      </c>
      <c r="H161" s="80" t="e">
        <f>#REF!+H165+H169</f>
        <v>#REF!</v>
      </c>
      <c r="I161" s="80" t="e">
        <f>#REF!+I165+I169</f>
        <v>#REF!</v>
      </c>
      <c r="J161" s="80" t="e">
        <f>#REF!+J165+J169</f>
        <v>#REF!</v>
      </c>
      <c r="K161" s="80" t="e">
        <f>#REF!+K165+K169</f>
        <v>#REF!</v>
      </c>
      <c r="L161" s="131">
        <f>L165+L169</f>
        <v>178.2</v>
      </c>
      <c r="M161" s="131">
        <f t="shared" ref="M161:P161" si="90">M165+M169</f>
        <v>0</v>
      </c>
      <c r="N161" s="131">
        <f t="shared" si="90"/>
        <v>0</v>
      </c>
      <c r="O161" s="131">
        <f t="shared" si="90"/>
        <v>0</v>
      </c>
      <c r="P161" s="131">
        <f t="shared" si="90"/>
        <v>178.2</v>
      </c>
      <c r="Q161" s="131">
        <f>Q165+Q169</f>
        <v>0</v>
      </c>
      <c r="R161" s="131"/>
      <c r="S161" s="131"/>
      <c r="T161" s="131"/>
      <c r="U161" s="131"/>
      <c r="V161" s="131">
        <f>V165+V169</f>
        <v>0</v>
      </c>
      <c r="W161" s="131"/>
      <c r="X161" s="361"/>
      <c r="Y161" s="82"/>
    </row>
    <row r="162" spans="1:34" ht="0.6" customHeight="1">
      <c r="A162" s="462" t="s">
        <v>351</v>
      </c>
      <c r="B162" s="167" t="s">
        <v>89</v>
      </c>
      <c r="C162" s="167">
        <v>176</v>
      </c>
      <c r="D162" s="167" t="s">
        <v>15</v>
      </c>
      <c r="E162" s="167">
        <v>6100404</v>
      </c>
      <c r="F162" s="167">
        <v>414</v>
      </c>
      <c r="G162" s="74">
        <f>SUM(H162:K162)</f>
        <v>0</v>
      </c>
      <c r="H162" s="74">
        <v>0</v>
      </c>
      <c r="I162" s="74"/>
      <c r="J162" s="74"/>
      <c r="K162" s="74"/>
      <c r="L162" s="132">
        <v>2.2999999999999998</v>
      </c>
      <c r="M162" s="132"/>
      <c r="N162" s="132"/>
      <c r="O162" s="132"/>
      <c r="P162" s="132">
        <v>2.2999999999999998</v>
      </c>
      <c r="Q162" s="132"/>
      <c r="R162" s="132"/>
      <c r="S162" s="132"/>
      <c r="T162" s="132"/>
      <c r="U162" s="132"/>
      <c r="V162" s="132"/>
      <c r="W162" s="132"/>
      <c r="X162" s="361"/>
      <c r="Y162" s="453" t="s">
        <v>352</v>
      </c>
    </row>
    <row r="163" spans="1:34" ht="24.6" hidden="1" customHeight="1">
      <c r="A163" s="462"/>
      <c r="B163" s="167" t="s">
        <v>272</v>
      </c>
      <c r="C163" s="167"/>
      <c r="D163" s="167"/>
      <c r="E163" s="167"/>
      <c r="F163" s="167"/>
      <c r="G163" s="74">
        <f>G164+G165</f>
        <v>48598.1</v>
      </c>
      <c r="H163" s="74">
        <f t="shared" ref="H163:V163" si="91">H164+H165</f>
        <v>0</v>
      </c>
      <c r="I163" s="74">
        <f t="shared" si="91"/>
        <v>4294.2</v>
      </c>
      <c r="J163" s="74">
        <f t="shared" si="91"/>
        <v>30439.7</v>
      </c>
      <c r="K163" s="74">
        <f>K164+K165</f>
        <v>13864.199999999999</v>
      </c>
      <c r="L163" s="132">
        <f t="shared" si="91"/>
        <v>12000</v>
      </c>
      <c r="M163" s="132">
        <f t="shared" si="91"/>
        <v>0</v>
      </c>
      <c r="N163" s="132">
        <f t="shared" si="91"/>
        <v>0</v>
      </c>
      <c r="O163" s="132">
        <f t="shared" si="91"/>
        <v>12000</v>
      </c>
      <c r="P163" s="132">
        <f t="shared" si="91"/>
        <v>0</v>
      </c>
      <c r="Q163" s="132">
        <f t="shared" si="91"/>
        <v>0</v>
      </c>
      <c r="R163" s="132"/>
      <c r="S163" s="132"/>
      <c r="T163" s="132"/>
      <c r="U163" s="132"/>
      <c r="V163" s="132">
        <f t="shared" si="91"/>
        <v>0</v>
      </c>
      <c r="W163" s="132"/>
      <c r="X163" s="361"/>
      <c r="Y163" s="453"/>
      <c r="AF163" s="54">
        <v>121.4</v>
      </c>
      <c r="AH163" s="58"/>
    </row>
    <row r="164" spans="1:34" ht="24.6" hidden="1" customHeight="1">
      <c r="A164" s="462"/>
      <c r="B164" s="167" t="s">
        <v>10</v>
      </c>
      <c r="C164" s="167"/>
      <c r="D164" s="167"/>
      <c r="E164" s="167"/>
      <c r="F164" s="167"/>
      <c r="G164" s="74">
        <f t="shared" ref="G164:G169" si="92">SUM(H164:K164)</f>
        <v>9000</v>
      </c>
      <c r="H164" s="74"/>
      <c r="I164" s="74"/>
      <c r="J164" s="74"/>
      <c r="K164" s="74">
        <v>9000</v>
      </c>
      <c r="L164" s="132">
        <v>12000</v>
      </c>
      <c r="M164" s="132"/>
      <c r="N164" s="132"/>
      <c r="O164" s="132">
        <v>12000</v>
      </c>
      <c r="P164" s="132"/>
      <c r="Q164" s="132"/>
      <c r="R164" s="132"/>
      <c r="S164" s="132"/>
      <c r="T164" s="132"/>
      <c r="U164" s="132"/>
      <c r="V164" s="132"/>
      <c r="W164" s="132"/>
      <c r="X164" s="361"/>
      <c r="Y164" s="453"/>
    </row>
    <row r="165" spans="1:34" ht="24.6" hidden="1" customHeight="1">
      <c r="A165" s="462"/>
      <c r="B165" s="167" t="s">
        <v>34</v>
      </c>
      <c r="C165" s="167"/>
      <c r="D165" s="167"/>
      <c r="E165" s="167"/>
      <c r="F165" s="167"/>
      <c r="G165" s="74">
        <f t="shared" si="92"/>
        <v>39598.1</v>
      </c>
      <c r="H165" s="74"/>
      <c r="I165" s="74">
        <v>4294.2</v>
      </c>
      <c r="J165" s="74">
        <v>30439.7</v>
      </c>
      <c r="K165" s="74">
        <f>19622.8-5148.7-9609.9</f>
        <v>4864.1999999999989</v>
      </c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361"/>
      <c r="Y165" s="453"/>
    </row>
    <row r="166" spans="1:34" ht="24.95" customHeight="1">
      <c r="A166" s="462" t="s">
        <v>233</v>
      </c>
      <c r="B166" s="167" t="s">
        <v>89</v>
      </c>
      <c r="C166" s="167"/>
      <c r="D166" s="167"/>
      <c r="E166" s="167"/>
      <c r="F166" s="167"/>
      <c r="G166" s="74">
        <f t="shared" si="92"/>
        <v>0.59</v>
      </c>
      <c r="H166" s="74"/>
      <c r="I166" s="74"/>
      <c r="J166" s="74"/>
      <c r="K166" s="74">
        <v>0.59</v>
      </c>
      <c r="L166" s="132">
        <v>3.55</v>
      </c>
      <c r="M166" s="132"/>
      <c r="N166" s="132"/>
      <c r="O166" s="132"/>
      <c r="P166" s="132">
        <v>3.55</v>
      </c>
      <c r="Q166" s="132">
        <f>T166</f>
        <v>0.7</v>
      </c>
      <c r="R166" s="132"/>
      <c r="S166" s="132"/>
      <c r="T166" s="132">
        <v>0.7</v>
      </c>
      <c r="U166" s="132"/>
      <c r="V166" s="132">
        <v>6</v>
      </c>
      <c r="W166" s="132"/>
      <c r="X166" s="361"/>
      <c r="Y166" s="453" t="s">
        <v>678</v>
      </c>
    </row>
    <row r="167" spans="1:34" ht="24.95" customHeight="1">
      <c r="A167" s="462"/>
      <c r="B167" s="167" t="s">
        <v>272</v>
      </c>
      <c r="C167" s="167"/>
      <c r="D167" s="167"/>
      <c r="E167" s="167"/>
      <c r="F167" s="167"/>
      <c r="G167" s="74">
        <f>G168+G169</f>
        <v>25429</v>
      </c>
      <c r="H167" s="74">
        <f t="shared" ref="H167:V167" si="93">H168+H169</f>
        <v>0</v>
      </c>
      <c r="I167" s="74">
        <f t="shared" si="93"/>
        <v>1580</v>
      </c>
      <c r="J167" s="74">
        <f t="shared" si="93"/>
        <v>11200</v>
      </c>
      <c r="K167" s="74">
        <f t="shared" si="93"/>
        <v>12649</v>
      </c>
      <c r="L167" s="132">
        <f t="shared" si="93"/>
        <v>187495</v>
      </c>
      <c r="M167" s="132">
        <f t="shared" si="93"/>
        <v>50000</v>
      </c>
      <c r="N167" s="132">
        <f t="shared" si="93"/>
        <v>10600</v>
      </c>
      <c r="O167" s="132">
        <f t="shared" si="93"/>
        <v>0</v>
      </c>
      <c r="P167" s="132">
        <f t="shared" si="93"/>
        <v>126894.99999999999</v>
      </c>
      <c r="Q167" s="132">
        <f t="shared" si="93"/>
        <v>18599.999999999985</v>
      </c>
      <c r="R167" s="132"/>
      <c r="S167" s="132"/>
      <c r="T167" s="132">
        <f>T168</f>
        <v>18599.999999999985</v>
      </c>
      <c r="U167" s="132">
        <f>U168</f>
        <v>0</v>
      </c>
      <c r="V167" s="132">
        <f t="shared" si="93"/>
        <v>134439</v>
      </c>
      <c r="W167" s="132"/>
      <c r="X167" s="361"/>
      <c r="Y167" s="453"/>
    </row>
    <row r="168" spans="1:34" ht="29.25" customHeight="1">
      <c r="A168" s="462"/>
      <c r="B168" s="167" t="s">
        <v>10</v>
      </c>
      <c r="C168" s="167"/>
      <c r="D168" s="167"/>
      <c r="E168" s="167"/>
      <c r="F168" s="167"/>
      <c r="G168" s="74">
        <f t="shared" si="92"/>
        <v>0</v>
      </c>
      <c r="H168" s="74"/>
      <c r="I168" s="74"/>
      <c r="J168" s="74"/>
      <c r="K168" s="74"/>
      <c r="L168" s="132">
        <f>SUM(M168:P168)</f>
        <v>187316.8</v>
      </c>
      <c r="M168" s="132">
        <v>50000</v>
      </c>
      <c r="N168" s="132">
        <v>10600</v>
      </c>
      <c r="O168" s="132"/>
      <c r="P168" s="132">
        <f>68795.7+57921.1</f>
        <v>126716.79999999999</v>
      </c>
      <c r="Q168" s="132">
        <f>R168+S168+T168+U168</f>
        <v>18599.999999999985</v>
      </c>
      <c r="R168" s="132"/>
      <c r="S168" s="132"/>
      <c r="T168" s="132">
        <f>100000+38607.3-120007.3</f>
        <v>18599.999999999985</v>
      </c>
      <c r="U168" s="132"/>
      <c r="V168" s="132">
        <v>134439</v>
      </c>
      <c r="W168" s="132"/>
      <c r="X168" s="361"/>
      <c r="Y168" s="453"/>
    </row>
    <row r="169" spans="1:34" ht="24.95" customHeight="1">
      <c r="A169" s="462"/>
      <c r="B169" s="167" t="s">
        <v>463</v>
      </c>
      <c r="C169" s="167"/>
      <c r="D169" s="167"/>
      <c r="E169" s="167"/>
      <c r="F169" s="167"/>
      <c r="G169" s="74">
        <f t="shared" si="92"/>
        <v>25429</v>
      </c>
      <c r="H169" s="74"/>
      <c r="I169" s="74">
        <v>1580</v>
      </c>
      <c r="J169" s="74">
        <v>11200</v>
      </c>
      <c r="K169" s="74">
        <f>7220+5429</f>
        <v>12649</v>
      </c>
      <c r="L169" s="132">
        <v>178.2</v>
      </c>
      <c r="M169" s="132"/>
      <c r="N169" s="132"/>
      <c r="O169" s="132"/>
      <c r="P169" s="132">
        <v>178.2</v>
      </c>
      <c r="Q169" s="132"/>
      <c r="R169" s="132"/>
      <c r="S169" s="132"/>
      <c r="T169" s="132"/>
      <c r="U169" s="132"/>
      <c r="V169" s="132"/>
      <c r="W169" s="132"/>
      <c r="X169" s="361"/>
      <c r="Y169" s="453"/>
    </row>
    <row r="170" spans="1:34" ht="24.95" hidden="1" customHeight="1">
      <c r="A170" s="536" t="s">
        <v>127</v>
      </c>
      <c r="B170" s="82" t="s">
        <v>89</v>
      </c>
      <c r="C170" s="167"/>
      <c r="D170" s="167"/>
      <c r="E170" s="167"/>
      <c r="F170" s="167"/>
      <c r="G170" s="80">
        <f>G174+G177</f>
        <v>0</v>
      </c>
      <c r="H170" s="80">
        <f>H174+H177</f>
        <v>0</v>
      </c>
      <c r="I170" s="80">
        <f>I174+I177</f>
        <v>0</v>
      </c>
      <c r="J170" s="80">
        <f>J174+J177</f>
        <v>0</v>
      </c>
      <c r="K170" s="80">
        <f>K174+K177</f>
        <v>0</v>
      </c>
      <c r="L170" s="131">
        <f>L174+L177+L180+L183</f>
        <v>0</v>
      </c>
      <c r="M170" s="131"/>
      <c r="N170" s="131"/>
      <c r="O170" s="131"/>
      <c r="P170" s="131"/>
      <c r="Q170" s="131">
        <f>Q174+Q177</f>
        <v>0</v>
      </c>
      <c r="R170" s="131"/>
      <c r="S170" s="131"/>
      <c r="T170" s="131"/>
      <c r="U170" s="131"/>
      <c r="V170" s="131">
        <f>V174+V177+V183+V187</f>
        <v>0</v>
      </c>
      <c r="W170" s="152">
        <f>W174+W177+W183+W187</f>
        <v>0</v>
      </c>
      <c r="X170" s="361"/>
      <c r="Y170" s="338"/>
    </row>
    <row r="171" spans="1:34" ht="28.5" hidden="1" customHeight="1">
      <c r="A171" s="536"/>
      <c r="B171" s="82" t="s">
        <v>272</v>
      </c>
      <c r="C171" s="167"/>
      <c r="D171" s="167"/>
      <c r="E171" s="167"/>
      <c r="F171" s="167"/>
      <c r="G171" s="80">
        <f>G173</f>
        <v>0</v>
      </c>
      <c r="H171" s="80">
        <f t="shared" ref="H171:V171" si="94">H173</f>
        <v>0</v>
      </c>
      <c r="I171" s="80">
        <f t="shared" si="94"/>
        <v>0</v>
      </c>
      <c r="J171" s="80">
        <f t="shared" si="94"/>
        <v>0</v>
      </c>
      <c r="K171" s="80">
        <f t="shared" si="94"/>
        <v>0</v>
      </c>
      <c r="L171" s="131">
        <f t="shared" si="94"/>
        <v>0</v>
      </c>
      <c r="M171" s="131"/>
      <c r="N171" s="131"/>
      <c r="O171" s="131"/>
      <c r="P171" s="131"/>
      <c r="Q171" s="131">
        <f t="shared" si="94"/>
        <v>0</v>
      </c>
      <c r="R171" s="131"/>
      <c r="S171" s="131"/>
      <c r="T171" s="131"/>
      <c r="U171" s="131"/>
      <c r="V171" s="131">
        <f t="shared" si="94"/>
        <v>0</v>
      </c>
      <c r="W171" s="131">
        <f>W172</f>
        <v>0</v>
      </c>
      <c r="X171" s="361"/>
      <c r="Y171" s="338"/>
    </row>
    <row r="172" spans="1:34" ht="28.5" hidden="1" customHeight="1">
      <c r="A172" s="536"/>
      <c r="B172" s="82" t="s">
        <v>10</v>
      </c>
      <c r="C172" s="167"/>
      <c r="D172" s="167"/>
      <c r="E172" s="167"/>
      <c r="F172" s="167"/>
      <c r="G172" s="80"/>
      <c r="H172" s="80"/>
      <c r="I172" s="80"/>
      <c r="J172" s="80"/>
      <c r="K172" s="80"/>
      <c r="L172" s="131"/>
      <c r="M172" s="131"/>
      <c r="N172" s="131"/>
      <c r="O172" s="131"/>
      <c r="P172" s="131"/>
      <c r="Q172" s="131">
        <v>0</v>
      </c>
      <c r="R172" s="131"/>
      <c r="S172" s="131"/>
      <c r="T172" s="131"/>
      <c r="U172" s="131"/>
      <c r="V172" s="131">
        <v>0</v>
      </c>
      <c r="W172" s="131">
        <f>W185</f>
        <v>0</v>
      </c>
      <c r="X172" s="361"/>
      <c r="Y172" s="338"/>
    </row>
    <row r="173" spans="1:34" ht="21.6" hidden="1" customHeight="1">
      <c r="A173" s="536"/>
      <c r="B173" s="82" t="s">
        <v>463</v>
      </c>
      <c r="C173" s="167"/>
      <c r="D173" s="167"/>
      <c r="E173" s="167"/>
      <c r="F173" s="167"/>
      <c r="G173" s="80">
        <f t="shared" ref="G173:L173" si="95">G176+G179</f>
        <v>0</v>
      </c>
      <c r="H173" s="80">
        <f t="shared" si="95"/>
        <v>0</v>
      </c>
      <c r="I173" s="80">
        <f t="shared" si="95"/>
        <v>0</v>
      </c>
      <c r="J173" s="80">
        <f t="shared" si="95"/>
        <v>0</v>
      </c>
      <c r="K173" s="80">
        <f t="shared" si="95"/>
        <v>0</v>
      </c>
      <c r="L173" s="131">
        <f t="shared" si="95"/>
        <v>0</v>
      </c>
      <c r="M173" s="131"/>
      <c r="N173" s="131"/>
      <c r="O173" s="131"/>
      <c r="P173" s="131"/>
      <c r="Q173" s="131">
        <f>Q176+Q179+Q182+Q186</f>
        <v>0</v>
      </c>
      <c r="R173" s="131"/>
      <c r="S173" s="131"/>
      <c r="T173" s="131"/>
      <c r="U173" s="131"/>
      <c r="V173" s="131">
        <f>V176+V179+V182+V186+V189</f>
        <v>0</v>
      </c>
      <c r="W173" s="131">
        <f t="shared" ref="W173" si="96">W176+W179+W182+W186</f>
        <v>0</v>
      </c>
      <c r="X173" s="361"/>
      <c r="Y173" s="338"/>
    </row>
    <row r="174" spans="1:34" ht="21.6" hidden="1" customHeight="1">
      <c r="A174" s="504" t="s">
        <v>353</v>
      </c>
      <c r="B174" s="167" t="s">
        <v>89</v>
      </c>
      <c r="C174" s="167"/>
      <c r="D174" s="167"/>
      <c r="E174" s="167"/>
      <c r="F174" s="167"/>
      <c r="G174" s="74"/>
      <c r="H174" s="74"/>
      <c r="I174" s="74"/>
      <c r="J174" s="74"/>
      <c r="K174" s="74"/>
      <c r="L174" s="132">
        <v>0</v>
      </c>
      <c r="M174" s="132"/>
      <c r="N174" s="132"/>
      <c r="O174" s="132"/>
      <c r="P174" s="132"/>
      <c r="Q174" s="132"/>
      <c r="R174" s="132"/>
      <c r="S174" s="132"/>
      <c r="T174" s="132"/>
      <c r="U174" s="132"/>
      <c r="V174" s="151">
        <v>0</v>
      </c>
      <c r="W174" s="151">
        <v>0</v>
      </c>
      <c r="X174" s="361"/>
      <c r="Y174" s="453" t="s">
        <v>417</v>
      </c>
    </row>
    <row r="175" spans="1:34" ht="21.6" hidden="1" customHeight="1">
      <c r="A175" s="505"/>
      <c r="B175" s="167" t="s">
        <v>272</v>
      </c>
      <c r="C175" s="167"/>
      <c r="D175" s="167"/>
      <c r="E175" s="167"/>
      <c r="F175" s="167"/>
      <c r="G175" s="74">
        <f>G176</f>
        <v>0</v>
      </c>
      <c r="H175" s="74">
        <f t="shared" ref="H175:V175" si="97">H176</f>
        <v>0</v>
      </c>
      <c r="I175" s="74">
        <f t="shared" si="97"/>
        <v>0</v>
      </c>
      <c r="J175" s="74">
        <f t="shared" si="97"/>
        <v>0</v>
      </c>
      <c r="K175" s="74">
        <f t="shared" si="97"/>
        <v>0</v>
      </c>
      <c r="L175" s="132">
        <f t="shared" si="97"/>
        <v>0</v>
      </c>
      <c r="M175" s="132"/>
      <c r="N175" s="132"/>
      <c r="O175" s="132"/>
      <c r="P175" s="132"/>
      <c r="Q175" s="132">
        <f t="shared" si="97"/>
        <v>0</v>
      </c>
      <c r="R175" s="132"/>
      <c r="S175" s="132"/>
      <c r="T175" s="132"/>
      <c r="U175" s="132"/>
      <c r="V175" s="132">
        <f t="shared" si="97"/>
        <v>0</v>
      </c>
      <c r="W175" s="132"/>
      <c r="X175" s="361"/>
      <c r="Y175" s="453"/>
    </row>
    <row r="176" spans="1:34" ht="35.450000000000003" hidden="1" customHeight="1">
      <c r="A176" s="506"/>
      <c r="B176" s="167" t="s">
        <v>34</v>
      </c>
      <c r="C176" s="167"/>
      <c r="D176" s="167"/>
      <c r="E176" s="167"/>
      <c r="F176" s="167"/>
      <c r="G176" s="74">
        <f>SUM(H176:K176)</f>
        <v>0</v>
      </c>
      <c r="H176" s="74"/>
      <c r="I176" s="74"/>
      <c r="J176" s="74"/>
      <c r="K176" s="74"/>
      <c r="L176" s="132"/>
      <c r="M176" s="132"/>
      <c r="N176" s="132"/>
      <c r="O176" s="132"/>
      <c r="P176" s="132"/>
      <c r="Q176" s="184">
        <v>0</v>
      </c>
      <c r="R176" s="242"/>
      <c r="S176" s="242"/>
      <c r="T176" s="242"/>
      <c r="U176" s="242"/>
      <c r="V176" s="132"/>
      <c r="W176" s="132"/>
      <c r="X176" s="361"/>
      <c r="Y176" s="453"/>
    </row>
    <row r="177" spans="1:71" ht="36" hidden="1" customHeight="1">
      <c r="A177" s="500" t="s">
        <v>397</v>
      </c>
      <c r="B177" s="167" t="s">
        <v>89</v>
      </c>
      <c r="C177" s="167"/>
      <c r="D177" s="167"/>
      <c r="E177" s="167"/>
      <c r="F177" s="167"/>
      <c r="G177" s="74"/>
      <c r="H177" s="74"/>
      <c r="I177" s="74"/>
      <c r="J177" s="74"/>
      <c r="K177" s="74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>
        <v>0</v>
      </c>
      <c r="W177" s="132"/>
      <c r="X177" s="361"/>
      <c r="Y177" s="453" t="s">
        <v>326</v>
      </c>
    </row>
    <row r="178" spans="1:71" ht="36" hidden="1" customHeight="1">
      <c r="A178" s="500"/>
      <c r="B178" s="167" t="s">
        <v>272</v>
      </c>
      <c r="C178" s="167"/>
      <c r="D178" s="167"/>
      <c r="E178" s="167"/>
      <c r="F178" s="167"/>
      <c r="G178" s="74">
        <f>G179</f>
        <v>0</v>
      </c>
      <c r="H178" s="74">
        <f t="shared" ref="H178:V178" si="98">H179</f>
        <v>0</v>
      </c>
      <c r="I178" s="74">
        <f t="shared" si="98"/>
        <v>0</v>
      </c>
      <c r="J178" s="74">
        <f t="shared" si="98"/>
        <v>0</v>
      </c>
      <c r="K178" s="74">
        <f t="shared" si="98"/>
        <v>0</v>
      </c>
      <c r="L178" s="132">
        <f t="shared" si="98"/>
        <v>0</v>
      </c>
      <c r="M178" s="132"/>
      <c r="N178" s="132"/>
      <c r="O178" s="132"/>
      <c r="P178" s="132"/>
      <c r="Q178" s="132">
        <f t="shared" si="98"/>
        <v>0</v>
      </c>
      <c r="R178" s="132"/>
      <c r="S178" s="132"/>
      <c r="T178" s="132"/>
      <c r="U178" s="132"/>
      <c r="V178" s="132">
        <f t="shared" si="98"/>
        <v>0</v>
      </c>
      <c r="W178" s="132"/>
      <c r="X178" s="361"/>
      <c r="Y178" s="453"/>
    </row>
    <row r="179" spans="1:71" ht="33" hidden="1" customHeight="1">
      <c r="A179" s="500"/>
      <c r="B179" s="167" t="s">
        <v>34</v>
      </c>
      <c r="C179" s="167"/>
      <c r="D179" s="167"/>
      <c r="E179" s="167"/>
      <c r="F179" s="167"/>
      <c r="G179" s="74">
        <f>SUM(H179:K179)</f>
        <v>0</v>
      </c>
      <c r="H179" s="74"/>
      <c r="I179" s="74"/>
      <c r="J179" s="74"/>
      <c r="K179" s="74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>
        <v>0</v>
      </c>
      <c r="W179" s="132"/>
      <c r="X179" s="361"/>
      <c r="Y179" s="453"/>
    </row>
    <row r="180" spans="1:71" ht="33" hidden="1" customHeight="1">
      <c r="A180" s="504" t="s">
        <v>337</v>
      </c>
      <c r="B180" s="167" t="s">
        <v>89</v>
      </c>
      <c r="C180" s="167"/>
      <c r="D180" s="167"/>
      <c r="E180" s="167"/>
      <c r="F180" s="167"/>
      <c r="G180" s="74"/>
      <c r="H180" s="74"/>
      <c r="I180" s="74"/>
      <c r="J180" s="74"/>
      <c r="K180" s="74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361"/>
      <c r="Y180" s="453" t="s">
        <v>355</v>
      </c>
    </row>
    <row r="181" spans="1:71" ht="33" hidden="1" customHeight="1">
      <c r="A181" s="505"/>
      <c r="B181" s="167" t="s">
        <v>272</v>
      </c>
      <c r="C181" s="167"/>
      <c r="D181" s="167"/>
      <c r="E181" s="167"/>
      <c r="F181" s="167"/>
      <c r="G181" s="74"/>
      <c r="H181" s="74"/>
      <c r="I181" s="74"/>
      <c r="J181" s="74"/>
      <c r="K181" s="74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>
        <f>V182</f>
        <v>0</v>
      </c>
      <c r="W181" s="132"/>
      <c r="X181" s="361"/>
      <c r="Y181" s="453"/>
    </row>
    <row r="182" spans="1:71" ht="24.6" hidden="1" customHeight="1">
      <c r="A182" s="506"/>
      <c r="B182" s="167" t="s">
        <v>34</v>
      </c>
      <c r="C182" s="167"/>
      <c r="D182" s="167"/>
      <c r="E182" s="167"/>
      <c r="F182" s="167"/>
      <c r="G182" s="74"/>
      <c r="H182" s="74"/>
      <c r="I182" s="74"/>
      <c r="J182" s="74"/>
      <c r="K182" s="74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>
        <v>0</v>
      </c>
      <c r="W182" s="132"/>
      <c r="X182" s="361"/>
      <c r="Y182" s="453"/>
    </row>
    <row r="183" spans="1:71" s="139" customFormat="1" ht="0.6" hidden="1" customHeight="1">
      <c r="A183" s="504" t="s">
        <v>354</v>
      </c>
      <c r="B183" s="136" t="s">
        <v>89</v>
      </c>
      <c r="C183" s="136"/>
      <c r="D183" s="136"/>
      <c r="E183" s="136"/>
      <c r="F183" s="136"/>
      <c r="G183" s="137"/>
      <c r="H183" s="137"/>
      <c r="I183" s="137"/>
      <c r="J183" s="137"/>
      <c r="K183" s="137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>
        <v>0</v>
      </c>
      <c r="W183" s="162"/>
      <c r="X183" s="361"/>
      <c r="Y183" s="453" t="s">
        <v>431</v>
      </c>
      <c r="AT183" s="342"/>
      <c r="AU183" s="342"/>
      <c r="AV183" s="342"/>
      <c r="AW183" s="342"/>
      <c r="AX183" s="342"/>
      <c r="AY183" s="342"/>
      <c r="AZ183" s="342"/>
      <c r="BA183" s="342"/>
      <c r="BB183" s="342"/>
      <c r="BC183" s="342"/>
      <c r="BD183" s="342"/>
      <c r="BE183" s="342"/>
      <c r="BF183" s="342"/>
      <c r="BG183" s="342"/>
      <c r="BH183" s="342"/>
      <c r="BI183" s="342"/>
      <c r="BJ183" s="342"/>
      <c r="BK183" s="342"/>
      <c r="BL183" s="342"/>
      <c r="BM183" s="342"/>
      <c r="BN183" s="342"/>
      <c r="BO183" s="342"/>
      <c r="BP183" s="342"/>
      <c r="BQ183" s="342"/>
      <c r="BR183" s="342"/>
      <c r="BS183" s="342"/>
    </row>
    <row r="184" spans="1:71" s="139" customFormat="1" ht="24.6" hidden="1" customHeight="1">
      <c r="A184" s="505"/>
      <c r="B184" s="167" t="s">
        <v>272</v>
      </c>
      <c r="C184" s="136"/>
      <c r="D184" s="136"/>
      <c r="E184" s="136"/>
      <c r="F184" s="136"/>
      <c r="G184" s="137"/>
      <c r="H184" s="137"/>
      <c r="I184" s="137"/>
      <c r="J184" s="137"/>
      <c r="K184" s="137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>
        <f>V186</f>
        <v>0</v>
      </c>
      <c r="W184" s="138">
        <f>W185</f>
        <v>0</v>
      </c>
      <c r="X184" s="361"/>
      <c r="Y184" s="453"/>
      <c r="AT184" s="342"/>
      <c r="AU184" s="342"/>
      <c r="AV184" s="342"/>
      <c r="AW184" s="342"/>
      <c r="AX184" s="342"/>
      <c r="AY184" s="342"/>
      <c r="AZ184" s="342"/>
      <c r="BA184" s="342"/>
      <c r="BB184" s="342"/>
      <c r="BC184" s="342"/>
      <c r="BD184" s="342"/>
      <c r="BE184" s="342"/>
      <c r="BF184" s="342"/>
      <c r="BG184" s="342"/>
      <c r="BH184" s="342"/>
      <c r="BI184" s="342"/>
      <c r="BJ184" s="342"/>
      <c r="BK184" s="342"/>
      <c r="BL184" s="342"/>
      <c r="BM184" s="342"/>
      <c r="BN184" s="342"/>
      <c r="BO184" s="342"/>
      <c r="BP184" s="342"/>
      <c r="BQ184" s="342"/>
      <c r="BR184" s="342"/>
      <c r="BS184" s="342"/>
    </row>
    <row r="185" spans="1:71" s="139" customFormat="1" ht="24.6" hidden="1" customHeight="1">
      <c r="A185" s="505"/>
      <c r="B185" s="169" t="s">
        <v>10</v>
      </c>
      <c r="C185" s="144"/>
      <c r="D185" s="144"/>
      <c r="E185" s="144"/>
      <c r="F185" s="144"/>
      <c r="G185" s="145"/>
      <c r="H185" s="145"/>
      <c r="I185" s="145"/>
      <c r="J185" s="145"/>
      <c r="K185" s="145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38"/>
      <c r="W185" s="146"/>
      <c r="X185" s="361"/>
      <c r="Y185" s="453"/>
      <c r="AT185" s="342"/>
      <c r="AU185" s="342"/>
      <c r="AV185" s="342"/>
      <c r="AW185" s="342"/>
      <c r="AX185" s="342"/>
      <c r="AY185" s="342"/>
      <c r="AZ185" s="342"/>
      <c r="BA185" s="342"/>
      <c r="BB185" s="342"/>
      <c r="BC185" s="342"/>
      <c r="BD185" s="342"/>
      <c r="BE185" s="342"/>
      <c r="BF185" s="342"/>
      <c r="BG185" s="342"/>
      <c r="BH185" s="342"/>
      <c r="BI185" s="342"/>
      <c r="BJ185" s="342"/>
      <c r="BK185" s="342"/>
      <c r="BL185" s="342"/>
      <c r="BM185" s="342"/>
      <c r="BN185" s="342"/>
      <c r="BO185" s="342"/>
      <c r="BP185" s="342"/>
      <c r="BQ185" s="342"/>
      <c r="BR185" s="342"/>
      <c r="BS185" s="342"/>
    </row>
    <row r="186" spans="1:71" s="157" customFormat="1" ht="24.6" hidden="1" customHeight="1">
      <c r="A186" s="505"/>
      <c r="B186" s="158" t="s">
        <v>34</v>
      </c>
      <c r="C186" s="154"/>
      <c r="D186" s="154"/>
      <c r="E186" s="154"/>
      <c r="F186" s="154"/>
      <c r="G186" s="155"/>
      <c r="H186" s="155"/>
      <c r="I186" s="155"/>
      <c r="J186" s="155"/>
      <c r="K186" s="155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85">
        <v>0</v>
      </c>
      <c r="W186" s="156"/>
      <c r="X186" s="361"/>
      <c r="Y186" s="453"/>
      <c r="AT186" s="343"/>
      <c r="AU186" s="343"/>
      <c r="AV186" s="343"/>
      <c r="AW186" s="343"/>
      <c r="AX186" s="343"/>
      <c r="AY186" s="343"/>
      <c r="AZ186" s="343"/>
      <c r="BA186" s="343"/>
      <c r="BB186" s="343"/>
      <c r="BC186" s="343"/>
      <c r="BD186" s="343"/>
      <c r="BE186" s="343"/>
      <c r="BF186" s="343"/>
      <c r="BG186" s="343"/>
      <c r="BH186" s="343"/>
      <c r="BI186" s="343"/>
      <c r="BJ186" s="343"/>
      <c r="BK186" s="343"/>
      <c r="BL186" s="343"/>
      <c r="BM186" s="343"/>
      <c r="BN186" s="343"/>
      <c r="BO186" s="343"/>
      <c r="BP186" s="343"/>
      <c r="BQ186" s="343"/>
      <c r="BR186" s="343"/>
      <c r="BS186" s="343"/>
    </row>
    <row r="187" spans="1:71" s="139" customFormat="1" ht="16.899999999999999" hidden="1" customHeight="1">
      <c r="A187" s="504" t="s">
        <v>356</v>
      </c>
      <c r="B187" s="144" t="s">
        <v>89</v>
      </c>
      <c r="C187" s="144"/>
      <c r="D187" s="144"/>
      <c r="E187" s="144"/>
      <c r="F187" s="144"/>
      <c r="G187" s="145"/>
      <c r="H187" s="145"/>
      <c r="I187" s="145"/>
      <c r="J187" s="145"/>
      <c r="K187" s="145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38"/>
      <c r="W187" s="146"/>
      <c r="X187" s="361"/>
      <c r="Y187" s="453" t="s">
        <v>342</v>
      </c>
      <c r="AT187" s="342"/>
      <c r="AU187" s="342"/>
      <c r="AV187" s="342"/>
      <c r="AW187" s="342"/>
      <c r="AX187" s="342"/>
      <c r="AY187" s="342"/>
      <c r="AZ187" s="342"/>
      <c r="BA187" s="342"/>
      <c r="BB187" s="342"/>
      <c r="BC187" s="342"/>
      <c r="BD187" s="342"/>
      <c r="BE187" s="342"/>
      <c r="BF187" s="342"/>
      <c r="BG187" s="342"/>
      <c r="BH187" s="342"/>
      <c r="BI187" s="342"/>
      <c r="BJ187" s="342"/>
      <c r="BK187" s="342"/>
      <c r="BL187" s="342"/>
      <c r="BM187" s="342"/>
      <c r="BN187" s="342"/>
      <c r="BO187" s="342"/>
      <c r="BP187" s="342"/>
      <c r="BQ187" s="342"/>
      <c r="BR187" s="342"/>
      <c r="BS187" s="342"/>
    </row>
    <row r="188" spans="1:71" s="139" customFormat="1" ht="24.6" hidden="1" customHeight="1">
      <c r="A188" s="505"/>
      <c r="B188" s="169" t="s">
        <v>272</v>
      </c>
      <c r="C188" s="144"/>
      <c r="D188" s="144"/>
      <c r="E188" s="144"/>
      <c r="F188" s="144"/>
      <c r="G188" s="145"/>
      <c r="H188" s="145"/>
      <c r="I188" s="145"/>
      <c r="J188" s="145"/>
      <c r="K188" s="145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38">
        <f>V189</f>
        <v>0</v>
      </c>
      <c r="W188" s="146"/>
      <c r="X188" s="361"/>
      <c r="Y188" s="453"/>
      <c r="AT188" s="342"/>
      <c r="AU188" s="342"/>
      <c r="AV188" s="342"/>
      <c r="AW188" s="342"/>
      <c r="AX188" s="342"/>
      <c r="AY188" s="342"/>
      <c r="AZ188" s="342"/>
      <c r="BA188" s="342"/>
      <c r="BB188" s="342"/>
      <c r="BC188" s="342"/>
      <c r="BD188" s="342"/>
      <c r="BE188" s="342"/>
      <c r="BF188" s="342"/>
      <c r="BG188" s="342"/>
      <c r="BH188" s="342"/>
      <c r="BI188" s="342"/>
      <c r="BJ188" s="342"/>
      <c r="BK188" s="342"/>
      <c r="BL188" s="342"/>
      <c r="BM188" s="342"/>
      <c r="BN188" s="342"/>
      <c r="BO188" s="342"/>
      <c r="BP188" s="342"/>
      <c r="BQ188" s="342"/>
      <c r="BR188" s="342"/>
      <c r="BS188" s="342"/>
    </row>
    <row r="189" spans="1:71" s="139" customFormat="1" ht="22.9" hidden="1" customHeight="1">
      <c r="A189" s="506"/>
      <c r="B189" s="136" t="s">
        <v>463</v>
      </c>
      <c r="C189" s="136"/>
      <c r="D189" s="136"/>
      <c r="E189" s="136"/>
      <c r="F189" s="136"/>
      <c r="G189" s="137"/>
      <c r="H189" s="137"/>
      <c r="I189" s="137"/>
      <c r="J189" s="137"/>
      <c r="K189" s="137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>
        <v>0</v>
      </c>
      <c r="W189" s="138"/>
      <c r="X189" s="361"/>
      <c r="Y189" s="453"/>
      <c r="AT189" s="342"/>
      <c r="AU189" s="342"/>
      <c r="AV189" s="342"/>
      <c r="AW189" s="342"/>
      <c r="AX189" s="342"/>
      <c r="AY189" s="342"/>
      <c r="AZ189" s="342"/>
      <c r="BA189" s="342"/>
      <c r="BB189" s="342"/>
      <c r="BC189" s="342"/>
      <c r="BD189" s="342"/>
      <c r="BE189" s="342"/>
      <c r="BF189" s="342"/>
      <c r="BG189" s="342"/>
      <c r="BH189" s="342"/>
      <c r="BI189" s="342"/>
      <c r="BJ189" s="342"/>
      <c r="BK189" s="342"/>
      <c r="BL189" s="342"/>
      <c r="BM189" s="342"/>
      <c r="BN189" s="342"/>
      <c r="BO189" s="342"/>
      <c r="BP189" s="342"/>
      <c r="BQ189" s="342"/>
      <c r="BR189" s="342"/>
      <c r="BS189" s="342"/>
    </row>
    <row r="190" spans="1:71" ht="24.95" hidden="1" customHeight="1">
      <c r="A190" s="536" t="s">
        <v>129</v>
      </c>
      <c r="B190" s="128" t="s">
        <v>89</v>
      </c>
      <c r="C190" s="170"/>
      <c r="D190" s="170"/>
      <c r="E190" s="170"/>
      <c r="F190" s="170"/>
      <c r="G190" s="142">
        <f>G197</f>
        <v>0</v>
      </c>
      <c r="H190" s="142">
        <f t="shared" ref="H190:K190" si="99">H197</f>
        <v>0</v>
      </c>
      <c r="I190" s="142">
        <f t="shared" si="99"/>
        <v>0</v>
      </c>
      <c r="J190" s="142">
        <f t="shared" si="99"/>
        <v>0</v>
      </c>
      <c r="K190" s="142">
        <f t="shared" si="99"/>
        <v>0</v>
      </c>
      <c r="L190" s="143">
        <f>L197</f>
        <v>0</v>
      </c>
      <c r="M190" s="143"/>
      <c r="N190" s="143"/>
      <c r="O190" s="143"/>
      <c r="P190" s="143"/>
      <c r="Q190" s="143">
        <f>Q194+Q197</f>
        <v>0</v>
      </c>
      <c r="R190" s="143">
        <f t="shared" ref="R190:U190" si="100">R194+R197</f>
        <v>0</v>
      </c>
      <c r="S190" s="143">
        <f t="shared" si="100"/>
        <v>0</v>
      </c>
      <c r="T190" s="143">
        <f t="shared" si="100"/>
        <v>0</v>
      </c>
      <c r="U190" s="143">
        <f t="shared" si="100"/>
        <v>0</v>
      </c>
      <c r="V190" s="143">
        <f t="shared" ref="V190:W190" si="101">V194+V197</f>
        <v>0</v>
      </c>
      <c r="W190" s="143">
        <f t="shared" si="101"/>
        <v>0</v>
      </c>
      <c r="X190" s="361"/>
      <c r="Y190" s="338"/>
    </row>
    <row r="191" spans="1:71" ht="31.5" hidden="1" customHeight="1">
      <c r="A191" s="536"/>
      <c r="B191" s="82" t="s">
        <v>272</v>
      </c>
      <c r="C191" s="167"/>
      <c r="D191" s="167"/>
      <c r="E191" s="167"/>
      <c r="F191" s="167"/>
      <c r="G191" s="80">
        <f>G193</f>
        <v>0</v>
      </c>
      <c r="H191" s="80">
        <f t="shared" ref="H191:L191" si="102">H193</f>
        <v>0</v>
      </c>
      <c r="I191" s="80">
        <f t="shared" si="102"/>
        <v>0</v>
      </c>
      <c r="J191" s="80">
        <f t="shared" si="102"/>
        <v>0</v>
      </c>
      <c r="K191" s="80">
        <f t="shared" si="102"/>
        <v>0</v>
      </c>
      <c r="L191" s="131">
        <f t="shared" si="102"/>
        <v>0</v>
      </c>
      <c r="M191" s="131"/>
      <c r="N191" s="131"/>
      <c r="O191" s="131"/>
      <c r="P191" s="131"/>
      <c r="Q191" s="131">
        <f>Q195+Q198</f>
        <v>0</v>
      </c>
      <c r="R191" s="131">
        <f t="shared" ref="R191:U191" si="103">R195+R198</f>
        <v>0</v>
      </c>
      <c r="S191" s="131">
        <f t="shared" si="103"/>
        <v>0</v>
      </c>
      <c r="T191" s="131">
        <f t="shared" si="103"/>
        <v>0</v>
      </c>
      <c r="U191" s="131">
        <f t="shared" si="103"/>
        <v>0</v>
      </c>
      <c r="V191" s="131">
        <f t="shared" ref="V191:W191" si="104">V195+V198</f>
        <v>0</v>
      </c>
      <c r="W191" s="131">
        <f t="shared" si="104"/>
        <v>0</v>
      </c>
      <c r="X191" s="361"/>
      <c r="Y191" s="338"/>
    </row>
    <row r="192" spans="1:71" ht="31.5" hidden="1" customHeight="1">
      <c r="A192" s="536"/>
      <c r="B192" s="82" t="s">
        <v>10</v>
      </c>
      <c r="C192" s="167"/>
      <c r="D192" s="167"/>
      <c r="E192" s="167"/>
      <c r="F192" s="167"/>
      <c r="G192" s="80"/>
      <c r="H192" s="80"/>
      <c r="I192" s="80"/>
      <c r="J192" s="80"/>
      <c r="K192" s="80"/>
      <c r="L192" s="131"/>
      <c r="M192" s="131"/>
      <c r="N192" s="131"/>
      <c r="O192" s="131"/>
      <c r="P192" s="131"/>
      <c r="Q192" s="131">
        <f>Q199</f>
        <v>0</v>
      </c>
      <c r="R192" s="131">
        <f t="shared" ref="R192:U192" si="105">R199</f>
        <v>0</v>
      </c>
      <c r="S192" s="131">
        <f t="shared" si="105"/>
        <v>0</v>
      </c>
      <c r="T192" s="131">
        <f t="shared" si="105"/>
        <v>0</v>
      </c>
      <c r="U192" s="131">
        <f t="shared" si="105"/>
        <v>0</v>
      </c>
      <c r="V192" s="131">
        <f t="shared" ref="V192:W192" si="106">V199</f>
        <v>0</v>
      </c>
      <c r="W192" s="131">
        <f t="shared" si="106"/>
        <v>0</v>
      </c>
      <c r="X192" s="361"/>
      <c r="Y192" s="338"/>
    </row>
    <row r="193" spans="1:32" ht="24" hidden="1" customHeight="1">
      <c r="A193" s="536"/>
      <c r="B193" s="82" t="s">
        <v>463</v>
      </c>
      <c r="C193" s="167"/>
      <c r="D193" s="167"/>
      <c r="E193" s="167"/>
      <c r="F193" s="167"/>
      <c r="G193" s="80">
        <f>G200</f>
        <v>0</v>
      </c>
      <c r="H193" s="80">
        <f t="shared" ref="H193:L193" si="107">H200</f>
        <v>0</v>
      </c>
      <c r="I193" s="80">
        <f t="shared" si="107"/>
        <v>0</v>
      </c>
      <c r="J193" s="80">
        <f t="shared" si="107"/>
        <v>0</v>
      </c>
      <c r="K193" s="80">
        <f t="shared" si="107"/>
        <v>0</v>
      </c>
      <c r="L193" s="131">
        <f t="shared" si="107"/>
        <v>0</v>
      </c>
      <c r="M193" s="131"/>
      <c r="N193" s="131"/>
      <c r="O193" s="131"/>
      <c r="P193" s="131"/>
      <c r="Q193" s="131">
        <f>Q196+Q200</f>
        <v>0</v>
      </c>
      <c r="R193" s="131"/>
      <c r="S193" s="131"/>
      <c r="T193" s="131"/>
      <c r="U193" s="131"/>
      <c r="V193" s="131">
        <f t="shared" ref="V193:W193" si="108">V196+V200</f>
        <v>0</v>
      </c>
      <c r="W193" s="131">
        <f t="shared" si="108"/>
        <v>0</v>
      </c>
      <c r="X193" s="361"/>
      <c r="Y193" s="338"/>
    </row>
    <row r="194" spans="1:32" ht="24.6" hidden="1" customHeight="1">
      <c r="A194" s="537" t="s">
        <v>357</v>
      </c>
      <c r="B194" s="167" t="s">
        <v>89</v>
      </c>
      <c r="C194" s="167"/>
      <c r="D194" s="167"/>
      <c r="E194" s="167"/>
      <c r="F194" s="167"/>
      <c r="G194" s="74"/>
      <c r="H194" s="74"/>
      <c r="I194" s="74"/>
      <c r="J194" s="74"/>
      <c r="K194" s="74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51"/>
      <c r="X194" s="361"/>
      <c r="Y194" s="453" t="s">
        <v>236</v>
      </c>
    </row>
    <row r="195" spans="1:32" ht="24.6" hidden="1" customHeight="1">
      <c r="A195" s="538"/>
      <c r="B195" s="167" t="s">
        <v>272</v>
      </c>
      <c r="C195" s="167"/>
      <c r="D195" s="167"/>
      <c r="E195" s="167"/>
      <c r="F195" s="167"/>
      <c r="G195" s="74"/>
      <c r="H195" s="74"/>
      <c r="I195" s="74"/>
      <c r="J195" s="74"/>
      <c r="K195" s="74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>
        <f>W196</f>
        <v>0</v>
      </c>
      <c r="X195" s="361"/>
      <c r="Y195" s="453"/>
    </row>
    <row r="196" spans="1:32" ht="24.6" hidden="1" customHeight="1">
      <c r="A196" s="539"/>
      <c r="B196" s="167" t="s">
        <v>34</v>
      </c>
      <c r="C196" s="167"/>
      <c r="D196" s="167"/>
      <c r="E196" s="167"/>
      <c r="F196" s="167"/>
      <c r="G196" s="74"/>
      <c r="H196" s="74"/>
      <c r="I196" s="74"/>
      <c r="J196" s="74"/>
      <c r="K196" s="74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361"/>
      <c r="Y196" s="453"/>
    </row>
    <row r="197" spans="1:32" ht="24.95" hidden="1" customHeight="1">
      <c r="A197" s="462" t="s">
        <v>248</v>
      </c>
      <c r="B197" s="167" t="s">
        <v>89</v>
      </c>
      <c r="C197" s="167"/>
      <c r="D197" s="167"/>
      <c r="E197" s="167"/>
      <c r="F197" s="167"/>
      <c r="G197" s="74"/>
      <c r="H197" s="74"/>
      <c r="I197" s="74"/>
      <c r="J197" s="74"/>
      <c r="K197" s="74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361"/>
      <c r="Y197" s="453" t="s">
        <v>249</v>
      </c>
    </row>
    <row r="198" spans="1:32" ht="28.5" hidden="1" customHeight="1">
      <c r="A198" s="462"/>
      <c r="B198" s="167" t="s">
        <v>272</v>
      </c>
      <c r="C198" s="167"/>
      <c r="D198" s="167"/>
      <c r="E198" s="167"/>
      <c r="F198" s="167"/>
      <c r="G198" s="74">
        <f>G200</f>
        <v>0</v>
      </c>
      <c r="H198" s="74">
        <f t="shared" ref="H198:V198" si="109">H200</f>
        <v>0</v>
      </c>
      <c r="I198" s="74">
        <f t="shared" si="109"/>
        <v>0</v>
      </c>
      <c r="J198" s="74">
        <f t="shared" si="109"/>
        <v>0</v>
      </c>
      <c r="K198" s="74">
        <f t="shared" si="109"/>
        <v>0</v>
      </c>
      <c r="L198" s="132">
        <f t="shared" si="109"/>
        <v>0</v>
      </c>
      <c r="M198" s="132"/>
      <c r="N198" s="132"/>
      <c r="O198" s="132"/>
      <c r="P198" s="132"/>
      <c r="Q198" s="132">
        <f>Q199+Q200</f>
        <v>0</v>
      </c>
      <c r="R198" s="132"/>
      <c r="S198" s="132"/>
      <c r="T198" s="132"/>
      <c r="U198" s="132">
        <f>U199</f>
        <v>0</v>
      </c>
      <c r="V198" s="132">
        <f t="shared" si="109"/>
        <v>0</v>
      </c>
      <c r="W198" s="132">
        <v>0</v>
      </c>
      <c r="X198" s="361"/>
      <c r="Y198" s="453"/>
    </row>
    <row r="199" spans="1:32" ht="28.5" hidden="1" customHeight="1">
      <c r="A199" s="462"/>
      <c r="B199" s="167" t="s">
        <v>10</v>
      </c>
      <c r="C199" s="167"/>
      <c r="D199" s="167"/>
      <c r="E199" s="167"/>
      <c r="F199" s="167"/>
      <c r="G199" s="74"/>
      <c r="H199" s="74"/>
      <c r="I199" s="74"/>
      <c r="J199" s="74"/>
      <c r="K199" s="74"/>
      <c r="L199" s="132"/>
      <c r="M199" s="132"/>
      <c r="N199" s="132"/>
      <c r="O199" s="132"/>
      <c r="P199" s="132"/>
      <c r="Q199" s="132">
        <f>S199+T199+U199</f>
        <v>0</v>
      </c>
      <c r="R199" s="132"/>
      <c r="S199" s="132"/>
      <c r="T199" s="132"/>
      <c r="U199" s="132"/>
      <c r="V199" s="132">
        <v>0</v>
      </c>
      <c r="W199" s="132">
        <v>0</v>
      </c>
      <c r="X199" s="361"/>
      <c r="Y199" s="453"/>
    </row>
    <row r="200" spans="1:32" ht="24.95" hidden="1" customHeight="1">
      <c r="A200" s="462"/>
      <c r="B200" s="167" t="s">
        <v>463</v>
      </c>
      <c r="C200" s="167"/>
      <c r="D200" s="167"/>
      <c r="E200" s="167"/>
      <c r="F200" s="167"/>
      <c r="G200" s="74">
        <f>SUM(H200:K200)</f>
        <v>0</v>
      </c>
      <c r="H200" s="74"/>
      <c r="I200" s="74"/>
      <c r="J200" s="74"/>
      <c r="K200" s="74"/>
      <c r="L200" s="132"/>
      <c r="M200" s="132"/>
      <c r="N200" s="132"/>
      <c r="O200" s="132"/>
      <c r="P200" s="132"/>
      <c r="Q200" s="132">
        <v>0</v>
      </c>
      <c r="R200" s="132"/>
      <c r="S200" s="132"/>
      <c r="T200" s="132"/>
      <c r="U200" s="132"/>
      <c r="V200" s="132">
        <v>0</v>
      </c>
      <c r="W200" s="132">
        <v>0</v>
      </c>
      <c r="X200" s="361"/>
      <c r="Y200" s="453"/>
    </row>
    <row r="201" spans="1:32" ht="24.95" hidden="1" customHeight="1">
      <c r="A201" s="535" t="s">
        <v>131</v>
      </c>
      <c r="B201" s="82" t="s">
        <v>89</v>
      </c>
      <c r="C201" s="167"/>
      <c r="D201" s="167"/>
      <c r="E201" s="167"/>
      <c r="F201" s="167"/>
      <c r="G201" s="80">
        <f t="shared" ref="G201:V201" si="110">G205+G209+G213+G216</f>
        <v>0</v>
      </c>
      <c r="H201" s="80">
        <f t="shared" si="110"/>
        <v>0</v>
      </c>
      <c r="I201" s="80">
        <f t="shared" si="110"/>
        <v>0</v>
      </c>
      <c r="J201" s="80">
        <f t="shared" si="110"/>
        <v>0</v>
      </c>
      <c r="K201" s="80">
        <f t="shared" si="110"/>
        <v>1.24</v>
      </c>
      <c r="L201" s="131">
        <f>L205+L209+L213+L216</f>
        <v>16.11</v>
      </c>
      <c r="M201" s="131">
        <f t="shared" si="110"/>
        <v>0</v>
      </c>
      <c r="N201" s="131">
        <f t="shared" si="110"/>
        <v>0</v>
      </c>
      <c r="O201" s="131">
        <f t="shared" si="110"/>
        <v>0</v>
      </c>
      <c r="P201" s="131">
        <f t="shared" si="110"/>
        <v>16.100000000000001</v>
      </c>
      <c r="Q201" s="131">
        <f t="shared" si="110"/>
        <v>0</v>
      </c>
      <c r="R201" s="131">
        <f t="shared" si="110"/>
        <v>0</v>
      </c>
      <c r="S201" s="131">
        <f t="shared" si="110"/>
        <v>0</v>
      </c>
      <c r="T201" s="131">
        <f t="shared" si="110"/>
        <v>0</v>
      </c>
      <c r="U201" s="131"/>
      <c r="V201" s="131">
        <f t="shared" si="110"/>
        <v>0</v>
      </c>
      <c r="W201" s="131"/>
      <c r="X201" s="361"/>
      <c r="Y201" s="338"/>
    </row>
    <row r="202" spans="1:32" ht="24.95" hidden="1" customHeight="1">
      <c r="A202" s="535"/>
      <c r="B202" s="82" t="s">
        <v>272</v>
      </c>
      <c r="C202" s="167"/>
      <c r="D202" s="167"/>
      <c r="E202" s="167"/>
      <c r="F202" s="167"/>
      <c r="G202" s="80">
        <f t="shared" ref="G202:V202" si="111">G203+G204</f>
        <v>28933</v>
      </c>
      <c r="H202" s="80">
        <f t="shared" si="111"/>
        <v>0</v>
      </c>
      <c r="I202" s="80">
        <f t="shared" si="111"/>
        <v>0</v>
      </c>
      <c r="J202" s="80">
        <f t="shared" si="111"/>
        <v>0</v>
      </c>
      <c r="K202" s="80">
        <f t="shared" si="111"/>
        <v>28933</v>
      </c>
      <c r="L202" s="131">
        <f t="shared" si="111"/>
        <v>332506.5</v>
      </c>
      <c r="M202" s="131">
        <f t="shared" si="111"/>
        <v>25950</v>
      </c>
      <c r="N202" s="131">
        <f t="shared" si="111"/>
        <v>49450.1</v>
      </c>
      <c r="O202" s="131">
        <f t="shared" si="111"/>
        <v>63774.399999999994</v>
      </c>
      <c r="P202" s="131">
        <f t="shared" si="111"/>
        <v>193332</v>
      </c>
      <c r="Q202" s="131">
        <f>Q203+Q204</f>
        <v>0</v>
      </c>
      <c r="R202" s="131">
        <f t="shared" ref="R202:T202" si="112">R203+R204</f>
        <v>0</v>
      </c>
      <c r="S202" s="131">
        <f t="shared" si="112"/>
        <v>0</v>
      </c>
      <c r="T202" s="131">
        <f t="shared" si="112"/>
        <v>0</v>
      </c>
      <c r="U202" s="131"/>
      <c r="V202" s="131">
        <f t="shared" si="111"/>
        <v>0</v>
      </c>
      <c r="W202" s="131"/>
      <c r="X202" s="361"/>
      <c r="Y202" s="338"/>
    </row>
    <row r="203" spans="1:32" ht="27.6" hidden="1" customHeight="1">
      <c r="A203" s="535"/>
      <c r="B203" s="82" t="s">
        <v>10</v>
      </c>
      <c r="C203" s="167"/>
      <c r="D203" s="167"/>
      <c r="E203" s="167"/>
      <c r="F203" s="167"/>
      <c r="G203" s="80">
        <f>G207+G211</f>
        <v>0</v>
      </c>
      <c r="H203" s="80">
        <f t="shared" ref="H203:V203" si="113">H207+H211</f>
        <v>0</v>
      </c>
      <c r="I203" s="80">
        <f t="shared" si="113"/>
        <v>0</v>
      </c>
      <c r="J203" s="80">
        <f t="shared" si="113"/>
        <v>0</v>
      </c>
      <c r="K203" s="80">
        <f t="shared" si="113"/>
        <v>0</v>
      </c>
      <c r="L203" s="131">
        <f>L207+L211</f>
        <v>154006.79999999999</v>
      </c>
      <c r="M203" s="131">
        <f t="shared" ref="M203:P203" si="114">M207+M211</f>
        <v>25950</v>
      </c>
      <c r="N203" s="131">
        <f t="shared" si="114"/>
        <v>49450.1</v>
      </c>
      <c r="O203" s="131">
        <f t="shared" si="114"/>
        <v>13434.8</v>
      </c>
      <c r="P203" s="131">
        <f t="shared" si="114"/>
        <v>65171.899999999994</v>
      </c>
      <c r="Q203" s="131">
        <f>Q207+Q211</f>
        <v>0</v>
      </c>
      <c r="R203" s="131">
        <f t="shared" ref="R203:T203" si="115">R207+R211</f>
        <v>0</v>
      </c>
      <c r="S203" s="131">
        <f t="shared" si="115"/>
        <v>0</v>
      </c>
      <c r="T203" s="131">
        <f t="shared" si="115"/>
        <v>0</v>
      </c>
      <c r="U203" s="131"/>
      <c r="V203" s="131">
        <f t="shared" si="113"/>
        <v>0</v>
      </c>
      <c r="W203" s="131"/>
      <c r="X203" s="361"/>
      <c r="Y203" s="338"/>
    </row>
    <row r="204" spans="1:32" ht="24" hidden="1" customHeight="1">
      <c r="A204" s="535"/>
      <c r="B204" s="82" t="s">
        <v>463</v>
      </c>
      <c r="C204" s="167"/>
      <c r="D204" s="167"/>
      <c r="E204" s="167"/>
      <c r="F204" s="167"/>
      <c r="G204" s="80">
        <f>G208+G215+G218+G212</f>
        <v>28933</v>
      </c>
      <c r="H204" s="80">
        <f t="shared" ref="H204:V204" si="116">H208+H215+H218</f>
        <v>0</v>
      </c>
      <c r="I204" s="80">
        <f t="shared" si="116"/>
        <v>0</v>
      </c>
      <c r="J204" s="80">
        <f t="shared" si="116"/>
        <v>0</v>
      </c>
      <c r="K204" s="80">
        <f>K208+K215+K218+K212</f>
        <v>28933</v>
      </c>
      <c r="L204" s="131">
        <f t="shared" si="116"/>
        <v>178499.7</v>
      </c>
      <c r="M204" s="131">
        <f t="shared" si="116"/>
        <v>0</v>
      </c>
      <c r="N204" s="131">
        <f t="shared" si="116"/>
        <v>0</v>
      </c>
      <c r="O204" s="131">
        <f t="shared" si="116"/>
        <v>50339.6</v>
      </c>
      <c r="P204" s="131">
        <f t="shared" si="116"/>
        <v>128160.1</v>
      </c>
      <c r="Q204" s="131">
        <f t="shared" si="116"/>
        <v>0</v>
      </c>
      <c r="R204" s="131"/>
      <c r="S204" s="131"/>
      <c r="T204" s="131"/>
      <c r="U204" s="131"/>
      <c r="V204" s="131">
        <f t="shared" si="116"/>
        <v>0</v>
      </c>
      <c r="W204" s="131"/>
      <c r="X204" s="361"/>
      <c r="Y204" s="338"/>
    </row>
    <row r="205" spans="1:32" ht="24.6" hidden="1" customHeight="1">
      <c r="A205" s="500" t="s">
        <v>234</v>
      </c>
      <c r="B205" s="171" t="s">
        <v>89</v>
      </c>
      <c r="C205" s="171"/>
      <c r="D205" s="171"/>
      <c r="E205" s="171"/>
      <c r="F205" s="171"/>
      <c r="G205" s="79"/>
      <c r="H205" s="79"/>
      <c r="I205" s="79"/>
      <c r="J205" s="79"/>
      <c r="K205" s="79"/>
      <c r="L205" s="134">
        <v>5.5679999999999996</v>
      </c>
      <c r="M205" s="134"/>
      <c r="N205" s="134"/>
      <c r="O205" s="134"/>
      <c r="P205" s="134">
        <v>5.6</v>
      </c>
      <c r="Q205" s="134"/>
      <c r="R205" s="134"/>
      <c r="S205" s="134"/>
      <c r="T205" s="134"/>
      <c r="U205" s="134"/>
      <c r="V205" s="134"/>
      <c r="W205" s="134"/>
      <c r="X205" s="361"/>
      <c r="Y205" s="463" t="s">
        <v>235</v>
      </c>
    </row>
    <row r="206" spans="1:32" ht="24.6" hidden="1" customHeight="1">
      <c r="A206" s="500"/>
      <c r="B206" s="171" t="s">
        <v>272</v>
      </c>
      <c r="C206" s="171"/>
      <c r="D206" s="171"/>
      <c r="E206" s="171"/>
      <c r="F206" s="171"/>
      <c r="G206" s="79"/>
      <c r="H206" s="79"/>
      <c r="I206" s="79"/>
      <c r="J206" s="79"/>
      <c r="K206" s="79"/>
      <c r="L206" s="134">
        <f>L207+L208</f>
        <v>116719.6</v>
      </c>
      <c r="M206" s="134">
        <f t="shared" ref="M206:P206" si="117">M207+M208</f>
        <v>0</v>
      </c>
      <c r="N206" s="134">
        <f t="shared" si="117"/>
        <v>3605.1</v>
      </c>
      <c r="O206" s="134">
        <f t="shared" si="117"/>
        <v>43794.3</v>
      </c>
      <c r="P206" s="134">
        <f t="shared" si="117"/>
        <v>69320.2</v>
      </c>
      <c r="Q206" s="134">
        <f>Q207+Q208</f>
        <v>0</v>
      </c>
      <c r="R206" s="134"/>
      <c r="S206" s="134"/>
      <c r="T206" s="134"/>
      <c r="U206" s="134"/>
      <c r="V206" s="134">
        <f>V207+V208</f>
        <v>0</v>
      </c>
      <c r="W206" s="134"/>
      <c r="X206" s="361"/>
      <c r="Y206" s="463"/>
      <c r="AF206" s="54">
        <v>247.3</v>
      </c>
    </row>
    <row r="207" spans="1:32" ht="28.9" hidden="1" customHeight="1">
      <c r="A207" s="500"/>
      <c r="B207" s="171" t="s">
        <v>10</v>
      </c>
      <c r="C207" s="171"/>
      <c r="D207" s="171"/>
      <c r="E207" s="171"/>
      <c r="F207" s="171"/>
      <c r="G207" s="79"/>
      <c r="H207" s="79"/>
      <c r="I207" s="79"/>
      <c r="J207" s="79"/>
      <c r="K207" s="79"/>
      <c r="L207" s="134">
        <v>55750</v>
      </c>
      <c r="M207" s="134"/>
      <c r="N207" s="134">
        <v>3605.1</v>
      </c>
      <c r="O207" s="134">
        <v>13434.8</v>
      </c>
      <c r="P207" s="134">
        <v>38710.1</v>
      </c>
      <c r="Q207" s="134"/>
      <c r="R207" s="134"/>
      <c r="S207" s="134"/>
      <c r="T207" s="134"/>
      <c r="U207" s="134"/>
      <c r="V207" s="134"/>
      <c r="W207" s="134"/>
      <c r="X207" s="361"/>
      <c r="Y207" s="463"/>
    </row>
    <row r="208" spans="1:32" ht="24.6" hidden="1" customHeight="1">
      <c r="A208" s="500"/>
      <c r="B208" s="171" t="s">
        <v>34</v>
      </c>
      <c r="C208" s="171"/>
      <c r="D208" s="171"/>
      <c r="E208" s="171"/>
      <c r="F208" s="171"/>
      <c r="G208" s="79"/>
      <c r="H208" s="79"/>
      <c r="I208" s="79"/>
      <c r="J208" s="79"/>
      <c r="K208" s="79"/>
      <c r="L208" s="134">
        <v>60969.599999999999</v>
      </c>
      <c r="M208" s="134"/>
      <c r="N208" s="134"/>
      <c r="O208" s="134">
        <v>30359.5</v>
      </c>
      <c r="P208" s="134">
        <v>30610.1</v>
      </c>
      <c r="Q208" s="134"/>
      <c r="R208" s="134"/>
      <c r="S208" s="134"/>
      <c r="T208" s="134"/>
      <c r="U208" s="134"/>
      <c r="V208" s="134"/>
      <c r="W208" s="134"/>
      <c r="X208" s="361"/>
      <c r="Y208" s="463"/>
    </row>
    <row r="209" spans="1:71" ht="24.95" hidden="1" customHeight="1">
      <c r="A209" s="500" t="s">
        <v>250</v>
      </c>
      <c r="B209" s="167" t="s">
        <v>89</v>
      </c>
      <c r="C209" s="167"/>
      <c r="D209" s="167"/>
      <c r="E209" s="167"/>
      <c r="F209" s="167"/>
      <c r="G209" s="74"/>
      <c r="H209" s="74"/>
      <c r="I209" s="74"/>
      <c r="J209" s="74"/>
      <c r="K209" s="74">
        <v>1.24</v>
      </c>
      <c r="L209" s="132">
        <f>3.93+0.612</f>
        <v>4.5419999999999998</v>
      </c>
      <c r="M209" s="132"/>
      <c r="N209" s="132"/>
      <c r="O209" s="132"/>
      <c r="P209" s="132">
        <v>4.5</v>
      </c>
      <c r="Q209" s="132"/>
      <c r="R209" s="132"/>
      <c r="S209" s="132"/>
      <c r="T209" s="132"/>
      <c r="U209" s="132"/>
      <c r="V209" s="132"/>
      <c r="W209" s="132"/>
      <c r="X209" s="361"/>
      <c r="Y209" s="453" t="s">
        <v>466</v>
      </c>
    </row>
    <row r="210" spans="1:71" ht="24.95" hidden="1" customHeight="1">
      <c r="A210" s="500"/>
      <c r="B210" s="167" t="s">
        <v>272</v>
      </c>
      <c r="C210" s="167"/>
      <c r="D210" s="167"/>
      <c r="E210" s="167"/>
      <c r="F210" s="167"/>
      <c r="G210" s="74">
        <f>G211+G212</f>
        <v>28933</v>
      </c>
      <c r="H210" s="74">
        <f>H211+H212</f>
        <v>0</v>
      </c>
      <c r="I210" s="74">
        <f>I211+I212</f>
        <v>0</v>
      </c>
      <c r="J210" s="74">
        <f>J211+J212</f>
        <v>0</v>
      </c>
      <c r="K210" s="74">
        <f>K211+K212</f>
        <v>28933</v>
      </c>
      <c r="L210" s="132">
        <f>L211</f>
        <v>98256.8</v>
      </c>
      <c r="M210" s="132">
        <f>M211</f>
        <v>25950</v>
      </c>
      <c r="N210" s="132">
        <f t="shared" ref="N210:P210" si="118">N211</f>
        <v>45845</v>
      </c>
      <c r="O210" s="132">
        <f t="shared" si="118"/>
        <v>0</v>
      </c>
      <c r="P210" s="132">
        <f t="shared" si="118"/>
        <v>26461.8</v>
      </c>
      <c r="Q210" s="132">
        <f>Q211</f>
        <v>0</v>
      </c>
      <c r="R210" s="132"/>
      <c r="S210" s="132">
        <f>S211</f>
        <v>0</v>
      </c>
      <c r="T210" s="132"/>
      <c r="U210" s="132"/>
      <c r="V210" s="132">
        <f>V211</f>
        <v>0</v>
      </c>
      <c r="W210" s="132"/>
      <c r="X210" s="361"/>
      <c r="Y210" s="453"/>
    </row>
    <row r="211" spans="1:71" ht="28.5" hidden="1" customHeight="1">
      <c r="A211" s="500"/>
      <c r="B211" s="167" t="s">
        <v>10</v>
      </c>
      <c r="C211" s="167"/>
      <c r="D211" s="167"/>
      <c r="E211" s="167"/>
      <c r="F211" s="167"/>
      <c r="G211" s="74">
        <f>SUM(H211:K211)</f>
        <v>0</v>
      </c>
      <c r="H211" s="74"/>
      <c r="I211" s="74"/>
      <c r="J211" s="74"/>
      <c r="K211" s="74"/>
      <c r="L211" s="132">
        <v>98256.8</v>
      </c>
      <c r="M211" s="132">
        <v>25950</v>
      </c>
      <c r="N211" s="132">
        <v>45845</v>
      </c>
      <c r="O211" s="132"/>
      <c r="P211" s="132">
        <v>26461.8</v>
      </c>
      <c r="Q211" s="132">
        <f>S211</f>
        <v>0</v>
      </c>
      <c r="R211" s="132"/>
      <c r="S211" s="132"/>
      <c r="T211" s="132"/>
      <c r="U211" s="132"/>
      <c r="V211" s="132"/>
      <c r="W211" s="132"/>
      <c r="X211" s="361"/>
      <c r="Y211" s="453"/>
    </row>
    <row r="212" spans="1:71" ht="24.6" hidden="1" customHeight="1">
      <c r="A212" s="500"/>
      <c r="B212" s="167" t="s">
        <v>463</v>
      </c>
      <c r="C212" s="167"/>
      <c r="D212" s="167"/>
      <c r="E212" s="167"/>
      <c r="F212" s="167"/>
      <c r="G212" s="74">
        <f>SUM(H212:K212)</f>
        <v>28933</v>
      </c>
      <c r="H212" s="74"/>
      <c r="I212" s="74"/>
      <c r="J212" s="74"/>
      <c r="K212" s="74">
        <v>28933</v>
      </c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361"/>
      <c r="Y212" s="453"/>
    </row>
    <row r="213" spans="1:71" ht="24.6" hidden="1" customHeight="1">
      <c r="A213" s="500" t="s">
        <v>276</v>
      </c>
      <c r="B213" s="167" t="s">
        <v>89</v>
      </c>
      <c r="C213" s="167"/>
      <c r="D213" s="167"/>
      <c r="E213" s="167"/>
      <c r="F213" s="167"/>
      <c r="G213" s="74"/>
      <c r="H213" s="74"/>
      <c r="I213" s="74"/>
      <c r="J213" s="74"/>
      <c r="K213" s="74"/>
      <c r="L213" s="132">
        <f>P213</f>
        <v>6</v>
      </c>
      <c r="M213" s="132"/>
      <c r="N213" s="132"/>
      <c r="O213" s="132"/>
      <c r="P213" s="132">
        <v>6</v>
      </c>
      <c r="Q213" s="132"/>
      <c r="R213" s="132"/>
      <c r="S213" s="132"/>
      <c r="T213" s="132"/>
      <c r="U213" s="132"/>
      <c r="V213" s="132"/>
      <c r="W213" s="132"/>
      <c r="X213" s="361"/>
      <c r="Y213" s="453" t="s">
        <v>332</v>
      </c>
    </row>
    <row r="214" spans="1:71" ht="27.6" hidden="1" customHeight="1">
      <c r="A214" s="500"/>
      <c r="B214" s="167" t="s">
        <v>272</v>
      </c>
      <c r="C214" s="167"/>
      <c r="D214" s="167"/>
      <c r="E214" s="167"/>
      <c r="F214" s="167"/>
      <c r="G214" s="74"/>
      <c r="H214" s="74"/>
      <c r="I214" s="74"/>
      <c r="J214" s="74"/>
      <c r="K214" s="74"/>
      <c r="L214" s="132">
        <f>L215</f>
        <v>117530.1</v>
      </c>
      <c r="M214" s="132">
        <f t="shared" ref="M214:P214" si="119">M215</f>
        <v>0</v>
      </c>
      <c r="N214" s="132">
        <f t="shared" si="119"/>
        <v>0</v>
      </c>
      <c r="O214" s="132">
        <f t="shared" si="119"/>
        <v>19980.099999999999</v>
      </c>
      <c r="P214" s="132">
        <f t="shared" si="119"/>
        <v>97550</v>
      </c>
      <c r="Q214" s="132">
        <f>Q215</f>
        <v>0</v>
      </c>
      <c r="R214" s="132"/>
      <c r="S214" s="132"/>
      <c r="T214" s="132"/>
      <c r="U214" s="132"/>
      <c r="V214" s="132">
        <f>V215</f>
        <v>0</v>
      </c>
      <c r="W214" s="132"/>
      <c r="X214" s="361"/>
      <c r="Y214" s="453"/>
    </row>
    <row r="215" spans="1:71" ht="24.6" hidden="1" customHeight="1">
      <c r="A215" s="500"/>
      <c r="B215" s="167" t="s">
        <v>34</v>
      </c>
      <c r="C215" s="167"/>
      <c r="D215" s="167"/>
      <c r="E215" s="167"/>
      <c r="F215" s="167"/>
      <c r="G215" s="74"/>
      <c r="H215" s="74"/>
      <c r="I215" s="74"/>
      <c r="J215" s="74"/>
      <c r="K215" s="74"/>
      <c r="L215" s="132">
        <f>86932.8+30597.3</f>
        <v>117530.1</v>
      </c>
      <c r="M215" s="132"/>
      <c r="N215" s="132"/>
      <c r="O215" s="132">
        <v>19980.099999999999</v>
      </c>
      <c r="P215" s="132">
        <v>97550</v>
      </c>
      <c r="Q215" s="132"/>
      <c r="R215" s="132"/>
      <c r="S215" s="132"/>
      <c r="T215" s="132"/>
      <c r="U215" s="132"/>
      <c r="V215" s="132"/>
      <c r="W215" s="132"/>
      <c r="X215" s="361"/>
      <c r="Y215" s="453"/>
    </row>
    <row r="216" spans="1:71" s="55" customFormat="1" ht="0.6" customHeight="1">
      <c r="A216" s="500" t="s">
        <v>358</v>
      </c>
      <c r="B216" s="167" t="s">
        <v>89</v>
      </c>
      <c r="C216" s="167"/>
      <c r="D216" s="167"/>
      <c r="E216" s="167"/>
      <c r="F216" s="167"/>
      <c r="G216" s="74"/>
      <c r="H216" s="74"/>
      <c r="I216" s="74"/>
      <c r="J216" s="74"/>
      <c r="K216" s="74"/>
      <c r="L216" s="132"/>
      <c r="M216" s="132"/>
      <c r="N216" s="132"/>
      <c r="O216" s="132"/>
      <c r="P216" s="132"/>
      <c r="Q216" s="132">
        <v>0</v>
      </c>
      <c r="R216" s="132"/>
      <c r="S216" s="132"/>
      <c r="T216" s="132"/>
      <c r="U216" s="132"/>
      <c r="V216" s="132"/>
      <c r="W216" s="132"/>
      <c r="X216" s="361"/>
      <c r="Y216" s="453" t="s">
        <v>254</v>
      </c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  <c r="BI216" s="150"/>
      <c r="BJ216" s="150"/>
      <c r="BK216" s="150"/>
      <c r="BL216" s="150"/>
      <c r="BM216" s="150"/>
      <c r="BN216" s="150"/>
      <c r="BO216" s="150"/>
      <c r="BP216" s="150"/>
      <c r="BQ216" s="150"/>
      <c r="BR216" s="150"/>
      <c r="BS216" s="150"/>
    </row>
    <row r="217" spans="1:71" s="55" customFormat="1" ht="24.6" hidden="1" customHeight="1">
      <c r="A217" s="500"/>
      <c r="B217" s="167" t="s">
        <v>272</v>
      </c>
      <c r="C217" s="167"/>
      <c r="D217" s="167"/>
      <c r="E217" s="167"/>
      <c r="F217" s="167"/>
      <c r="G217" s="74"/>
      <c r="H217" s="74"/>
      <c r="I217" s="74"/>
      <c r="J217" s="74"/>
      <c r="K217" s="74"/>
      <c r="L217" s="132">
        <f>L218</f>
        <v>0</v>
      </c>
      <c r="M217" s="132"/>
      <c r="N217" s="132"/>
      <c r="O217" s="132"/>
      <c r="P217" s="132"/>
      <c r="Q217" s="132">
        <f>Q218</f>
        <v>0</v>
      </c>
      <c r="R217" s="132"/>
      <c r="S217" s="132"/>
      <c r="T217" s="132"/>
      <c r="U217" s="132"/>
      <c r="V217" s="132">
        <f>V218</f>
        <v>0</v>
      </c>
      <c r="W217" s="132"/>
      <c r="X217" s="361"/>
      <c r="Y217" s="453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  <c r="BI217" s="150"/>
      <c r="BJ217" s="150"/>
      <c r="BK217" s="150"/>
      <c r="BL217" s="150"/>
      <c r="BM217" s="150"/>
      <c r="BN217" s="150"/>
      <c r="BO217" s="150"/>
      <c r="BP217" s="150"/>
      <c r="BQ217" s="150"/>
      <c r="BR217" s="150"/>
      <c r="BS217" s="150"/>
    </row>
    <row r="218" spans="1:71" s="55" customFormat="1" ht="24.6" hidden="1" customHeight="1">
      <c r="A218" s="500"/>
      <c r="B218" s="167" t="s">
        <v>34</v>
      </c>
      <c r="C218" s="167"/>
      <c r="D218" s="167"/>
      <c r="E218" s="167"/>
      <c r="F218" s="167"/>
      <c r="G218" s="74"/>
      <c r="H218" s="74"/>
      <c r="I218" s="74"/>
      <c r="J218" s="74"/>
      <c r="K218" s="74"/>
      <c r="L218" s="132"/>
      <c r="M218" s="132"/>
      <c r="N218" s="132"/>
      <c r="O218" s="132"/>
      <c r="P218" s="132"/>
      <c r="Q218" s="132">
        <v>0</v>
      </c>
      <c r="R218" s="132"/>
      <c r="S218" s="132"/>
      <c r="T218" s="132"/>
      <c r="U218" s="132"/>
      <c r="V218" s="132"/>
      <c r="W218" s="132"/>
      <c r="X218" s="361"/>
      <c r="Y218" s="453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  <c r="BI218" s="150"/>
      <c r="BJ218" s="150"/>
      <c r="BK218" s="150"/>
      <c r="BL218" s="150"/>
      <c r="BM218" s="150"/>
      <c r="BN218" s="150"/>
      <c r="BO218" s="150"/>
      <c r="BP218" s="150"/>
      <c r="BQ218" s="150"/>
      <c r="BR218" s="150"/>
      <c r="BS218" s="150"/>
    </row>
    <row r="219" spans="1:71" s="55" customFormat="1" ht="24.95" hidden="1" customHeight="1">
      <c r="A219" s="504" t="s">
        <v>338</v>
      </c>
      <c r="B219" s="167" t="s">
        <v>89</v>
      </c>
      <c r="C219" s="167"/>
      <c r="D219" s="167"/>
      <c r="E219" s="167"/>
      <c r="F219" s="167"/>
      <c r="G219" s="74"/>
      <c r="H219" s="74"/>
      <c r="I219" s="74"/>
      <c r="J219" s="74"/>
      <c r="K219" s="74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361"/>
      <c r="Y219" s="453" t="s">
        <v>342</v>
      </c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  <c r="BI219" s="150"/>
      <c r="BJ219" s="150"/>
      <c r="BK219" s="150"/>
      <c r="BL219" s="150"/>
      <c r="BM219" s="150"/>
      <c r="BN219" s="150"/>
      <c r="BO219" s="150"/>
      <c r="BP219" s="150"/>
      <c r="BQ219" s="150"/>
      <c r="BR219" s="150"/>
      <c r="BS219" s="150"/>
    </row>
    <row r="220" spans="1:71" s="55" customFormat="1" ht="24.95" hidden="1" customHeight="1">
      <c r="A220" s="505"/>
      <c r="B220" s="167" t="s">
        <v>272</v>
      </c>
      <c r="C220" s="167"/>
      <c r="D220" s="167"/>
      <c r="E220" s="167"/>
      <c r="F220" s="167"/>
      <c r="G220" s="74"/>
      <c r="H220" s="74"/>
      <c r="I220" s="74"/>
      <c r="J220" s="74"/>
      <c r="K220" s="74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361"/>
      <c r="Y220" s="453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  <c r="BI220" s="150"/>
      <c r="BJ220" s="150"/>
      <c r="BK220" s="150"/>
      <c r="BL220" s="150"/>
      <c r="BM220" s="150"/>
      <c r="BN220" s="150"/>
      <c r="BO220" s="150"/>
      <c r="BP220" s="150"/>
      <c r="BQ220" s="150"/>
      <c r="BR220" s="150"/>
      <c r="BS220" s="150"/>
    </row>
    <row r="221" spans="1:71" s="55" customFormat="1" ht="24.95" hidden="1" customHeight="1">
      <c r="A221" s="505"/>
      <c r="B221" s="167" t="s">
        <v>10</v>
      </c>
      <c r="C221" s="167"/>
      <c r="D221" s="167"/>
      <c r="E221" s="167"/>
      <c r="F221" s="167"/>
      <c r="G221" s="74"/>
      <c r="H221" s="74"/>
      <c r="I221" s="74"/>
      <c r="J221" s="74"/>
      <c r="K221" s="74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361"/>
      <c r="Y221" s="453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  <c r="BI221" s="150"/>
      <c r="BJ221" s="150"/>
      <c r="BK221" s="150"/>
      <c r="BL221" s="150"/>
      <c r="BM221" s="150"/>
      <c r="BN221" s="150"/>
      <c r="BO221" s="150"/>
      <c r="BP221" s="150"/>
      <c r="BQ221" s="150"/>
      <c r="BR221" s="150"/>
      <c r="BS221" s="150"/>
    </row>
    <row r="222" spans="1:71" s="55" customFormat="1" ht="24.95" hidden="1" customHeight="1">
      <c r="A222" s="506"/>
      <c r="B222" s="167" t="s">
        <v>463</v>
      </c>
      <c r="C222" s="167"/>
      <c r="D222" s="167"/>
      <c r="E222" s="167"/>
      <c r="F222" s="167"/>
      <c r="G222" s="74"/>
      <c r="H222" s="74"/>
      <c r="I222" s="74"/>
      <c r="J222" s="74"/>
      <c r="K222" s="74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361"/>
      <c r="Y222" s="453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  <c r="BI222" s="150"/>
      <c r="BJ222" s="150"/>
      <c r="BK222" s="150"/>
      <c r="BL222" s="150"/>
      <c r="BM222" s="150"/>
      <c r="BN222" s="150"/>
      <c r="BO222" s="150"/>
      <c r="BP222" s="150"/>
      <c r="BQ222" s="150"/>
      <c r="BR222" s="150"/>
      <c r="BS222" s="150"/>
    </row>
    <row r="223" spans="1:71" s="55" customFormat="1" ht="24.6" hidden="1" customHeight="1">
      <c r="A223" s="472" t="s">
        <v>102</v>
      </c>
      <c r="B223" s="82" t="s">
        <v>89</v>
      </c>
      <c r="C223" s="82"/>
      <c r="D223" s="82"/>
      <c r="E223" s="82"/>
      <c r="F223" s="82"/>
      <c r="G223" s="80">
        <f>G227+G231</f>
        <v>0.61</v>
      </c>
      <c r="H223" s="80">
        <f t="shared" ref="H223:V223" si="120">H227+H231</f>
        <v>0</v>
      </c>
      <c r="I223" s="80">
        <f t="shared" si="120"/>
        <v>0</v>
      </c>
      <c r="J223" s="80">
        <f t="shared" si="120"/>
        <v>0</v>
      </c>
      <c r="K223" s="80">
        <f t="shared" si="120"/>
        <v>0.61</v>
      </c>
      <c r="L223" s="131">
        <f>L227+L231</f>
        <v>0</v>
      </c>
      <c r="M223" s="131"/>
      <c r="N223" s="131"/>
      <c r="O223" s="131"/>
      <c r="P223" s="131"/>
      <c r="Q223" s="131">
        <f t="shared" si="120"/>
        <v>0</v>
      </c>
      <c r="R223" s="131"/>
      <c r="S223" s="131"/>
      <c r="T223" s="131"/>
      <c r="U223" s="131"/>
      <c r="V223" s="131">
        <f t="shared" si="120"/>
        <v>0</v>
      </c>
      <c r="W223" s="131"/>
      <c r="X223" s="361"/>
      <c r="Y223" s="82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  <c r="BI223" s="150"/>
      <c r="BJ223" s="150"/>
      <c r="BK223" s="150"/>
      <c r="BL223" s="150"/>
      <c r="BM223" s="150"/>
      <c r="BN223" s="150"/>
      <c r="BO223" s="150"/>
      <c r="BP223" s="150"/>
      <c r="BQ223" s="150"/>
      <c r="BR223" s="150"/>
      <c r="BS223" s="150"/>
    </row>
    <row r="224" spans="1:71" ht="30" hidden="1" customHeight="1">
      <c r="A224" s="473"/>
      <c r="B224" s="82" t="s">
        <v>272</v>
      </c>
      <c r="C224" s="82"/>
      <c r="D224" s="82"/>
      <c r="E224" s="82"/>
      <c r="F224" s="82"/>
      <c r="G224" s="80">
        <f>G225+G226</f>
        <v>9768</v>
      </c>
      <c r="H224" s="80">
        <f t="shared" ref="H224:V224" si="121">H225+H226</f>
        <v>97.2</v>
      </c>
      <c r="I224" s="80">
        <f t="shared" si="121"/>
        <v>764</v>
      </c>
      <c r="J224" s="80">
        <f t="shared" si="121"/>
        <v>5415.6</v>
      </c>
      <c r="K224" s="80">
        <f t="shared" si="121"/>
        <v>3491.2</v>
      </c>
      <c r="L224" s="131">
        <f t="shared" si="121"/>
        <v>0</v>
      </c>
      <c r="M224" s="131"/>
      <c r="N224" s="131"/>
      <c r="O224" s="131"/>
      <c r="P224" s="131"/>
      <c r="Q224" s="131">
        <f t="shared" si="121"/>
        <v>0</v>
      </c>
      <c r="R224" s="131"/>
      <c r="S224" s="131"/>
      <c r="T224" s="131"/>
      <c r="U224" s="131"/>
      <c r="V224" s="131">
        <f t="shared" si="121"/>
        <v>0</v>
      </c>
      <c r="W224" s="131"/>
      <c r="X224" s="361"/>
      <c r="Y224" s="82"/>
    </row>
    <row r="225" spans="1:25" ht="31.15" hidden="1" customHeight="1">
      <c r="A225" s="473"/>
      <c r="B225" s="82" t="s">
        <v>10</v>
      </c>
      <c r="C225" s="82"/>
      <c r="D225" s="82"/>
      <c r="E225" s="82"/>
      <c r="F225" s="82"/>
      <c r="G225" s="80">
        <f>G229</f>
        <v>97.2</v>
      </c>
      <c r="H225" s="80">
        <f t="shared" ref="H225:V225" si="122">H229</f>
        <v>97.2</v>
      </c>
      <c r="I225" s="80">
        <f t="shared" si="122"/>
        <v>0</v>
      </c>
      <c r="J225" s="80">
        <f t="shared" si="122"/>
        <v>0</v>
      </c>
      <c r="K225" s="80">
        <f t="shared" si="122"/>
        <v>0</v>
      </c>
      <c r="L225" s="131">
        <f t="shared" si="122"/>
        <v>0</v>
      </c>
      <c r="M225" s="131"/>
      <c r="N225" s="131"/>
      <c r="O225" s="131"/>
      <c r="P225" s="131"/>
      <c r="Q225" s="131">
        <f t="shared" si="122"/>
        <v>0</v>
      </c>
      <c r="R225" s="131"/>
      <c r="S225" s="131"/>
      <c r="T225" s="131"/>
      <c r="U225" s="131"/>
      <c r="V225" s="131">
        <f t="shared" si="122"/>
        <v>0</v>
      </c>
      <c r="W225" s="131"/>
      <c r="X225" s="361"/>
      <c r="Y225" s="82"/>
    </row>
    <row r="226" spans="1:25" ht="22.9" hidden="1" customHeight="1">
      <c r="A226" s="474"/>
      <c r="B226" s="82" t="s">
        <v>34</v>
      </c>
      <c r="C226" s="82"/>
      <c r="D226" s="82"/>
      <c r="E226" s="82"/>
      <c r="F226" s="82"/>
      <c r="G226" s="80">
        <f>G230+G233</f>
        <v>9670.7999999999993</v>
      </c>
      <c r="H226" s="80">
        <f t="shared" ref="H226:V226" si="123">H230+H233</f>
        <v>0</v>
      </c>
      <c r="I226" s="80">
        <f t="shared" si="123"/>
        <v>764</v>
      </c>
      <c r="J226" s="80">
        <f t="shared" si="123"/>
        <v>5415.6</v>
      </c>
      <c r="K226" s="80">
        <f t="shared" si="123"/>
        <v>3491.2</v>
      </c>
      <c r="L226" s="131">
        <f t="shared" si="123"/>
        <v>0</v>
      </c>
      <c r="M226" s="131"/>
      <c r="N226" s="131"/>
      <c r="O226" s="131"/>
      <c r="P226" s="131"/>
      <c r="Q226" s="131">
        <f t="shared" si="123"/>
        <v>0</v>
      </c>
      <c r="R226" s="131"/>
      <c r="S226" s="131"/>
      <c r="T226" s="131"/>
      <c r="U226" s="131"/>
      <c r="V226" s="131">
        <f t="shared" si="123"/>
        <v>0</v>
      </c>
      <c r="W226" s="131"/>
      <c r="X226" s="361"/>
      <c r="Y226" s="82"/>
    </row>
    <row r="227" spans="1:25" ht="30.75" hidden="1" customHeight="1">
      <c r="A227" s="462" t="s">
        <v>23</v>
      </c>
      <c r="B227" s="167" t="s">
        <v>89</v>
      </c>
      <c r="C227" s="167">
        <v>176</v>
      </c>
      <c r="D227" s="167" t="s">
        <v>15</v>
      </c>
      <c r="E227" s="167">
        <v>6100404</v>
      </c>
      <c r="F227" s="167">
        <v>414</v>
      </c>
      <c r="G227" s="74">
        <f>SUM(H227:K227)</f>
        <v>0.61</v>
      </c>
      <c r="H227" s="74"/>
      <c r="I227" s="74"/>
      <c r="J227" s="74"/>
      <c r="K227" s="74">
        <v>0.61</v>
      </c>
      <c r="L227" s="132">
        <v>0</v>
      </c>
      <c r="M227" s="132"/>
      <c r="N227" s="132"/>
      <c r="O227" s="132"/>
      <c r="P227" s="132"/>
      <c r="Q227" s="132">
        <v>0</v>
      </c>
      <c r="R227" s="132"/>
      <c r="S227" s="132"/>
      <c r="T227" s="132"/>
      <c r="U227" s="132"/>
      <c r="V227" s="132"/>
      <c r="W227" s="132"/>
      <c r="X227" s="361"/>
      <c r="Y227" s="453" t="s">
        <v>309</v>
      </c>
    </row>
    <row r="228" spans="1:25" ht="24.95" hidden="1" customHeight="1">
      <c r="A228" s="462"/>
      <c r="B228" s="167" t="s">
        <v>272</v>
      </c>
      <c r="C228" s="167"/>
      <c r="D228" s="167"/>
      <c r="E228" s="167"/>
      <c r="F228" s="167"/>
      <c r="G228" s="74">
        <f>SUM(H228:K228)</f>
        <v>9768</v>
      </c>
      <c r="H228" s="74">
        <f>H229+H230</f>
        <v>97.2</v>
      </c>
      <c r="I228" s="74">
        <f t="shared" ref="I228:V228" si="124">I229+I230</f>
        <v>764</v>
      </c>
      <c r="J228" s="74">
        <f t="shared" si="124"/>
        <v>5415.6</v>
      </c>
      <c r="K228" s="74">
        <f t="shared" si="124"/>
        <v>3491.2</v>
      </c>
      <c r="L228" s="132">
        <f t="shared" si="124"/>
        <v>0</v>
      </c>
      <c r="M228" s="132"/>
      <c r="N228" s="132"/>
      <c r="O228" s="132"/>
      <c r="P228" s="132"/>
      <c r="Q228" s="132">
        <f t="shared" si="124"/>
        <v>0</v>
      </c>
      <c r="R228" s="132"/>
      <c r="S228" s="132"/>
      <c r="T228" s="132"/>
      <c r="U228" s="132"/>
      <c r="V228" s="132">
        <f t="shared" si="124"/>
        <v>0</v>
      </c>
      <c r="W228" s="132"/>
      <c r="X228" s="361"/>
      <c r="Y228" s="453"/>
    </row>
    <row r="229" spans="1:25" ht="29.25" hidden="1" customHeight="1">
      <c r="A229" s="462"/>
      <c r="B229" s="167" t="s">
        <v>10</v>
      </c>
      <c r="C229" s="167"/>
      <c r="D229" s="167"/>
      <c r="E229" s="167"/>
      <c r="F229" s="167"/>
      <c r="G229" s="74">
        <f>SUM(H229:K229)</f>
        <v>97.2</v>
      </c>
      <c r="H229" s="74">
        <v>97.2</v>
      </c>
      <c r="I229" s="74"/>
      <c r="J229" s="74"/>
      <c r="K229" s="74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361"/>
      <c r="Y229" s="453"/>
    </row>
    <row r="230" spans="1:25" ht="24.95" hidden="1" customHeight="1">
      <c r="A230" s="462"/>
      <c r="B230" s="167" t="s">
        <v>34</v>
      </c>
      <c r="C230" s="167"/>
      <c r="D230" s="167"/>
      <c r="E230" s="167"/>
      <c r="F230" s="167"/>
      <c r="G230" s="74">
        <f>SUM(H230:K230)</f>
        <v>9670.7999999999993</v>
      </c>
      <c r="H230" s="74"/>
      <c r="I230" s="74">
        <v>764</v>
      </c>
      <c r="J230" s="74">
        <v>5415.6</v>
      </c>
      <c r="K230" s="74">
        <v>3491.2</v>
      </c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361"/>
      <c r="Y230" s="453"/>
    </row>
    <row r="231" spans="1:25" ht="24.6" hidden="1" customHeight="1">
      <c r="A231" s="500" t="s">
        <v>359</v>
      </c>
      <c r="B231" s="167" t="s">
        <v>89</v>
      </c>
      <c r="C231" s="167"/>
      <c r="D231" s="167"/>
      <c r="E231" s="167"/>
      <c r="F231" s="167"/>
      <c r="G231" s="74"/>
      <c r="H231" s="74"/>
      <c r="I231" s="74"/>
      <c r="J231" s="74"/>
      <c r="K231" s="74"/>
      <c r="L231" s="132"/>
      <c r="M231" s="132"/>
      <c r="N231" s="132"/>
      <c r="O231" s="132"/>
      <c r="P231" s="132"/>
      <c r="Q231" s="132">
        <v>0</v>
      </c>
      <c r="R231" s="132"/>
      <c r="S231" s="132"/>
      <c r="T231" s="132"/>
      <c r="U231" s="132"/>
      <c r="V231" s="132">
        <v>0</v>
      </c>
      <c r="W231" s="132"/>
      <c r="X231" s="361"/>
      <c r="Y231" s="453" t="s">
        <v>252</v>
      </c>
    </row>
    <row r="232" spans="1:25" ht="24.6" hidden="1" customHeight="1">
      <c r="A232" s="500"/>
      <c r="B232" s="167" t="s">
        <v>272</v>
      </c>
      <c r="C232" s="167"/>
      <c r="D232" s="167"/>
      <c r="E232" s="167"/>
      <c r="F232" s="167"/>
      <c r="G232" s="74">
        <f>G233</f>
        <v>0</v>
      </c>
      <c r="H232" s="74">
        <f t="shared" ref="H232:V232" si="125">H233</f>
        <v>0</v>
      </c>
      <c r="I232" s="74">
        <f t="shared" si="125"/>
        <v>0</v>
      </c>
      <c r="J232" s="74">
        <f t="shared" si="125"/>
        <v>0</v>
      </c>
      <c r="K232" s="74">
        <f t="shared" si="125"/>
        <v>0</v>
      </c>
      <c r="L232" s="132">
        <f t="shared" si="125"/>
        <v>0</v>
      </c>
      <c r="M232" s="132"/>
      <c r="N232" s="132"/>
      <c r="O232" s="132"/>
      <c r="P232" s="132"/>
      <c r="Q232" s="132">
        <f t="shared" si="125"/>
        <v>0</v>
      </c>
      <c r="R232" s="132"/>
      <c r="S232" s="132"/>
      <c r="T232" s="132"/>
      <c r="U232" s="132"/>
      <c r="V232" s="132">
        <f t="shared" si="125"/>
        <v>0</v>
      </c>
      <c r="W232" s="132"/>
      <c r="X232" s="361"/>
      <c r="Y232" s="453"/>
    </row>
    <row r="233" spans="1:25" ht="24.6" hidden="1" customHeight="1">
      <c r="A233" s="500"/>
      <c r="B233" s="167" t="s">
        <v>34</v>
      </c>
      <c r="C233" s="167"/>
      <c r="D233" s="167"/>
      <c r="E233" s="167"/>
      <c r="F233" s="167"/>
      <c r="G233" s="74"/>
      <c r="H233" s="74"/>
      <c r="I233" s="74"/>
      <c r="J233" s="74"/>
      <c r="K233" s="74"/>
      <c r="L233" s="132"/>
      <c r="M233" s="132"/>
      <c r="N233" s="132"/>
      <c r="O233" s="132"/>
      <c r="P233" s="132"/>
      <c r="Q233" s="132">
        <v>0</v>
      </c>
      <c r="R233" s="132"/>
      <c r="S233" s="132"/>
      <c r="T233" s="132"/>
      <c r="U233" s="132"/>
      <c r="V233" s="132">
        <v>0</v>
      </c>
      <c r="W233" s="132"/>
      <c r="X233" s="361"/>
      <c r="Y233" s="453"/>
    </row>
    <row r="234" spans="1:25" ht="24.95" customHeight="1">
      <c r="A234" s="461" t="s">
        <v>134</v>
      </c>
      <c r="B234" s="82" t="s">
        <v>89</v>
      </c>
      <c r="C234" s="167"/>
      <c r="D234" s="167"/>
      <c r="E234" s="167"/>
      <c r="F234" s="167"/>
      <c r="G234" s="80">
        <f>G238</f>
        <v>0</v>
      </c>
      <c r="H234" s="80">
        <f t="shared" ref="H234:V234" si="126">H238</f>
        <v>0</v>
      </c>
      <c r="I234" s="80">
        <f t="shared" si="126"/>
        <v>0</v>
      </c>
      <c r="J234" s="80">
        <f t="shared" si="126"/>
        <v>0</v>
      </c>
      <c r="K234" s="80">
        <f t="shared" si="126"/>
        <v>0</v>
      </c>
      <c r="L234" s="131">
        <f t="shared" si="126"/>
        <v>0</v>
      </c>
      <c r="M234" s="131"/>
      <c r="N234" s="131"/>
      <c r="O234" s="131"/>
      <c r="P234" s="131"/>
      <c r="Q234" s="131">
        <f t="shared" si="126"/>
        <v>0</v>
      </c>
      <c r="R234" s="131"/>
      <c r="S234" s="131"/>
      <c r="T234" s="131"/>
      <c r="U234" s="131"/>
      <c r="V234" s="131">
        <f t="shared" si="126"/>
        <v>0</v>
      </c>
      <c r="W234" s="131"/>
      <c r="X234" s="361"/>
      <c r="Y234" s="338"/>
    </row>
    <row r="235" spans="1:25" ht="24.95" customHeight="1">
      <c r="A235" s="461"/>
      <c r="B235" s="82" t="s">
        <v>272</v>
      </c>
      <c r="C235" s="167"/>
      <c r="D235" s="167"/>
      <c r="E235" s="167"/>
      <c r="F235" s="167"/>
      <c r="G235" s="80">
        <f>G237</f>
        <v>0</v>
      </c>
      <c r="H235" s="80">
        <f t="shared" ref="H235:V235" si="127">H237</f>
        <v>0</v>
      </c>
      <c r="I235" s="80">
        <f t="shared" si="127"/>
        <v>0</v>
      </c>
      <c r="J235" s="80">
        <f t="shared" si="127"/>
        <v>0</v>
      </c>
      <c r="K235" s="80">
        <f t="shared" si="127"/>
        <v>0</v>
      </c>
      <c r="L235" s="131">
        <f t="shared" si="127"/>
        <v>0</v>
      </c>
      <c r="M235" s="131"/>
      <c r="N235" s="131"/>
      <c r="O235" s="131"/>
      <c r="P235" s="131"/>
      <c r="Q235" s="131">
        <f t="shared" si="127"/>
        <v>0</v>
      </c>
      <c r="R235" s="131"/>
      <c r="S235" s="131"/>
      <c r="T235" s="131"/>
      <c r="U235" s="131"/>
      <c r="V235" s="131">
        <f t="shared" si="127"/>
        <v>0</v>
      </c>
      <c r="W235" s="131"/>
      <c r="X235" s="361"/>
      <c r="Y235" s="338"/>
    </row>
    <row r="236" spans="1:25" ht="24.95" customHeight="1">
      <c r="A236" s="461"/>
      <c r="B236" s="82" t="s">
        <v>10</v>
      </c>
      <c r="C236" s="167"/>
      <c r="D236" s="167"/>
      <c r="E236" s="167"/>
      <c r="F236" s="167"/>
      <c r="G236" s="80"/>
      <c r="H236" s="80"/>
      <c r="I236" s="80"/>
      <c r="J236" s="80"/>
      <c r="K236" s="80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361"/>
      <c r="Y236" s="338"/>
    </row>
    <row r="237" spans="1:25" ht="24.6" hidden="1" customHeight="1">
      <c r="A237" s="461"/>
      <c r="B237" s="82" t="s">
        <v>463</v>
      </c>
      <c r="C237" s="167"/>
      <c r="D237" s="167"/>
      <c r="E237" s="167"/>
      <c r="F237" s="167"/>
      <c r="G237" s="80">
        <f>G241</f>
        <v>0</v>
      </c>
      <c r="H237" s="80">
        <f t="shared" ref="H237:V237" si="128">H241</f>
        <v>0</v>
      </c>
      <c r="I237" s="80">
        <f t="shared" si="128"/>
        <v>0</v>
      </c>
      <c r="J237" s="80">
        <f t="shared" si="128"/>
        <v>0</v>
      </c>
      <c r="K237" s="80">
        <f t="shared" si="128"/>
        <v>0</v>
      </c>
      <c r="L237" s="131">
        <f t="shared" si="128"/>
        <v>0</v>
      </c>
      <c r="M237" s="131"/>
      <c r="N237" s="131"/>
      <c r="O237" s="131"/>
      <c r="P237" s="131"/>
      <c r="Q237" s="131">
        <f t="shared" si="128"/>
        <v>0</v>
      </c>
      <c r="R237" s="131"/>
      <c r="S237" s="131"/>
      <c r="T237" s="131"/>
      <c r="U237" s="131"/>
      <c r="V237" s="131">
        <f t="shared" si="128"/>
        <v>0</v>
      </c>
      <c r="W237" s="131"/>
      <c r="X237" s="361"/>
      <c r="Y237" s="338"/>
    </row>
    <row r="238" spans="1:25" ht="0.6" customHeight="1">
      <c r="A238" s="500" t="s">
        <v>251</v>
      </c>
      <c r="B238" s="167" t="s">
        <v>89</v>
      </c>
      <c r="C238" s="167"/>
      <c r="D238" s="167"/>
      <c r="E238" s="167"/>
      <c r="F238" s="167"/>
      <c r="G238" s="74"/>
      <c r="H238" s="74"/>
      <c r="I238" s="74"/>
      <c r="J238" s="74"/>
      <c r="K238" s="74"/>
      <c r="L238" s="132"/>
      <c r="M238" s="132"/>
      <c r="N238" s="132"/>
      <c r="O238" s="132"/>
      <c r="P238" s="132"/>
      <c r="Q238" s="132">
        <v>0</v>
      </c>
      <c r="R238" s="132"/>
      <c r="S238" s="132"/>
      <c r="T238" s="132"/>
      <c r="U238" s="132"/>
      <c r="V238" s="132">
        <v>0</v>
      </c>
      <c r="W238" s="132"/>
      <c r="X238" s="361"/>
      <c r="Y238" s="453" t="s">
        <v>311</v>
      </c>
    </row>
    <row r="239" spans="1:25" ht="24.6" hidden="1" customHeight="1">
      <c r="A239" s="500"/>
      <c r="B239" s="167" t="s">
        <v>272</v>
      </c>
      <c r="C239" s="167"/>
      <c r="D239" s="167"/>
      <c r="E239" s="167"/>
      <c r="F239" s="167"/>
      <c r="G239" s="74">
        <f>G241</f>
        <v>0</v>
      </c>
      <c r="H239" s="74">
        <f t="shared" ref="H239:V239" si="129">H241</f>
        <v>0</v>
      </c>
      <c r="I239" s="74">
        <f t="shared" si="129"/>
        <v>0</v>
      </c>
      <c r="J239" s="74">
        <f t="shared" si="129"/>
        <v>0</v>
      </c>
      <c r="K239" s="74">
        <f t="shared" si="129"/>
        <v>0</v>
      </c>
      <c r="L239" s="132">
        <f t="shared" si="129"/>
        <v>0</v>
      </c>
      <c r="M239" s="132"/>
      <c r="N239" s="132"/>
      <c r="O239" s="132"/>
      <c r="P239" s="132"/>
      <c r="Q239" s="132">
        <f t="shared" si="129"/>
        <v>0</v>
      </c>
      <c r="R239" s="132"/>
      <c r="S239" s="132"/>
      <c r="T239" s="132"/>
      <c r="U239" s="132"/>
      <c r="V239" s="132">
        <f t="shared" si="129"/>
        <v>0</v>
      </c>
      <c r="W239" s="132"/>
      <c r="X239" s="361"/>
      <c r="Y239" s="453"/>
    </row>
    <row r="240" spans="1:25" ht="24.6" hidden="1" customHeight="1">
      <c r="A240" s="500"/>
      <c r="B240" s="167" t="s">
        <v>10</v>
      </c>
      <c r="C240" s="167"/>
      <c r="D240" s="167"/>
      <c r="E240" s="167"/>
      <c r="F240" s="167"/>
      <c r="G240" s="74"/>
      <c r="H240" s="74"/>
      <c r="I240" s="74"/>
      <c r="J240" s="74"/>
      <c r="K240" s="74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361"/>
      <c r="Y240" s="453"/>
    </row>
    <row r="241" spans="1:71" ht="24.6" hidden="1" customHeight="1">
      <c r="A241" s="500"/>
      <c r="B241" s="167" t="s">
        <v>34</v>
      </c>
      <c r="C241" s="167"/>
      <c r="D241" s="167"/>
      <c r="E241" s="167"/>
      <c r="F241" s="167"/>
      <c r="G241" s="74"/>
      <c r="H241" s="74"/>
      <c r="I241" s="74"/>
      <c r="J241" s="74"/>
      <c r="K241" s="74"/>
      <c r="L241" s="132"/>
      <c r="M241" s="132"/>
      <c r="N241" s="132"/>
      <c r="O241" s="132"/>
      <c r="P241" s="132"/>
      <c r="Q241" s="132">
        <v>0</v>
      </c>
      <c r="R241" s="132"/>
      <c r="S241" s="132"/>
      <c r="T241" s="132"/>
      <c r="U241" s="132"/>
      <c r="V241" s="132">
        <v>0</v>
      </c>
      <c r="W241" s="132"/>
      <c r="X241" s="361"/>
      <c r="Y241" s="453"/>
    </row>
    <row r="242" spans="1:71" ht="24.95" customHeight="1">
      <c r="A242" s="504" t="s">
        <v>341</v>
      </c>
      <c r="B242" s="345" t="s">
        <v>89</v>
      </c>
      <c r="C242" s="345"/>
      <c r="D242" s="345"/>
      <c r="E242" s="345"/>
      <c r="F242" s="345"/>
      <c r="G242" s="74"/>
      <c r="H242" s="74"/>
      <c r="I242" s="74"/>
      <c r="J242" s="74"/>
      <c r="K242" s="74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361"/>
      <c r="Y242" s="453" t="s">
        <v>601</v>
      </c>
    </row>
    <row r="243" spans="1:71" ht="24.95" customHeight="1">
      <c r="A243" s="505"/>
      <c r="B243" s="345" t="s">
        <v>272</v>
      </c>
      <c r="C243" s="345"/>
      <c r="D243" s="345"/>
      <c r="E243" s="345"/>
      <c r="F243" s="345"/>
      <c r="G243" s="74"/>
      <c r="H243" s="74"/>
      <c r="I243" s="74"/>
      <c r="J243" s="74"/>
      <c r="K243" s="74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361"/>
      <c r="Y243" s="453"/>
    </row>
    <row r="244" spans="1:71" ht="24.95" customHeight="1">
      <c r="A244" s="505"/>
      <c r="B244" s="345" t="s">
        <v>10</v>
      </c>
      <c r="C244" s="345"/>
      <c r="D244" s="345"/>
      <c r="E244" s="345"/>
      <c r="F244" s="345"/>
      <c r="G244" s="74"/>
      <c r="H244" s="74"/>
      <c r="I244" s="74"/>
      <c r="J244" s="74"/>
      <c r="K244" s="74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361"/>
      <c r="Y244" s="453"/>
    </row>
    <row r="245" spans="1:71" ht="24.95" hidden="1" customHeight="1">
      <c r="A245" s="506"/>
      <c r="B245" s="345" t="s">
        <v>463</v>
      </c>
      <c r="C245" s="345"/>
      <c r="D245" s="345"/>
      <c r="E245" s="345"/>
      <c r="F245" s="345"/>
      <c r="G245" s="74"/>
      <c r="H245" s="74"/>
      <c r="I245" s="74"/>
      <c r="J245" s="74"/>
      <c r="K245" s="74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361"/>
      <c r="Y245" s="453"/>
    </row>
    <row r="246" spans="1:71" ht="24.95" customHeight="1">
      <c r="A246" s="410" t="s">
        <v>174</v>
      </c>
      <c r="B246" s="82" t="s">
        <v>89</v>
      </c>
      <c r="C246" s="167"/>
      <c r="D246" s="167"/>
      <c r="E246" s="167"/>
      <c r="F246" s="167"/>
      <c r="G246" s="80">
        <f>G250</f>
        <v>0</v>
      </c>
      <c r="H246" s="80">
        <f t="shared" ref="H246:W246" si="130">H250</f>
        <v>0</v>
      </c>
      <c r="I246" s="80">
        <f t="shared" si="130"/>
        <v>0</v>
      </c>
      <c r="J246" s="80">
        <f t="shared" si="130"/>
        <v>0</v>
      </c>
      <c r="K246" s="80">
        <f t="shared" si="130"/>
        <v>0</v>
      </c>
      <c r="L246" s="131">
        <f t="shared" si="130"/>
        <v>0</v>
      </c>
      <c r="M246" s="131"/>
      <c r="N246" s="131"/>
      <c r="O246" s="131"/>
      <c r="P246" s="131"/>
      <c r="Q246" s="131">
        <f t="shared" si="130"/>
        <v>0</v>
      </c>
      <c r="R246" s="131"/>
      <c r="S246" s="131"/>
      <c r="T246" s="131"/>
      <c r="U246" s="131"/>
      <c r="V246" s="131">
        <f t="shared" si="130"/>
        <v>0</v>
      </c>
      <c r="W246" s="131">
        <f t="shared" si="130"/>
        <v>0</v>
      </c>
      <c r="X246" s="361"/>
      <c r="Y246" s="338"/>
    </row>
    <row r="247" spans="1:71" ht="24.95" customHeight="1">
      <c r="A247" s="411"/>
      <c r="B247" s="82" t="s">
        <v>272</v>
      </c>
      <c r="C247" s="167"/>
      <c r="D247" s="167"/>
      <c r="E247" s="167"/>
      <c r="F247" s="167"/>
      <c r="G247" s="80">
        <f>G248+G249</f>
        <v>0</v>
      </c>
      <c r="H247" s="80">
        <f t="shared" ref="H247:W247" si="131">H248+H249</f>
        <v>0</v>
      </c>
      <c r="I247" s="80">
        <f t="shared" si="131"/>
        <v>0</v>
      </c>
      <c r="J247" s="80">
        <f t="shared" si="131"/>
        <v>0</v>
      </c>
      <c r="K247" s="80">
        <f t="shared" si="131"/>
        <v>0</v>
      </c>
      <c r="L247" s="131">
        <f t="shared" si="131"/>
        <v>0</v>
      </c>
      <c r="M247" s="131"/>
      <c r="N247" s="131"/>
      <c r="O247" s="131"/>
      <c r="P247" s="131"/>
      <c r="Q247" s="131">
        <f t="shared" si="131"/>
        <v>0</v>
      </c>
      <c r="R247" s="131"/>
      <c r="S247" s="131"/>
      <c r="T247" s="131"/>
      <c r="U247" s="131"/>
      <c r="V247" s="131">
        <f t="shared" si="131"/>
        <v>0</v>
      </c>
      <c r="W247" s="131">
        <f t="shared" si="131"/>
        <v>100000</v>
      </c>
      <c r="X247" s="361"/>
      <c r="Y247" s="338"/>
    </row>
    <row r="248" spans="1:71" ht="24.95" customHeight="1">
      <c r="A248" s="411"/>
      <c r="B248" s="82" t="s">
        <v>10</v>
      </c>
      <c r="C248" s="167"/>
      <c r="D248" s="167"/>
      <c r="E248" s="167"/>
      <c r="F248" s="167"/>
      <c r="G248" s="80">
        <f>G252</f>
        <v>0</v>
      </c>
      <c r="H248" s="80">
        <f t="shared" ref="H248:W249" si="132">H252</f>
        <v>0</v>
      </c>
      <c r="I248" s="80">
        <f t="shared" si="132"/>
        <v>0</v>
      </c>
      <c r="J248" s="80">
        <f t="shared" si="132"/>
        <v>0</v>
      </c>
      <c r="K248" s="80">
        <f t="shared" si="132"/>
        <v>0</v>
      </c>
      <c r="L248" s="131">
        <f t="shared" si="132"/>
        <v>0</v>
      </c>
      <c r="M248" s="131"/>
      <c r="N248" s="131"/>
      <c r="O248" s="131"/>
      <c r="P248" s="131"/>
      <c r="Q248" s="131">
        <f t="shared" si="132"/>
        <v>0</v>
      </c>
      <c r="R248" s="131"/>
      <c r="S248" s="131"/>
      <c r="T248" s="131"/>
      <c r="U248" s="131"/>
      <c r="V248" s="131">
        <f t="shared" si="132"/>
        <v>0</v>
      </c>
      <c r="W248" s="131">
        <f t="shared" si="132"/>
        <v>100000</v>
      </c>
      <c r="X248" s="361"/>
      <c r="Y248" s="338"/>
    </row>
    <row r="249" spans="1:71" ht="24.95" hidden="1" customHeight="1">
      <c r="A249" s="446"/>
      <c r="B249" s="82" t="s">
        <v>463</v>
      </c>
      <c r="C249" s="167"/>
      <c r="D249" s="167"/>
      <c r="E249" s="167"/>
      <c r="F249" s="167"/>
      <c r="G249" s="80">
        <f>G253</f>
        <v>0</v>
      </c>
      <c r="H249" s="80">
        <f t="shared" si="132"/>
        <v>0</v>
      </c>
      <c r="I249" s="80">
        <f t="shared" si="132"/>
        <v>0</v>
      </c>
      <c r="J249" s="80">
        <f t="shared" si="132"/>
        <v>0</v>
      </c>
      <c r="K249" s="80">
        <f t="shared" si="132"/>
        <v>0</v>
      </c>
      <c r="L249" s="131">
        <f t="shared" si="132"/>
        <v>0</v>
      </c>
      <c r="M249" s="131"/>
      <c r="N249" s="131"/>
      <c r="O249" s="131"/>
      <c r="P249" s="131"/>
      <c r="Q249" s="131">
        <f t="shared" si="132"/>
        <v>0</v>
      </c>
      <c r="R249" s="131"/>
      <c r="S249" s="131"/>
      <c r="T249" s="131"/>
      <c r="U249" s="131"/>
      <c r="V249" s="131">
        <f t="shared" si="132"/>
        <v>0</v>
      </c>
      <c r="W249" s="131"/>
      <c r="X249" s="361"/>
      <c r="Y249" s="338"/>
    </row>
    <row r="250" spans="1:71" ht="24.95" customHeight="1">
      <c r="A250" s="500" t="s">
        <v>277</v>
      </c>
      <c r="B250" s="167" t="s">
        <v>89</v>
      </c>
      <c r="C250" s="167"/>
      <c r="D250" s="167"/>
      <c r="E250" s="167"/>
      <c r="F250" s="167"/>
      <c r="G250" s="74"/>
      <c r="H250" s="74"/>
      <c r="I250" s="74"/>
      <c r="J250" s="74"/>
      <c r="K250" s="74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361"/>
      <c r="Y250" s="453" t="s">
        <v>604</v>
      </c>
    </row>
    <row r="251" spans="1:71" s="55" customFormat="1" ht="24.95" customHeight="1">
      <c r="A251" s="500"/>
      <c r="B251" s="167" t="s">
        <v>272</v>
      </c>
      <c r="C251" s="167"/>
      <c r="D251" s="167"/>
      <c r="E251" s="167"/>
      <c r="F251" s="167"/>
      <c r="G251" s="74">
        <f>G252+G253</f>
        <v>0</v>
      </c>
      <c r="H251" s="74">
        <f t="shared" ref="H251:V251" si="133">H252+H253</f>
        <v>0</v>
      </c>
      <c r="I251" s="74">
        <f t="shared" si="133"/>
        <v>0</v>
      </c>
      <c r="J251" s="74">
        <f t="shared" si="133"/>
        <v>0</v>
      </c>
      <c r="K251" s="74">
        <f t="shared" si="133"/>
        <v>0</v>
      </c>
      <c r="L251" s="132">
        <f t="shared" si="133"/>
        <v>0</v>
      </c>
      <c r="M251" s="132"/>
      <c r="N251" s="132"/>
      <c r="O251" s="132"/>
      <c r="P251" s="132"/>
      <c r="Q251" s="132">
        <f t="shared" si="133"/>
        <v>0</v>
      </c>
      <c r="R251" s="132"/>
      <c r="S251" s="132"/>
      <c r="T251" s="132"/>
      <c r="U251" s="132"/>
      <c r="V251" s="132">
        <f t="shared" si="133"/>
        <v>0</v>
      </c>
      <c r="W251" s="132">
        <f>W252</f>
        <v>100000</v>
      </c>
      <c r="X251" s="361"/>
      <c r="Y251" s="453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  <c r="BI251" s="150"/>
      <c r="BJ251" s="150"/>
      <c r="BK251" s="150"/>
      <c r="BL251" s="150"/>
      <c r="BM251" s="150"/>
      <c r="BN251" s="150"/>
      <c r="BO251" s="150"/>
      <c r="BP251" s="150"/>
      <c r="BQ251" s="150"/>
      <c r="BR251" s="150"/>
      <c r="BS251" s="150"/>
    </row>
    <row r="252" spans="1:71" s="55" customFormat="1" ht="28.5" customHeight="1">
      <c r="A252" s="500"/>
      <c r="B252" s="167" t="s">
        <v>10</v>
      </c>
      <c r="C252" s="167"/>
      <c r="D252" s="167"/>
      <c r="E252" s="167"/>
      <c r="F252" s="167"/>
      <c r="G252" s="74"/>
      <c r="H252" s="74"/>
      <c r="I252" s="74"/>
      <c r="J252" s="74"/>
      <c r="K252" s="74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>
        <v>0</v>
      </c>
      <c r="W252" s="132">
        <v>100000</v>
      </c>
      <c r="X252" s="361"/>
      <c r="Y252" s="453"/>
      <c r="AT252" s="150"/>
      <c r="AU252" s="150"/>
      <c r="AV252" s="150"/>
      <c r="AW252" s="150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150"/>
      <c r="BI252" s="150"/>
      <c r="BJ252" s="150"/>
      <c r="BK252" s="150"/>
      <c r="BL252" s="150"/>
      <c r="BM252" s="150"/>
      <c r="BN252" s="150"/>
      <c r="BO252" s="150"/>
      <c r="BP252" s="150"/>
      <c r="BQ252" s="150"/>
      <c r="BR252" s="150"/>
      <c r="BS252" s="150"/>
    </row>
    <row r="253" spans="1:71" s="55" customFormat="1" ht="24.95" hidden="1" customHeight="1">
      <c r="A253" s="500"/>
      <c r="B253" s="167" t="s">
        <v>463</v>
      </c>
      <c r="C253" s="167"/>
      <c r="D253" s="167"/>
      <c r="E253" s="167"/>
      <c r="F253" s="167"/>
      <c r="G253" s="74"/>
      <c r="H253" s="74"/>
      <c r="I253" s="74"/>
      <c r="J253" s="74"/>
      <c r="K253" s="74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361"/>
      <c r="Y253" s="453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  <c r="BI253" s="150"/>
      <c r="BJ253" s="150"/>
      <c r="BK253" s="150"/>
      <c r="BL253" s="150"/>
      <c r="BM253" s="150"/>
      <c r="BN253" s="150"/>
      <c r="BO253" s="150"/>
      <c r="BP253" s="150"/>
      <c r="BQ253" s="150"/>
      <c r="BR253" s="150"/>
      <c r="BS253" s="150"/>
    </row>
    <row r="254" spans="1:71" s="55" customFormat="1" ht="24.95" customHeight="1">
      <c r="A254" s="472" t="s">
        <v>103</v>
      </c>
      <c r="B254" s="82" t="s">
        <v>89</v>
      </c>
      <c r="C254" s="82"/>
      <c r="D254" s="82"/>
      <c r="E254" s="82"/>
      <c r="F254" s="82"/>
      <c r="G254" s="80">
        <f t="shared" ref="G254:M254" si="134">G260+G264+G269+G273+G277+G290+G294+G298+G303+G281</f>
        <v>8.9430000000000014</v>
      </c>
      <c r="H254" s="80">
        <f t="shared" si="134"/>
        <v>0</v>
      </c>
      <c r="I254" s="80">
        <f t="shared" si="134"/>
        <v>0</v>
      </c>
      <c r="J254" s="80">
        <f t="shared" si="134"/>
        <v>0</v>
      </c>
      <c r="K254" s="80">
        <f t="shared" si="134"/>
        <v>8.9430000000000014</v>
      </c>
      <c r="L254" s="131">
        <f t="shared" si="134"/>
        <v>4.3470000000000004</v>
      </c>
      <c r="M254" s="131">
        <f t="shared" si="134"/>
        <v>0</v>
      </c>
      <c r="N254" s="131">
        <v>2.85</v>
      </c>
      <c r="O254" s="131">
        <f>O260+O264+O269+O273+O277+O290+O294+O298+O303+O281</f>
        <v>0</v>
      </c>
      <c r="P254" s="131">
        <f>P264+P269</f>
        <v>1.4970000000000001</v>
      </c>
      <c r="Q254" s="131">
        <f>Q264+Q269+Q273+Q277+Q286+Q290+Q294+Q298+Q303+Q307+Q311</f>
        <v>1.62</v>
      </c>
      <c r="R254" s="131">
        <f t="shared" ref="R254:U254" si="135">R264+R269+R273+R277+R286+R290+R294+R298+R303+R307+R311</f>
        <v>0</v>
      </c>
      <c r="S254" s="131">
        <f t="shared" si="135"/>
        <v>0</v>
      </c>
      <c r="T254" s="131">
        <f t="shared" si="135"/>
        <v>0</v>
      </c>
      <c r="U254" s="131">
        <f t="shared" si="135"/>
        <v>1.62</v>
      </c>
      <c r="V254" s="131">
        <f>V264+V269+V273+V277+V286+V290+V294+V298+V303+V307+V311</f>
        <v>0.30000000000000004</v>
      </c>
      <c r="W254" s="131">
        <f>W264+W269+W273+W277+W286+W290+W294+W298+W303+W307+W311+W281</f>
        <v>6.6</v>
      </c>
      <c r="X254" s="361"/>
      <c r="Y254" s="82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  <c r="BI254" s="150"/>
      <c r="BJ254" s="150"/>
      <c r="BK254" s="150"/>
      <c r="BL254" s="150"/>
      <c r="BM254" s="150"/>
      <c r="BN254" s="150"/>
      <c r="BO254" s="150"/>
      <c r="BP254" s="150"/>
      <c r="BQ254" s="150"/>
      <c r="BR254" s="150"/>
      <c r="BS254" s="150"/>
    </row>
    <row r="255" spans="1:71" ht="24.95" customHeight="1">
      <c r="A255" s="473"/>
      <c r="B255" s="82" t="s">
        <v>272</v>
      </c>
      <c r="C255" s="82"/>
      <c r="D255" s="82"/>
      <c r="E255" s="82"/>
      <c r="F255" s="82"/>
      <c r="G255" s="80">
        <f t="shared" ref="G255:P255" si="136">G256+G259</f>
        <v>516214.4</v>
      </c>
      <c r="H255" s="80">
        <f t="shared" si="136"/>
        <v>72276</v>
      </c>
      <c r="I255" s="80">
        <f t="shared" si="136"/>
        <v>92605.200000000012</v>
      </c>
      <c r="J255" s="80">
        <f t="shared" si="136"/>
        <v>170942.4</v>
      </c>
      <c r="K255" s="80">
        <f t="shared" si="136"/>
        <v>180390.80000000002</v>
      </c>
      <c r="L255" s="131">
        <f t="shared" si="136"/>
        <v>370473.1</v>
      </c>
      <c r="M255" s="131">
        <f t="shared" si="136"/>
        <v>11325</v>
      </c>
      <c r="N255" s="131">
        <f t="shared" si="136"/>
        <v>60071.199999999997</v>
      </c>
      <c r="O255" s="131">
        <f t="shared" si="136"/>
        <v>78817.2</v>
      </c>
      <c r="P255" s="131">
        <f t="shared" si="136"/>
        <v>220259.7</v>
      </c>
      <c r="Q255" s="131">
        <f>Q256+Q259+Q258</f>
        <v>1304798.8999999999</v>
      </c>
      <c r="R255" s="131">
        <f t="shared" ref="R255:U255" si="137">R256+R259+R258</f>
        <v>0</v>
      </c>
      <c r="S255" s="131">
        <f t="shared" si="137"/>
        <v>119200</v>
      </c>
      <c r="T255" s="131">
        <f t="shared" si="137"/>
        <v>466321.9</v>
      </c>
      <c r="U255" s="131">
        <f t="shared" si="137"/>
        <v>719277</v>
      </c>
      <c r="V255" s="131">
        <f t="shared" ref="V255:W255" si="138">V256+V259</f>
        <v>1331335.8</v>
      </c>
      <c r="W255" s="131">
        <f t="shared" si="138"/>
        <v>731050</v>
      </c>
      <c r="X255" s="361"/>
      <c r="Y255" s="82"/>
    </row>
    <row r="256" spans="1:71" ht="24.95" customHeight="1">
      <c r="A256" s="473"/>
      <c r="B256" s="82" t="s">
        <v>10</v>
      </c>
      <c r="C256" s="82"/>
      <c r="D256" s="82"/>
      <c r="E256" s="82"/>
      <c r="F256" s="82"/>
      <c r="G256" s="80">
        <f>G262+G271+G276+G292+G296+G301</f>
        <v>72276</v>
      </c>
      <c r="H256" s="80">
        <f>H262+H271+H276+H292+H296+H301</f>
        <v>72276</v>
      </c>
      <c r="I256" s="80">
        <f>I262+I271+I276+I292+I296+I301</f>
        <v>0</v>
      </c>
      <c r="J256" s="80">
        <f>J262+J271+J276+J292+J296+J301</f>
        <v>0</v>
      </c>
      <c r="K256" s="80">
        <f>K262+K271+K276+K292+K296+K301</f>
        <v>0</v>
      </c>
      <c r="L256" s="131">
        <f>L262+L271+L276+L292+L296+L301+L279</f>
        <v>181849.2</v>
      </c>
      <c r="M256" s="131">
        <f>M262+M271+M276+M292+M296+M301+M279</f>
        <v>11325</v>
      </c>
      <c r="N256" s="131">
        <f>N262+N271+N276+N292+N296+N301+N279</f>
        <v>60071.199999999997</v>
      </c>
      <c r="O256" s="131">
        <f>O262+O271+O276+O292+O296+O301+O279</f>
        <v>34616.699999999997</v>
      </c>
      <c r="P256" s="131">
        <f>P262+P271+P276+P292+P296+P301+P279</f>
        <v>75836.3</v>
      </c>
      <c r="Q256" s="131">
        <f>Q262+Q266+Q275+Q288</f>
        <v>1098973</v>
      </c>
      <c r="R256" s="131">
        <f t="shared" ref="R256:W256" si="139">R262+R266+R275+R288</f>
        <v>0</v>
      </c>
      <c r="S256" s="131">
        <f t="shared" si="139"/>
        <v>89200</v>
      </c>
      <c r="T256" s="131">
        <f t="shared" si="139"/>
        <v>356321.9</v>
      </c>
      <c r="U256" s="131">
        <f t="shared" si="139"/>
        <v>653451.1</v>
      </c>
      <c r="V256" s="131">
        <f>V262+V266+V275+V288+V309+V313</f>
        <v>992385.8</v>
      </c>
      <c r="W256" s="131">
        <f t="shared" si="139"/>
        <v>731050</v>
      </c>
      <c r="X256" s="361"/>
      <c r="Y256" s="82"/>
    </row>
    <row r="257" spans="1:32" ht="24.6" hidden="1" customHeight="1">
      <c r="A257" s="473"/>
      <c r="B257" s="82" t="s">
        <v>463</v>
      </c>
      <c r="C257" s="82"/>
      <c r="D257" s="82"/>
      <c r="E257" s="82"/>
      <c r="F257" s="82"/>
      <c r="G257" s="80"/>
      <c r="H257" s="80"/>
      <c r="I257" s="80"/>
      <c r="J257" s="80"/>
      <c r="K257" s="80"/>
      <c r="L257" s="131"/>
      <c r="M257" s="131"/>
      <c r="N257" s="131"/>
      <c r="O257" s="131"/>
      <c r="P257" s="131"/>
      <c r="Q257" s="131">
        <f>Q267+Q272+Q280+Q285+Q293+Q297+Q306+Q310+Q314</f>
        <v>0</v>
      </c>
      <c r="R257" s="131"/>
      <c r="S257" s="131"/>
      <c r="T257" s="131"/>
      <c r="U257" s="131"/>
      <c r="V257" s="131">
        <f t="shared" ref="V257" si="140">V267+V272+V280+V285+V293+V297+V306+V310+V314</f>
        <v>0</v>
      </c>
      <c r="W257" s="131"/>
      <c r="X257" s="361"/>
      <c r="Y257" s="82"/>
    </row>
    <row r="258" spans="1:32" ht="24.6" hidden="1" customHeight="1">
      <c r="A258" s="473"/>
      <c r="B258" s="82" t="s">
        <v>493</v>
      </c>
      <c r="C258" s="82"/>
      <c r="D258" s="82"/>
      <c r="E258" s="82"/>
      <c r="F258" s="82"/>
      <c r="G258" s="80"/>
      <c r="H258" s="80"/>
      <c r="I258" s="80"/>
      <c r="J258" s="80"/>
      <c r="K258" s="80"/>
      <c r="L258" s="131"/>
      <c r="M258" s="131"/>
      <c r="N258" s="131"/>
      <c r="O258" s="131"/>
      <c r="P258" s="131"/>
      <c r="Q258" s="131">
        <f>Q300</f>
        <v>0</v>
      </c>
      <c r="R258" s="131">
        <f t="shared" ref="R258:U258" si="141">R300</f>
        <v>0</v>
      </c>
      <c r="S258" s="131">
        <f t="shared" si="141"/>
        <v>0</v>
      </c>
      <c r="T258" s="131">
        <f t="shared" si="141"/>
        <v>0</v>
      </c>
      <c r="U258" s="131">
        <f t="shared" si="141"/>
        <v>0</v>
      </c>
      <c r="V258" s="131"/>
      <c r="W258" s="131"/>
      <c r="X258" s="361"/>
      <c r="Y258" s="82"/>
    </row>
    <row r="259" spans="1:32" ht="24.95" customHeight="1">
      <c r="A259" s="474"/>
      <c r="B259" s="82" t="s">
        <v>427</v>
      </c>
      <c r="C259" s="82"/>
      <c r="D259" s="82"/>
      <c r="E259" s="82"/>
      <c r="F259" s="82"/>
      <c r="G259" s="80">
        <f>G268+G272+G280+G293+G297+G302+G314+G285</f>
        <v>443938.4</v>
      </c>
      <c r="H259" s="80">
        <f>H268+H272+H280+H293+H297+H302+H314+H285</f>
        <v>0</v>
      </c>
      <c r="I259" s="80">
        <f>I268+I272+I280+I293+I297+I302+I314+I285</f>
        <v>92605.200000000012</v>
      </c>
      <c r="J259" s="80">
        <f>J268+J272+J280+J293+J297+J302+J314+J285</f>
        <v>170942.4</v>
      </c>
      <c r="K259" s="80">
        <f>K268+K272+K280+K293+K297+K302+K314+K285</f>
        <v>180390.80000000002</v>
      </c>
      <c r="L259" s="131">
        <f>L268+L272+L280+L293+L302</f>
        <v>188623.9</v>
      </c>
      <c r="M259" s="131">
        <f>M268+M272+M280+M293+M302</f>
        <v>0</v>
      </c>
      <c r="N259" s="131">
        <f>N268+N272+N280+N293+N302</f>
        <v>0</v>
      </c>
      <c r="O259" s="131">
        <f>O268+O272+O280+O293+O302</f>
        <v>44200.5</v>
      </c>
      <c r="P259" s="131">
        <f>P268+P272+P280+P293+P302</f>
        <v>144423.4</v>
      </c>
      <c r="Q259" s="131">
        <f>Q263+Q268</f>
        <v>205825.90000000002</v>
      </c>
      <c r="R259" s="131">
        <f t="shared" ref="R259:U259" si="142">R263+R268</f>
        <v>0</v>
      </c>
      <c r="S259" s="131">
        <f t="shared" si="142"/>
        <v>30000</v>
      </c>
      <c r="T259" s="131">
        <f t="shared" si="142"/>
        <v>110000</v>
      </c>
      <c r="U259" s="131">
        <f t="shared" si="142"/>
        <v>65825.900000000009</v>
      </c>
      <c r="V259" s="131">
        <f>V263+V268+V289</f>
        <v>338950</v>
      </c>
      <c r="W259" s="131">
        <f>W263+W268+W289</f>
        <v>0</v>
      </c>
      <c r="X259" s="361"/>
      <c r="Y259" s="82"/>
    </row>
    <row r="260" spans="1:32" ht="24.95" customHeight="1">
      <c r="A260" s="451" t="s">
        <v>541</v>
      </c>
      <c r="B260" s="167" t="s">
        <v>89</v>
      </c>
      <c r="C260" s="167">
        <v>176</v>
      </c>
      <c r="D260" s="167" t="s">
        <v>15</v>
      </c>
      <c r="E260" s="167">
        <v>6100404</v>
      </c>
      <c r="F260" s="167">
        <v>414</v>
      </c>
      <c r="G260" s="74">
        <f>SUM(H260:K260)</f>
        <v>0</v>
      </c>
      <c r="H260" s="74"/>
      <c r="I260" s="74"/>
      <c r="J260" s="74">
        <v>0</v>
      </c>
      <c r="K260" s="74">
        <v>0</v>
      </c>
      <c r="L260" s="132">
        <v>0</v>
      </c>
      <c r="M260" s="132"/>
      <c r="N260" s="132"/>
      <c r="O260" s="132"/>
      <c r="P260" s="132"/>
      <c r="Q260" s="132">
        <v>0</v>
      </c>
      <c r="R260" s="132"/>
      <c r="S260" s="132"/>
      <c r="T260" s="132"/>
      <c r="U260" s="132"/>
      <c r="V260" s="132"/>
      <c r="W260" s="132"/>
      <c r="X260" s="361"/>
      <c r="Y260" s="453" t="s">
        <v>583</v>
      </c>
      <c r="Z260" s="58"/>
      <c r="AF260" s="54">
        <v>24.7</v>
      </c>
    </row>
    <row r="261" spans="1:32" ht="30.75" customHeight="1">
      <c r="A261" s="454"/>
      <c r="B261" s="167" t="s">
        <v>272</v>
      </c>
      <c r="C261" s="167"/>
      <c r="D261" s="167"/>
      <c r="E261" s="167"/>
      <c r="F261" s="167"/>
      <c r="G261" s="74">
        <f>G262</f>
        <v>19697.3</v>
      </c>
      <c r="H261" s="74">
        <f t="shared" ref="H261:L261" si="143">H262</f>
        <v>19697.3</v>
      </c>
      <c r="I261" s="74">
        <f t="shared" si="143"/>
        <v>0</v>
      </c>
      <c r="J261" s="74">
        <f t="shared" si="143"/>
        <v>0</v>
      </c>
      <c r="K261" s="74">
        <f t="shared" si="143"/>
        <v>0</v>
      </c>
      <c r="L261" s="132">
        <f t="shared" si="143"/>
        <v>0</v>
      </c>
      <c r="M261" s="132"/>
      <c r="N261" s="132"/>
      <c r="O261" s="132"/>
      <c r="P261" s="132"/>
      <c r="Q261" s="132">
        <f>Q262+Q263</f>
        <v>851129.4</v>
      </c>
      <c r="R261" s="132">
        <f t="shared" ref="R261:W261" si="144">R262+R263</f>
        <v>0</v>
      </c>
      <c r="S261" s="132">
        <f t="shared" si="144"/>
        <v>50000</v>
      </c>
      <c r="T261" s="132">
        <f t="shared" si="144"/>
        <v>140000</v>
      </c>
      <c r="U261" s="132">
        <f t="shared" si="144"/>
        <v>661129.4</v>
      </c>
      <c r="V261" s="132">
        <f t="shared" si="144"/>
        <v>745900</v>
      </c>
      <c r="W261" s="132">
        <f t="shared" si="144"/>
        <v>451050</v>
      </c>
      <c r="X261" s="361"/>
      <c r="Y261" s="453"/>
      <c r="Z261" s="160"/>
    </row>
    <row r="262" spans="1:32" ht="24.95" customHeight="1">
      <c r="A262" s="454"/>
      <c r="B262" s="167" t="s">
        <v>10</v>
      </c>
      <c r="C262" s="167"/>
      <c r="D262" s="167"/>
      <c r="E262" s="167"/>
      <c r="F262" s="167"/>
      <c r="G262" s="74">
        <f>SUM(H262:K262)</f>
        <v>19697.3</v>
      </c>
      <c r="H262" s="74">
        <v>19697.3</v>
      </c>
      <c r="I262" s="74"/>
      <c r="J262" s="74"/>
      <c r="K262" s="74"/>
      <c r="L262" s="132"/>
      <c r="M262" s="132"/>
      <c r="N262" s="132"/>
      <c r="O262" s="132"/>
      <c r="P262" s="132"/>
      <c r="Q262" s="132">
        <f>S262+T262+U262</f>
        <v>745303.5</v>
      </c>
      <c r="R262" s="132"/>
      <c r="S262" s="132">
        <v>50000</v>
      </c>
      <c r="T262" s="132">
        <v>100000</v>
      </c>
      <c r="U262" s="132">
        <f>75000+65500+70100+37136.5+22858.1+150.3+324558.6</f>
        <v>595303.5</v>
      </c>
      <c r="V262" s="132">
        <f>360000+178950</f>
        <v>538950</v>
      </c>
      <c r="W262" s="132">
        <v>451050</v>
      </c>
      <c r="X262" s="361"/>
      <c r="Y262" s="453"/>
    </row>
    <row r="263" spans="1:32" ht="24.95" customHeight="1">
      <c r="A263" s="452"/>
      <c r="B263" s="237" t="s">
        <v>427</v>
      </c>
      <c r="C263" s="237"/>
      <c r="D263" s="237"/>
      <c r="E263" s="237"/>
      <c r="F263" s="237"/>
      <c r="G263" s="74"/>
      <c r="H263" s="74"/>
      <c r="I263" s="74"/>
      <c r="J263" s="74"/>
      <c r="K263" s="74"/>
      <c r="L263" s="132"/>
      <c r="M263" s="132"/>
      <c r="N263" s="132"/>
      <c r="O263" s="132"/>
      <c r="P263" s="132"/>
      <c r="Q263" s="132">
        <f>S263+T263+U263</f>
        <v>105825.90000000001</v>
      </c>
      <c r="R263" s="132"/>
      <c r="S263" s="132"/>
      <c r="T263" s="132">
        <v>40000</v>
      </c>
      <c r="U263" s="132">
        <f>40090+2752+22833.6+150.3</f>
        <v>65825.900000000009</v>
      </c>
      <c r="V263" s="132">
        <f>178950+28000</f>
        <v>206950</v>
      </c>
      <c r="W263" s="132"/>
      <c r="X263" s="361"/>
      <c r="Y263" s="453"/>
    </row>
    <row r="264" spans="1:32" ht="24.95" customHeight="1">
      <c r="A264" s="509" t="s">
        <v>361</v>
      </c>
      <c r="B264" s="167" t="s">
        <v>89</v>
      </c>
      <c r="C264" s="167">
        <v>176</v>
      </c>
      <c r="D264" s="167" t="s">
        <v>15</v>
      </c>
      <c r="E264" s="167">
        <v>6100404</v>
      </c>
      <c r="F264" s="167">
        <v>414</v>
      </c>
      <c r="G264" s="74">
        <f>SUM(H264:K264)</f>
        <v>0</v>
      </c>
      <c r="H264" s="74">
        <v>0</v>
      </c>
      <c r="I264" s="74">
        <v>0</v>
      </c>
      <c r="J264" s="74">
        <v>0</v>
      </c>
      <c r="K264" s="74">
        <v>0</v>
      </c>
      <c r="L264" s="132">
        <v>0.8</v>
      </c>
      <c r="M264" s="132"/>
      <c r="N264" s="132"/>
      <c r="O264" s="132"/>
      <c r="P264" s="132">
        <v>0.8</v>
      </c>
      <c r="Q264" s="132"/>
      <c r="R264" s="132"/>
      <c r="S264" s="132"/>
      <c r="T264" s="132"/>
      <c r="U264" s="132"/>
      <c r="V264" s="132"/>
      <c r="W264" s="132">
        <v>1.9</v>
      </c>
      <c r="X264" s="361"/>
      <c r="Y264" s="453" t="s">
        <v>611</v>
      </c>
    </row>
    <row r="265" spans="1:32" ht="24.95" customHeight="1">
      <c r="A265" s="509"/>
      <c r="B265" s="167" t="s">
        <v>272</v>
      </c>
      <c r="C265" s="167"/>
      <c r="D265" s="167"/>
      <c r="E265" s="167"/>
      <c r="F265" s="167"/>
      <c r="G265" s="74"/>
      <c r="H265" s="74"/>
      <c r="I265" s="74"/>
      <c r="J265" s="74"/>
      <c r="K265" s="74"/>
      <c r="L265" s="132">
        <f>L268</f>
        <v>19000</v>
      </c>
      <c r="M265" s="132">
        <f t="shared" ref="M265:P265" si="145">M268</f>
        <v>0</v>
      </c>
      <c r="N265" s="132">
        <f t="shared" si="145"/>
        <v>0</v>
      </c>
      <c r="O265" s="132">
        <f t="shared" si="145"/>
        <v>0</v>
      </c>
      <c r="P265" s="132">
        <f t="shared" si="145"/>
        <v>19000</v>
      </c>
      <c r="Q265" s="132">
        <f>Q266+Q268+Q267</f>
        <v>229029.9</v>
      </c>
      <c r="R265" s="132">
        <f t="shared" ref="R265:U265" si="146">R266+R268+R267</f>
        <v>0</v>
      </c>
      <c r="S265" s="132">
        <f t="shared" si="146"/>
        <v>30000</v>
      </c>
      <c r="T265" s="132">
        <f t="shared" si="146"/>
        <v>169521.9</v>
      </c>
      <c r="U265" s="132">
        <f t="shared" si="146"/>
        <v>29508</v>
      </c>
      <c r="V265" s="132">
        <f>V266+V268</f>
        <v>563820</v>
      </c>
      <c r="W265" s="132">
        <f>W266+W268</f>
        <v>75000</v>
      </c>
      <c r="X265" s="361"/>
      <c r="Y265" s="453"/>
      <c r="Z265" s="160"/>
    </row>
    <row r="266" spans="1:32" ht="24.95" customHeight="1">
      <c r="A266" s="509"/>
      <c r="B266" s="167" t="s">
        <v>10</v>
      </c>
      <c r="C266" s="167"/>
      <c r="D266" s="167"/>
      <c r="E266" s="167"/>
      <c r="F266" s="167"/>
      <c r="G266" s="74"/>
      <c r="H266" s="74"/>
      <c r="I266" s="74"/>
      <c r="J266" s="74"/>
      <c r="K266" s="74"/>
      <c r="L266" s="132"/>
      <c r="M266" s="132"/>
      <c r="N266" s="132"/>
      <c r="O266" s="132"/>
      <c r="P266" s="132"/>
      <c r="Q266" s="132">
        <f>T266+U266</f>
        <v>129029.9</v>
      </c>
      <c r="R266" s="132"/>
      <c r="S266" s="132"/>
      <c r="T266" s="132">
        <f>147692-48170.1</f>
        <v>99521.9</v>
      </c>
      <c r="U266" s="132">
        <v>29508</v>
      </c>
      <c r="V266" s="132">
        <f>310000+60820+61000</f>
        <v>431820</v>
      </c>
      <c r="W266" s="132">
        <f>200000-125000</f>
        <v>75000</v>
      </c>
      <c r="X266" s="361"/>
      <c r="Y266" s="453"/>
    </row>
    <row r="267" spans="1:32" ht="0.6" customHeight="1">
      <c r="A267" s="509"/>
      <c r="B267" s="192" t="s">
        <v>463</v>
      </c>
      <c r="C267" s="192"/>
      <c r="D267" s="192"/>
      <c r="E267" s="192"/>
      <c r="F267" s="192"/>
      <c r="G267" s="74"/>
      <c r="H267" s="74"/>
      <c r="I267" s="74"/>
      <c r="J267" s="74"/>
      <c r="K267" s="74"/>
      <c r="L267" s="132"/>
      <c r="M267" s="132"/>
      <c r="N267" s="132"/>
      <c r="O267" s="132"/>
      <c r="P267" s="132"/>
      <c r="Q267" s="132">
        <v>0</v>
      </c>
      <c r="R267" s="132"/>
      <c r="S267" s="132"/>
      <c r="T267" s="132"/>
      <c r="U267" s="132"/>
      <c r="V267" s="132"/>
      <c r="W267" s="193"/>
      <c r="X267" s="361"/>
      <c r="Y267" s="453"/>
    </row>
    <row r="268" spans="1:32" ht="24.95" customHeight="1">
      <c r="A268" s="509"/>
      <c r="B268" s="167" t="s">
        <v>427</v>
      </c>
      <c r="C268" s="167"/>
      <c r="D268" s="167"/>
      <c r="E268" s="167"/>
      <c r="F268" s="167"/>
      <c r="G268" s="74"/>
      <c r="H268" s="74"/>
      <c r="I268" s="74"/>
      <c r="J268" s="74"/>
      <c r="K268" s="74"/>
      <c r="L268" s="132">
        <v>19000</v>
      </c>
      <c r="M268" s="132"/>
      <c r="N268" s="132"/>
      <c r="O268" s="132"/>
      <c r="P268" s="132">
        <v>19000</v>
      </c>
      <c r="Q268" s="132">
        <f>S268+T268</f>
        <v>100000</v>
      </c>
      <c r="R268" s="132"/>
      <c r="S268" s="132">
        <v>30000</v>
      </c>
      <c r="T268" s="132">
        <v>70000</v>
      </c>
      <c r="U268" s="132"/>
      <c r="V268" s="132">
        <f>165000-65000+32000</f>
        <v>132000</v>
      </c>
      <c r="W268" s="186"/>
      <c r="X268" s="361"/>
      <c r="Y268" s="453"/>
      <c r="AA268" s="58"/>
    </row>
    <row r="269" spans="1:32" ht="0.6" customHeight="1">
      <c r="A269" s="507" t="s">
        <v>362</v>
      </c>
      <c r="B269" s="167" t="s">
        <v>89</v>
      </c>
      <c r="C269" s="167">
        <v>176</v>
      </c>
      <c r="D269" s="167" t="s">
        <v>15</v>
      </c>
      <c r="E269" s="167">
        <v>6100404</v>
      </c>
      <c r="F269" s="167">
        <v>414</v>
      </c>
      <c r="G269" s="74">
        <f>SUM(H269:K269)</f>
        <v>2.7430000000000003</v>
      </c>
      <c r="H269" s="74"/>
      <c r="I269" s="74"/>
      <c r="J269" s="74"/>
      <c r="K269" s="74">
        <f>2.16+0.583</f>
        <v>2.7430000000000003</v>
      </c>
      <c r="L269" s="132">
        <f>1.28-0.583</f>
        <v>0.69700000000000006</v>
      </c>
      <c r="M269" s="132"/>
      <c r="N269" s="132"/>
      <c r="O269" s="132"/>
      <c r="P269" s="132">
        <v>0.69700000000000006</v>
      </c>
      <c r="Q269" s="132"/>
      <c r="R269" s="132"/>
      <c r="S269" s="132"/>
      <c r="T269" s="132"/>
      <c r="U269" s="132"/>
      <c r="V269" s="132"/>
      <c r="W269" s="132"/>
      <c r="X269" s="361"/>
      <c r="Y269" s="453" t="s">
        <v>333</v>
      </c>
    </row>
    <row r="270" spans="1:32" ht="24.6" hidden="1" customHeight="1">
      <c r="A270" s="507"/>
      <c r="B270" s="167" t="s">
        <v>272</v>
      </c>
      <c r="C270" s="167"/>
      <c r="D270" s="167"/>
      <c r="E270" s="167"/>
      <c r="F270" s="167"/>
      <c r="G270" s="74">
        <f>G271+G272</f>
        <v>94240.200000000012</v>
      </c>
      <c r="H270" s="74">
        <f t="shared" ref="H270:V270" si="147">H271+H272</f>
        <v>14925</v>
      </c>
      <c r="I270" s="74">
        <f t="shared" si="147"/>
        <v>6417.6</v>
      </c>
      <c r="J270" s="74">
        <f t="shared" si="147"/>
        <v>59794.7</v>
      </c>
      <c r="K270" s="74">
        <f t="shared" si="147"/>
        <v>13102.900000000001</v>
      </c>
      <c r="L270" s="132">
        <f t="shared" si="147"/>
        <v>25457.200000000001</v>
      </c>
      <c r="M270" s="132">
        <f t="shared" si="147"/>
        <v>0</v>
      </c>
      <c r="N270" s="132">
        <f t="shared" si="147"/>
        <v>0</v>
      </c>
      <c r="O270" s="132">
        <f t="shared" si="147"/>
        <v>4327.7</v>
      </c>
      <c r="P270" s="132">
        <f t="shared" si="147"/>
        <v>21129.5</v>
      </c>
      <c r="Q270" s="132">
        <f t="shared" si="147"/>
        <v>0</v>
      </c>
      <c r="R270" s="132"/>
      <c r="S270" s="132"/>
      <c r="T270" s="132"/>
      <c r="U270" s="132"/>
      <c r="V270" s="132">
        <f t="shared" si="147"/>
        <v>0</v>
      </c>
      <c r="W270" s="132"/>
      <c r="X270" s="361"/>
      <c r="Y270" s="453"/>
    </row>
    <row r="271" spans="1:32" ht="24.6" hidden="1" customHeight="1">
      <c r="A271" s="507"/>
      <c r="B271" s="167" t="s">
        <v>10</v>
      </c>
      <c r="C271" s="167"/>
      <c r="D271" s="167"/>
      <c r="E271" s="167"/>
      <c r="F271" s="167"/>
      <c r="G271" s="74">
        <f>SUM(H271:K271)</f>
        <v>14925</v>
      </c>
      <c r="H271" s="74">
        <v>14925</v>
      </c>
      <c r="I271" s="74"/>
      <c r="J271" s="74"/>
      <c r="K271" s="74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361"/>
      <c r="Y271" s="453"/>
    </row>
    <row r="272" spans="1:32" ht="24.6" hidden="1" customHeight="1">
      <c r="A272" s="507"/>
      <c r="B272" s="167" t="s">
        <v>34</v>
      </c>
      <c r="C272" s="167"/>
      <c r="D272" s="167"/>
      <c r="E272" s="167"/>
      <c r="F272" s="167"/>
      <c r="G272" s="74">
        <f>SUM(H272:K272)</f>
        <v>79315.200000000012</v>
      </c>
      <c r="H272" s="74"/>
      <c r="I272" s="74">
        <v>6417.6</v>
      </c>
      <c r="J272" s="74">
        <v>59794.7</v>
      </c>
      <c r="K272" s="74">
        <f>15023.2-1920.3</f>
        <v>13102.900000000001</v>
      </c>
      <c r="L272" s="132">
        <v>25457.200000000001</v>
      </c>
      <c r="M272" s="132"/>
      <c r="N272" s="132"/>
      <c r="O272" s="132">
        <v>4327.7</v>
      </c>
      <c r="P272" s="132">
        <v>21129.5</v>
      </c>
      <c r="Q272" s="132"/>
      <c r="R272" s="132"/>
      <c r="S272" s="132"/>
      <c r="T272" s="132"/>
      <c r="U272" s="132"/>
      <c r="V272" s="132"/>
      <c r="W272" s="132"/>
      <c r="X272" s="361"/>
      <c r="Y272" s="453"/>
    </row>
    <row r="273" spans="1:25" ht="24.95" customHeight="1">
      <c r="A273" s="508" t="s">
        <v>423</v>
      </c>
      <c r="B273" s="167" t="s">
        <v>89</v>
      </c>
      <c r="C273" s="167">
        <v>176</v>
      </c>
      <c r="D273" s="167" t="s">
        <v>15</v>
      </c>
      <c r="E273" s="167">
        <v>6100404</v>
      </c>
      <c r="F273" s="167">
        <v>414</v>
      </c>
      <c r="G273" s="74">
        <f>SUM(H273:K273)</f>
        <v>0</v>
      </c>
      <c r="H273" s="74">
        <v>0</v>
      </c>
      <c r="I273" s="74">
        <v>0</v>
      </c>
      <c r="J273" s="74">
        <v>0</v>
      </c>
      <c r="K273" s="74">
        <v>0</v>
      </c>
      <c r="L273" s="132">
        <v>2.85</v>
      </c>
      <c r="M273" s="132"/>
      <c r="N273" s="132">
        <v>2.85</v>
      </c>
      <c r="O273" s="132"/>
      <c r="P273" s="132"/>
      <c r="Q273" s="132">
        <f>U273</f>
        <v>1.62</v>
      </c>
      <c r="R273" s="132"/>
      <c r="S273" s="132"/>
      <c r="T273" s="132"/>
      <c r="U273" s="132">
        <v>1.62</v>
      </c>
      <c r="V273" s="132"/>
      <c r="W273" s="132"/>
      <c r="X273" s="361"/>
      <c r="Y273" s="453" t="s">
        <v>244</v>
      </c>
    </row>
    <row r="274" spans="1:25" ht="24.95" customHeight="1">
      <c r="A274" s="508"/>
      <c r="B274" s="167" t="s">
        <v>272</v>
      </c>
      <c r="C274" s="167"/>
      <c r="D274" s="167"/>
      <c r="E274" s="167"/>
      <c r="F274" s="167"/>
      <c r="G274" s="74">
        <f>G276</f>
        <v>0</v>
      </c>
      <c r="H274" s="74">
        <f t="shared" ref="H274:P274" si="148">H276</f>
        <v>0</v>
      </c>
      <c r="I274" s="74">
        <f t="shared" si="148"/>
        <v>0</v>
      </c>
      <c r="J274" s="74">
        <f t="shared" si="148"/>
        <v>0</v>
      </c>
      <c r="K274" s="74">
        <f t="shared" si="148"/>
        <v>0</v>
      </c>
      <c r="L274" s="132">
        <f t="shared" si="148"/>
        <v>45071.199999999997</v>
      </c>
      <c r="M274" s="132">
        <f t="shared" si="148"/>
        <v>0</v>
      </c>
      <c r="N274" s="132">
        <f t="shared" si="148"/>
        <v>45071.199999999997</v>
      </c>
      <c r="O274" s="132">
        <f t="shared" si="148"/>
        <v>0</v>
      </c>
      <c r="P274" s="132">
        <f t="shared" si="148"/>
        <v>0</v>
      </c>
      <c r="Q274" s="132">
        <f>Q275+Q276</f>
        <v>224639.6</v>
      </c>
      <c r="R274" s="132">
        <f t="shared" ref="R274:U274" si="149">R275+R276</f>
        <v>0</v>
      </c>
      <c r="S274" s="132">
        <f t="shared" si="149"/>
        <v>39200</v>
      </c>
      <c r="T274" s="132">
        <f t="shared" si="149"/>
        <v>156800</v>
      </c>
      <c r="U274" s="132">
        <f t="shared" si="149"/>
        <v>28639.599999999999</v>
      </c>
      <c r="V274" s="132">
        <f>V275+V276</f>
        <v>0</v>
      </c>
      <c r="W274" s="132"/>
      <c r="X274" s="361"/>
      <c r="Y274" s="453"/>
    </row>
    <row r="275" spans="1:25" ht="24.95" customHeight="1">
      <c r="A275" s="508"/>
      <c r="B275" s="167" t="s">
        <v>10</v>
      </c>
      <c r="C275" s="167"/>
      <c r="D275" s="167"/>
      <c r="E275" s="167"/>
      <c r="F275" s="167"/>
      <c r="G275" s="74"/>
      <c r="H275" s="74"/>
      <c r="I275" s="74"/>
      <c r="J275" s="74"/>
      <c r="K275" s="74"/>
      <c r="L275" s="132">
        <v>45071.199999999997</v>
      </c>
      <c r="M275" s="132"/>
      <c r="N275" s="132">
        <v>45071.199999999997</v>
      </c>
      <c r="O275" s="132"/>
      <c r="P275" s="132"/>
      <c r="Q275" s="132">
        <f>S275+T275+U275</f>
        <v>224639.6</v>
      </c>
      <c r="R275" s="132"/>
      <c r="S275" s="132">
        <v>39200</v>
      </c>
      <c r="T275" s="132">
        <v>156800</v>
      </c>
      <c r="U275" s="132">
        <f>38639.6-10000</f>
        <v>28639.599999999999</v>
      </c>
      <c r="V275" s="132"/>
      <c r="W275" s="132"/>
      <c r="X275" s="361"/>
      <c r="Y275" s="453"/>
    </row>
    <row r="276" spans="1:25" ht="0.6" customHeight="1">
      <c r="A276" s="508"/>
      <c r="B276" s="167" t="s">
        <v>427</v>
      </c>
      <c r="C276" s="167"/>
      <c r="D276" s="167"/>
      <c r="E276" s="167"/>
      <c r="F276" s="167"/>
      <c r="G276" s="74"/>
      <c r="H276" s="74"/>
      <c r="I276" s="74"/>
      <c r="J276" s="74"/>
      <c r="K276" s="74"/>
      <c r="L276" s="132">
        <v>45071.199999999997</v>
      </c>
      <c r="M276" s="132"/>
      <c r="N276" s="132">
        <v>45071.199999999997</v>
      </c>
      <c r="O276" s="132"/>
      <c r="P276" s="132"/>
      <c r="Q276" s="132"/>
      <c r="R276" s="132"/>
      <c r="S276" s="132"/>
      <c r="T276" s="132"/>
      <c r="U276" s="132"/>
      <c r="V276" s="132">
        <v>0</v>
      </c>
      <c r="W276" s="132"/>
      <c r="X276" s="361"/>
      <c r="Y276" s="453"/>
    </row>
    <row r="277" spans="1:25" ht="24.95" hidden="1" customHeight="1">
      <c r="A277" s="455" t="s">
        <v>398</v>
      </c>
      <c r="B277" s="167" t="s">
        <v>89</v>
      </c>
      <c r="C277" s="167"/>
      <c r="D277" s="167"/>
      <c r="E277" s="167"/>
      <c r="F277" s="167"/>
      <c r="G277" s="74">
        <f>SUM(H277:K277)</f>
        <v>0</v>
      </c>
      <c r="H277" s="74"/>
      <c r="I277" s="74"/>
      <c r="J277" s="74"/>
      <c r="K277" s="74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361"/>
      <c r="Y277" s="453" t="s">
        <v>252</v>
      </c>
    </row>
    <row r="278" spans="1:25" ht="24.95" hidden="1" customHeight="1">
      <c r="A278" s="455"/>
      <c r="B278" s="167" t="s">
        <v>272</v>
      </c>
      <c r="C278" s="167"/>
      <c r="D278" s="167"/>
      <c r="E278" s="167"/>
      <c r="F278" s="167"/>
      <c r="G278" s="74">
        <f>G280</f>
        <v>0</v>
      </c>
      <c r="H278" s="74">
        <f>H280</f>
        <v>0</v>
      </c>
      <c r="I278" s="74">
        <f>I280</f>
        <v>0</v>
      </c>
      <c r="J278" s="74">
        <f>J280</f>
        <v>0</v>
      </c>
      <c r="K278" s="74">
        <f>K280</f>
        <v>0</v>
      </c>
      <c r="L278" s="132">
        <f>L279+L280</f>
        <v>52071.799999999996</v>
      </c>
      <c r="M278" s="132">
        <f t="shared" ref="M278:O278" si="150">M279</f>
        <v>0</v>
      </c>
      <c r="N278" s="132">
        <f t="shared" si="150"/>
        <v>0</v>
      </c>
      <c r="O278" s="132">
        <f t="shared" si="150"/>
        <v>7616.7</v>
      </c>
      <c r="P278" s="132">
        <f>P279+P280</f>
        <v>44455.1</v>
      </c>
      <c r="Q278" s="132">
        <f>Q279</f>
        <v>0</v>
      </c>
      <c r="R278" s="132"/>
      <c r="S278" s="132"/>
      <c r="T278" s="132"/>
      <c r="U278" s="132"/>
      <c r="V278" s="132">
        <f>V280</f>
        <v>0</v>
      </c>
      <c r="W278" s="132">
        <f>W280</f>
        <v>0</v>
      </c>
      <c r="X278" s="361"/>
      <c r="Y278" s="453"/>
    </row>
    <row r="279" spans="1:25" ht="27.6" hidden="1" customHeight="1">
      <c r="A279" s="455"/>
      <c r="B279" s="167" t="s">
        <v>10</v>
      </c>
      <c r="C279" s="167"/>
      <c r="D279" s="167"/>
      <c r="E279" s="167"/>
      <c r="F279" s="167"/>
      <c r="G279" s="74"/>
      <c r="H279" s="74"/>
      <c r="I279" s="74"/>
      <c r="J279" s="74"/>
      <c r="K279" s="74"/>
      <c r="L279" s="132">
        <v>44804.2</v>
      </c>
      <c r="M279" s="132"/>
      <c r="N279" s="132"/>
      <c r="O279" s="132">
        <v>7616.7</v>
      </c>
      <c r="P279" s="132">
        <v>37187.5</v>
      </c>
      <c r="Q279" s="132"/>
      <c r="R279" s="132"/>
      <c r="S279" s="132"/>
      <c r="T279" s="132"/>
      <c r="U279" s="132"/>
      <c r="V279" s="132"/>
      <c r="W279" s="132"/>
      <c r="X279" s="361"/>
      <c r="Y279" s="453"/>
    </row>
    <row r="280" spans="1:25" ht="0.6" customHeight="1">
      <c r="A280" s="455"/>
      <c r="B280" s="167" t="s">
        <v>427</v>
      </c>
      <c r="C280" s="167"/>
      <c r="D280" s="167"/>
      <c r="E280" s="167"/>
      <c r="F280" s="167"/>
      <c r="G280" s="74"/>
      <c r="H280" s="74"/>
      <c r="I280" s="74"/>
      <c r="J280" s="74"/>
      <c r="K280" s="74"/>
      <c r="L280" s="135">
        <v>7267.6</v>
      </c>
      <c r="M280" s="132"/>
      <c r="N280" s="132"/>
      <c r="O280" s="132"/>
      <c r="P280" s="132">
        <v>7267.6</v>
      </c>
      <c r="Q280" s="132"/>
      <c r="R280" s="132"/>
      <c r="S280" s="132"/>
      <c r="T280" s="132"/>
      <c r="U280" s="132"/>
      <c r="V280" s="132"/>
      <c r="W280" s="132"/>
      <c r="X280" s="361"/>
      <c r="Y280" s="453"/>
    </row>
    <row r="281" spans="1:25" ht="24.6" hidden="1" customHeight="1">
      <c r="A281" s="455" t="s">
        <v>424</v>
      </c>
      <c r="B281" s="167" t="s">
        <v>89</v>
      </c>
      <c r="C281" s="167"/>
      <c r="D281" s="167"/>
      <c r="E281" s="167"/>
      <c r="F281" s="167"/>
      <c r="G281" s="74"/>
      <c r="H281" s="74"/>
      <c r="I281" s="74"/>
      <c r="J281" s="74"/>
      <c r="K281" s="74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51"/>
      <c r="X281" s="361"/>
      <c r="Y281" s="453" t="s">
        <v>402</v>
      </c>
    </row>
    <row r="282" spans="1:25" ht="24.6" hidden="1" customHeight="1">
      <c r="A282" s="455"/>
      <c r="B282" s="167" t="s">
        <v>272</v>
      </c>
      <c r="C282" s="167"/>
      <c r="D282" s="167"/>
      <c r="E282" s="167"/>
      <c r="F282" s="167"/>
      <c r="G282" s="74">
        <f t="shared" ref="G282:L282" si="151">G283+G285</f>
        <v>0</v>
      </c>
      <c r="H282" s="74">
        <f t="shared" si="151"/>
        <v>0</v>
      </c>
      <c r="I282" s="74">
        <f t="shared" si="151"/>
        <v>0</v>
      </c>
      <c r="J282" s="74">
        <f t="shared" si="151"/>
        <v>0</v>
      </c>
      <c r="K282" s="74">
        <f t="shared" si="151"/>
        <v>0</v>
      </c>
      <c r="L282" s="132">
        <f t="shared" si="151"/>
        <v>0</v>
      </c>
      <c r="M282" s="132"/>
      <c r="N282" s="132"/>
      <c r="O282" s="132"/>
      <c r="P282" s="132"/>
      <c r="Q282" s="132"/>
      <c r="R282" s="132"/>
      <c r="S282" s="132"/>
      <c r="T282" s="132"/>
      <c r="U282" s="132"/>
      <c r="V282" s="132">
        <f>V285+V283+V284</f>
        <v>0</v>
      </c>
      <c r="W282" s="132"/>
      <c r="X282" s="361"/>
      <c r="Y282" s="453"/>
    </row>
    <row r="283" spans="1:25" ht="24.6" hidden="1" customHeight="1">
      <c r="A283" s="455"/>
      <c r="B283" s="167" t="s">
        <v>10</v>
      </c>
      <c r="C283" s="167"/>
      <c r="D283" s="167"/>
      <c r="E283" s="167"/>
      <c r="F283" s="167"/>
      <c r="G283" s="74"/>
      <c r="H283" s="74"/>
      <c r="I283" s="74"/>
      <c r="J283" s="74"/>
      <c r="K283" s="74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>
        <v>0</v>
      </c>
      <c r="W283" s="132"/>
      <c r="X283" s="361"/>
      <c r="Y283" s="453"/>
    </row>
    <row r="284" spans="1:25" ht="24.6" hidden="1" customHeight="1">
      <c r="A284" s="455"/>
      <c r="B284" s="192" t="s">
        <v>427</v>
      </c>
      <c r="C284" s="192"/>
      <c r="D284" s="192"/>
      <c r="E284" s="192"/>
      <c r="F284" s="192"/>
      <c r="G284" s="74"/>
      <c r="H284" s="74"/>
      <c r="I284" s="74"/>
      <c r="J284" s="74"/>
      <c r="K284" s="74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361"/>
      <c r="Y284" s="453"/>
    </row>
    <row r="285" spans="1:25" ht="24.6" hidden="1" customHeight="1">
      <c r="A285" s="455"/>
      <c r="B285" s="167" t="s">
        <v>34</v>
      </c>
      <c r="C285" s="167"/>
      <c r="D285" s="167"/>
      <c r="E285" s="167"/>
      <c r="F285" s="167"/>
      <c r="G285" s="74"/>
      <c r="H285" s="74"/>
      <c r="I285" s="74"/>
      <c r="J285" s="74"/>
      <c r="K285" s="74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>
        <v>0</v>
      </c>
      <c r="W285" s="132"/>
      <c r="X285" s="361"/>
      <c r="Y285" s="453"/>
    </row>
    <row r="286" spans="1:25" ht="23.45" customHeight="1">
      <c r="A286" s="451" t="s">
        <v>502</v>
      </c>
      <c r="B286" s="167" t="s">
        <v>89</v>
      </c>
      <c r="C286" s="167"/>
      <c r="D286" s="167"/>
      <c r="E286" s="167"/>
      <c r="F286" s="167"/>
      <c r="G286" s="74"/>
      <c r="H286" s="74"/>
      <c r="I286" s="74"/>
      <c r="J286" s="74"/>
      <c r="K286" s="74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51"/>
      <c r="W286" s="132">
        <v>4.7</v>
      </c>
      <c r="X286" s="361"/>
      <c r="Y286" s="453" t="s">
        <v>503</v>
      </c>
    </row>
    <row r="287" spans="1:25" ht="24.6" customHeight="1">
      <c r="A287" s="454"/>
      <c r="B287" s="167" t="s">
        <v>272</v>
      </c>
      <c r="C287" s="167"/>
      <c r="D287" s="167"/>
      <c r="E287" s="167"/>
      <c r="F287" s="167"/>
      <c r="G287" s="74"/>
      <c r="H287" s="74"/>
      <c r="I287" s="74"/>
      <c r="J287" s="74"/>
      <c r="K287" s="74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>
        <f>V289</f>
        <v>0</v>
      </c>
      <c r="W287" s="132">
        <f>W288+W289</f>
        <v>205000</v>
      </c>
      <c r="X287" s="361"/>
      <c r="Y287" s="453"/>
    </row>
    <row r="288" spans="1:25" ht="24.6" customHeight="1">
      <c r="A288" s="454"/>
      <c r="B288" s="167" t="s">
        <v>10</v>
      </c>
      <c r="C288" s="167"/>
      <c r="D288" s="167"/>
      <c r="E288" s="167"/>
      <c r="F288" s="167"/>
      <c r="G288" s="74"/>
      <c r="H288" s="74"/>
      <c r="I288" s="74"/>
      <c r="J288" s="74"/>
      <c r="K288" s="74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>
        <f>80000+125000</f>
        <v>205000</v>
      </c>
      <c r="X288" s="361"/>
      <c r="Y288" s="453"/>
    </row>
    <row r="289" spans="1:71" ht="24.6" customHeight="1">
      <c r="A289" s="452"/>
      <c r="B289" s="167" t="s">
        <v>427</v>
      </c>
      <c r="C289" s="167"/>
      <c r="D289" s="167"/>
      <c r="E289" s="167"/>
      <c r="F289" s="167"/>
      <c r="G289" s="74"/>
      <c r="H289" s="74"/>
      <c r="I289" s="74"/>
      <c r="J289" s="74"/>
      <c r="K289" s="74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361"/>
      <c r="Y289" s="453"/>
    </row>
    <row r="290" spans="1:71" ht="24.95" hidden="1" customHeight="1">
      <c r="A290" s="451" t="s">
        <v>363</v>
      </c>
      <c r="B290" s="167" t="s">
        <v>89</v>
      </c>
      <c r="C290" s="167">
        <v>176</v>
      </c>
      <c r="D290" s="167" t="s">
        <v>15</v>
      </c>
      <c r="E290" s="167">
        <v>6100404</v>
      </c>
      <c r="F290" s="167">
        <v>414</v>
      </c>
      <c r="G290" s="74">
        <f>SUM(H290:K290)</f>
        <v>0</v>
      </c>
      <c r="H290" s="74">
        <v>0</v>
      </c>
      <c r="I290" s="74"/>
      <c r="J290" s="74"/>
      <c r="K290" s="74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361"/>
      <c r="Y290" s="453" t="s">
        <v>426</v>
      </c>
    </row>
    <row r="291" spans="1:71" ht="24.95" hidden="1" customHeight="1">
      <c r="A291" s="454"/>
      <c r="B291" s="167" t="s">
        <v>272</v>
      </c>
      <c r="C291" s="167"/>
      <c r="D291" s="167"/>
      <c r="E291" s="167"/>
      <c r="F291" s="167"/>
      <c r="G291" s="74">
        <f>G292+G293</f>
        <v>42480</v>
      </c>
      <c r="H291" s="74">
        <f t="shared" ref="H291:V291" si="152">H292+H293</f>
        <v>0</v>
      </c>
      <c r="I291" s="74">
        <f t="shared" si="152"/>
        <v>3728.8</v>
      </c>
      <c r="J291" s="74">
        <f t="shared" si="152"/>
        <v>26432</v>
      </c>
      <c r="K291" s="74">
        <f t="shared" si="152"/>
        <v>12319.2</v>
      </c>
      <c r="L291" s="132">
        <f t="shared" si="152"/>
        <v>111973.8</v>
      </c>
      <c r="M291" s="132">
        <f t="shared" si="152"/>
        <v>11325</v>
      </c>
      <c r="N291" s="132">
        <f t="shared" si="152"/>
        <v>15000</v>
      </c>
      <c r="O291" s="132">
        <f t="shared" si="152"/>
        <v>47000</v>
      </c>
      <c r="P291" s="132">
        <f t="shared" si="152"/>
        <v>38648.800000000003</v>
      </c>
      <c r="Q291" s="132"/>
      <c r="R291" s="132"/>
      <c r="S291" s="132"/>
      <c r="T291" s="132">
        <f>T292</f>
        <v>0</v>
      </c>
      <c r="U291" s="132"/>
      <c r="V291" s="132">
        <f t="shared" si="152"/>
        <v>0</v>
      </c>
      <c r="W291" s="132"/>
      <c r="X291" s="361"/>
      <c r="Y291" s="453"/>
    </row>
    <row r="292" spans="1:71" ht="24.95" hidden="1" customHeight="1">
      <c r="A292" s="454"/>
      <c r="B292" s="167" t="s">
        <v>10</v>
      </c>
      <c r="C292" s="167"/>
      <c r="D292" s="167"/>
      <c r="E292" s="167"/>
      <c r="F292" s="167"/>
      <c r="G292" s="74">
        <f t="shared" ref="G292:G298" si="153">SUM(H292:K292)</f>
        <v>0</v>
      </c>
      <c r="H292" s="74"/>
      <c r="I292" s="74"/>
      <c r="J292" s="74"/>
      <c r="K292" s="74"/>
      <c r="L292" s="132">
        <f>61973.8+30000</f>
        <v>91973.8</v>
      </c>
      <c r="M292" s="132">
        <v>11325</v>
      </c>
      <c r="N292" s="132">
        <v>15000</v>
      </c>
      <c r="O292" s="132">
        <v>27000</v>
      </c>
      <c r="P292" s="132">
        <v>38648.800000000003</v>
      </c>
      <c r="Q292" s="132">
        <f>R292+S292+T292</f>
        <v>0</v>
      </c>
      <c r="R292" s="132"/>
      <c r="S292" s="132"/>
      <c r="T292" s="132"/>
      <c r="U292" s="132"/>
      <c r="V292" s="132"/>
      <c r="W292" s="132"/>
      <c r="X292" s="361"/>
      <c r="Y292" s="453"/>
    </row>
    <row r="293" spans="1:71" ht="0.6" hidden="1" customHeight="1">
      <c r="A293" s="452"/>
      <c r="B293" s="167" t="s">
        <v>34</v>
      </c>
      <c r="C293" s="167"/>
      <c r="D293" s="167"/>
      <c r="E293" s="167"/>
      <c r="F293" s="167"/>
      <c r="G293" s="74">
        <f t="shared" si="153"/>
        <v>42480</v>
      </c>
      <c r="H293" s="74"/>
      <c r="I293" s="74">
        <v>3728.8</v>
      </c>
      <c r="J293" s="74">
        <v>26432</v>
      </c>
      <c r="K293" s="74">
        <f>17039.2-4720</f>
        <v>12319.2</v>
      </c>
      <c r="L293" s="132">
        <v>20000</v>
      </c>
      <c r="M293" s="132"/>
      <c r="N293" s="132"/>
      <c r="O293" s="132">
        <v>20000</v>
      </c>
      <c r="P293" s="132"/>
      <c r="Q293" s="132"/>
      <c r="R293" s="132"/>
      <c r="S293" s="132"/>
      <c r="T293" s="132"/>
      <c r="U293" s="132"/>
      <c r="V293" s="132"/>
      <c r="W293" s="132"/>
      <c r="X293" s="361"/>
      <c r="Y293" s="453"/>
    </row>
    <row r="294" spans="1:71" ht="24.6" hidden="1" customHeight="1">
      <c r="A294" s="455" t="s">
        <v>401</v>
      </c>
      <c r="B294" s="167" t="s">
        <v>89</v>
      </c>
      <c r="C294" s="167">
        <v>176</v>
      </c>
      <c r="D294" s="167" t="s">
        <v>15</v>
      </c>
      <c r="E294" s="167">
        <v>6100404</v>
      </c>
      <c r="F294" s="167">
        <v>414</v>
      </c>
      <c r="G294" s="74">
        <f t="shared" si="153"/>
        <v>6.2</v>
      </c>
      <c r="H294" s="74"/>
      <c r="I294" s="74"/>
      <c r="J294" s="74"/>
      <c r="K294" s="74">
        <f>4.95+1.25</f>
        <v>6.2</v>
      </c>
      <c r="L294" s="132">
        <v>0</v>
      </c>
      <c r="M294" s="132"/>
      <c r="N294" s="132"/>
      <c r="O294" s="132"/>
      <c r="P294" s="132"/>
      <c r="Q294" s="132">
        <v>0</v>
      </c>
      <c r="R294" s="132"/>
      <c r="S294" s="132"/>
      <c r="T294" s="132"/>
      <c r="U294" s="132"/>
      <c r="V294" s="132"/>
      <c r="W294" s="151"/>
      <c r="X294" s="361"/>
      <c r="Y294" s="453" t="s">
        <v>459</v>
      </c>
    </row>
    <row r="295" spans="1:71" ht="24.6" hidden="1" customHeight="1">
      <c r="A295" s="455"/>
      <c r="B295" s="167" t="s">
        <v>272</v>
      </c>
      <c r="C295" s="167"/>
      <c r="D295" s="167"/>
      <c r="E295" s="167"/>
      <c r="F295" s="167"/>
      <c r="G295" s="74">
        <f t="shared" si="153"/>
        <v>359796.9</v>
      </c>
      <c r="H295" s="74">
        <f t="shared" ref="H295:W295" si="154">H296+H297</f>
        <v>37653.699999999997</v>
      </c>
      <c r="I295" s="74">
        <f t="shared" si="154"/>
        <v>82458.8</v>
      </c>
      <c r="J295" s="74">
        <f t="shared" si="154"/>
        <v>84715.7</v>
      </c>
      <c r="K295" s="74">
        <f t="shared" si="154"/>
        <v>154968.70000000001</v>
      </c>
      <c r="L295" s="132">
        <f t="shared" si="154"/>
        <v>0</v>
      </c>
      <c r="M295" s="132"/>
      <c r="N295" s="132"/>
      <c r="O295" s="132"/>
      <c r="P295" s="132"/>
      <c r="Q295" s="132">
        <f t="shared" si="154"/>
        <v>0</v>
      </c>
      <c r="R295" s="132"/>
      <c r="S295" s="132"/>
      <c r="T295" s="132"/>
      <c r="U295" s="132"/>
      <c r="V295" s="132">
        <f t="shared" si="154"/>
        <v>0</v>
      </c>
      <c r="W295" s="132">
        <f t="shared" si="154"/>
        <v>0</v>
      </c>
      <c r="X295" s="361"/>
      <c r="Y295" s="453"/>
      <c r="AC295" s="56"/>
    </row>
    <row r="296" spans="1:71" ht="24.6" hidden="1" customHeight="1">
      <c r="A296" s="455"/>
      <c r="B296" s="167" t="s">
        <v>10</v>
      </c>
      <c r="C296" s="167"/>
      <c r="D296" s="167"/>
      <c r="E296" s="167"/>
      <c r="F296" s="167"/>
      <c r="G296" s="74">
        <f t="shared" si="153"/>
        <v>37653.699999999997</v>
      </c>
      <c r="H296" s="74">
        <v>37653.699999999997</v>
      </c>
      <c r="I296" s="74">
        <f>502.5-502.5</f>
        <v>0</v>
      </c>
      <c r="J296" s="74">
        <f>1495.03-1495.03</f>
        <v>0</v>
      </c>
      <c r="K296" s="74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>
        <f>300000-300000</f>
        <v>0</v>
      </c>
      <c r="X296" s="361"/>
      <c r="Y296" s="453"/>
      <c r="Z296" s="56"/>
    </row>
    <row r="297" spans="1:71" ht="24.6" hidden="1" customHeight="1">
      <c r="A297" s="455"/>
      <c r="B297" s="167" t="s">
        <v>34</v>
      </c>
      <c r="C297" s="167"/>
      <c r="D297" s="167"/>
      <c r="E297" s="167"/>
      <c r="F297" s="167"/>
      <c r="G297" s="74">
        <f t="shared" si="153"/>
        <v>322143.2</v>
      </c>
      <c r="H297" s="74"/>
      <c r="I297" s="74">
        <f>82458.8</f>
        <v>82458.8</v>
      </c>
      <c r="J297" s="74">
        <f>84715.7</f>
        <v>84715.7</v>
      </c>
      <c r="K297" s="74">
        <f>70786.5+84182.2</f>
        <v>154968.70000000001</v>
      </c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361"/>
      <c r="Y297" s="453"/>
    </row>
    <row r="298" spans="1:71" ht="24.95" hidden="1" customHeight="1">
      <c r="A298" s="455" t="s">
        <v>281</v>
      </c>
      <c r="B298" s="167" t="s">
        <v>89</v>
      </c>
      <c r="C298" s="167"/>
      <c r="D298" s="167"/>
      <c r="E298" s="167"/>
      <c r="F298" s="167"/>
      <c r="G298" s="74">
        <f t="shared" si="153"/>
        <v>0</v>
      </c>
      <c r="H298" s="74"/>
      <c r="I298" s="74"/>
      <c r="J298" s="74"/>
      <c r="K298" s="74"/>
      <c r="L298" s="132">
        <v>0</v>
      </c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361"/>
      <c r="Y298" s="453" t="s">
        <v>360</v>
      </c>
    </row>
    <row r="299" spans="1:71" ht="24.95" hidden="1" customHeight="1">
      <c r="A299" s="455"/>
      <c r="B299" s="167" t="s">
        <v>272</v>
      </c>
      <c r="C299" s="167"/>
      <c r="D299" s="167"/>
      <c r="E299" s="167"/>
      <c r="F299" s="167"/>
      <c r="G299" s="74">
        <f>G301+G302</f>
        <v>0</v>
      </c>
      <c r="H299" s="74">
        <f t="shared" ref="H299:V299" si="155">H301+H302</f>
        <v>0</v>
      </c>
      <c r="I299" s="74">
        <f t="shared" si="155"/>
        <v>0</v>
      </c>
      <c r="J299" s="74">
        <f t="shared" si="155"/>
        <v>0</v>
      </c>
      <c r="K299" s="74">
        <f t="shared" si="155"/>
        <v>0</v>
      </c>
      <c r="L299" s="132">
        <f t="shared" si="155"/>
        <v>116899.1</v>
      </c>
      <c r="M299" s="132">
        <f t="shared" si="155"/>
        <v>0</v>
      </c>
      <c r="N299" s="132">
        <f t="shared" si="155"/>
        <v>0</v>
      </c>
      <c r="O299" s="132">
        <f t="shared" si="155"/>
        <v>19872.8</v>
      </c>
      <c r="P299" s="132">
        <f t="shared" si="155"/>
        <v>97026.3</v>
      </c>
      <c r="Q299" s="132">
        <f>Q301+Q300</f>
        <v>0</v>
      </c>
      <c r="R299" s="132">
        <f t="shared" ref="R299:U299" si="156">R301+R302</f>
        <v>0</v>
      </c>
      <c r="S299" s="132">
        <f t="shared" si="156"/>
        <v>0</v>
      </c>
      <c r="T299" s="132">
        <f t="shared" si="156"/>
        <v>0</v>
      </c>
      <c r="U299" s="132">
        <f t="shared" si="156"/>
        <v>0</v>
      </c>
      <c r="V299" s="132">
        <f t="shared" si="155"/>
        <v>0</v>
      </c>
      <c r="W299" s="132"/>
      <c r="X299" s="361"/>
      <c r="Y299" s="453"/>
    </row>
    <row r="300" spans="1:71" ht="24.95" hidden="1" customHeight="1">
      <c r="A300" s="455"/>
      <c r="B300" s="270" t="s">
        <v>492</v>
      </c>
      <c r="C300" s="270"/>
      <c r="D300" s="270"/>
      <c r="E300" s="270"/>
      <c r="F300" s="270"/>
      <c r="G300" s="74"/>
      <c r="H300" s="74"/>
      <c r="I300" s="74"/>
      <c r="J300" s="74"/>
      <c r="K300" s="74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361"/>
      <c r="Y300" s="453"/>
    </row>
    <row r="301" spans="1:71" ht="24.95" hidden="1" customHeight="1">
      <c r="A301" s="455"/>
      <c r="B301" s="167" t="s">
        <v>10</v>
      </c>
      <c r="C301" s="167"/>
      <c r="D301" s="167"/>
      <c r="E301" s="167"/>
      <c r="F301" s="167"/>
      <c r="G301" s="74">
        <f t="shared" ref="G301:G305" si="157">SUM(H301:K301)</f>
        <v>0</v>
      </c>
      <c r="H301" s="74"/>
      <c r="I301" s="74"/>
      <c r="J301" s="74"/>
      <c r="K301" s="74"/>
      <c r="L301" s="132"/>
      <c r="M301" s="132"/>
      <c r="N301" s="132"/>
      <c r="O301" s="132"/>
      <c r="P301" s="132"/>
      <c r="Q301" s="132">
        <f>R301+S301+T301+U301</f>
        <v>0</v>
      </c>
      <c r="R301" s="132"/>
      <c r="S301" s="132"/>
      <c r="T301" s="132"/>
      <c r="U301" s="132"/>
      <c r="V301" s="132"/>
      <c r="W301" s="132"/>
      <c r="X301" s="361"/>
      <c r="Y301" s="453"/>
    </row>
    <row r="302" spans="1:71" ht="23.45" hidden="1" customHeight="1">
      <c r="A302" s="455"/>
      <c r="B302" s="167" t="s">
        <v>427</v>
      </c>
      <c r="C302" s="167"/>
      <c r="D302" s="167"/>
      <c r="E302" s="167"/>
      <c r="F302" s="167"/>
      <c r="G302" s="74">
        <f t="shared" si="157"/>
        <v>0</v>
      </c>
      <c r="H302" s="74"/>
      <c r="I302" s="74"/>
      <c r="J302" s="74"/>
      <c r="K302" s="74"/>
      <c r="L302" s="132">
        <f>105899.1+11000</f>
        <v>116899.1</v>
      </c>
      <c r="M302" s="132"/>
      <c r="N302" s="132"/>
      <c r="O302" s="132">
        <v>19872.8</v>
      </c>
      <c r="P302" s="132">
        <v>97026.3</v>
      </c>
      <c r="Q302" s="132">
        <v>0</v>
      </c>
      <c r="R302" s="132"/>
      <c r="S302" s="132"/>
      <c r="T302" s="132"/>
      <c r="U302" s="132"/>
      <c r="V302" s="132"/>
      <c r="W302" s="132"/>
      <c r="X302" s="361"/>
      <c r="Y302" s="453"/>
    </row>
    <row r="303" spans="1:71" ht="24.6" hidden="1" customHeight="1">
      <c r="A303" s="451" t="s">
        <v>364</v>
      </c>
      <c r="B303" s="167" t="s">
        <v>89</v>
      </c>
      <c r="C303" s="167"/>
      <c r="D303" s="167"/>
      <c r="E303" s="167"/>
      <c r="F303" s="167"/>
      <c r="G303" s="74">
        <f t="shared" si="157"/>
        <v>0</v>
      </c>
      <c r="H303" s="74"/>
      <c r="I303" s="74"/>
      <c r="J303" s="74"/>
      <c r="K303" s="74"/>
      <c r="L303" s="132">
        <v>0</v>
      </c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361"/>
      <c r="Y303" s="453" t="s">
        <v>460</v>
      </c>
    </row>
    <row r="304" spans="1:71" s="55" customFormat="1" ht="24.6" hidden="1" customHeight="1">
      <c r="A304" s="454"/>
      <c r="B304" s="167" t="s">
        <v>272</v>
      </c>
      <c r="C304" s="167"/>
      <c r="D304" s="167"/>
      <c r="E304" s="167"/>
      <c r="F304" s="167"/>
      <c r="G304" s="74">
        <f t="shared" si="157"/>
        <v>0</v>
      </c>
      <c r="H304" s="74">
        <f>H305+H314</f>
        <v>0</v>
      </c>
      <c r="I304" s="74">
        <f>I305+I314</f>
        <v>0</v>
      </c>
      <c r="J304" s="74">
        <f>J305+J314</f>
        <v>0</v>
      </c>
      <c r="K304" s="74">
        <f>K305+K314</f>
        <v>0</v>
      </c>
      <c r="L304" s="132">
        <f>L305+L314</f>
        <v>0</v>
      </c>
      <c r="M304" s="132"/>
      <c r="N304" s="132"/>
      <c r="O304" s="132"/>
      <c r="P304" s="132"/>
      <c r="Q304" s="132">
        <f>Q305+Q314</f>
        <v>0</v>
      </c>
      <c r="R304" s="132"/>
      <c r="S304" s="132"/>
      <c r="T304" s="132"/>
      <c r="U304" s="132"/>
      <c r="V304" s="132">
        <f>V306</f>
        <v>0</v>
      </c>
      <c r="W304" s="132">
        <f>W306</f>
        <v>0</v>
      </c>
      <c r="X304" s="361"/>
      <c r="Y304" s="453"/>
      <c r="AT304" s="150"/>
      <c r="AU304" s="150"/>
      <c r="AV304" s="150"/>
      <c r="AW304" s="150"/>
      <c r="AX304" s="150"/>
      <c r="AY304" s="150"/>
      <c r="AZ304" s="150"/>
      <c r="BA304" s="150"/>
      <c r="BB304" s="150"/>
      <c r="BC304" s="150"/>
      <c r="BD304" s="150"/>
      <c r="BE304" s="150"/>
      <c r="BF304" s="150"/>
      <c r="BG304" s="150"/>
      <c r="BH304" s="150"/>
      <c r="BI304" s="150"/>
      <c r="BJ304" s="150"/>
      <c r="BK304" s="150"/>
      <c r="BL304" s="150"/>
      <c r="BM304" s="150"/>
      <c r="BN304" s="150"/>
      <c r="BO304" s="150"/>
      <c r="BP304" s="150"/>
      <c r="BQ304" s="150"/>
      <c r="BR304" s="150"/>
      <c r="BS304" s="150"/>
    </row>
    <row r="305" spans="1:74" s="55" customFormat="1" ht="24.6" hidden="1" customHeight="1">
      <c r="A305" s="454"/>
      <c r="B305" s="167" t="s">
        <v>10</v>
      </c>
      <c r="C305" s="167"/>
      <c r="D305" s="167"/>
      <c r="E305" s="167"/>
      <c r="F305" s="167"/>
      <c r="G305" s="74">
        <f t="shared" si="157"/>
        <v>0</v>
      </c>
      <c r="H305" s="74"/>
      <c r="I305" s="74"/>
      <c r="J305" s="74"/>
      <c r="K305" s="74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361"/>
      <c r="Y305" s="453"/>
      <c r="Z305" s="150"/>
      <c r="AA305" s="150"/>
      <c r="AB305" s="150"/>
      <c r="AC305" s="150"/>
      <c r="AD305" s="150"/>
      <c r="AE305" s="150"/>
      <c r="AF305" s="150"/>
      <c r="AG305" s="150"/>
      <c r="AH305" s="150"/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50"/>
      <c r="BB305" s="150"/>
      <c r="BC305" s="150"/>
      <c r="BD305" s="150"/>
      <c r="BE305" s="150"/>
      <c r="BF305" s="150"/>
      <c r="BG305" s="150"/>
      <c r="BH305" s="150"/>
      <c r="BI305" s="150"/>
      <c r="BJ305" s="150"/>
      <c r="BK305" s="150"/>
      <c r="BL305" s="150"/>
      <c r="BM305" s="150"/>
      <c r="BN305" s="150"/>
      <c r="BO305" s="150"/>
      <c r="BP305" s="150"/>
      <c r="BQ305" s="150"/>
      <c r="BR305" s="150"/>
      <c r="BS305" s="150"/>
    </row>
    <row r="306" spans="1:74" s="55" customFormat="1" ht="24.6" hidden="1" customHeight="1">
      <c r="A306" s="452"/>
      <c r="B306" s="169" t="s">
        <v>34</v>
      </c>
      <c r="C306" s="169"/>
      <c r="D306" s="169"/>
      <c r="E306" s="169"/>
      <c r="F306" s="169"/>
      <c r="G306" s="140">
        <v>0</v>
      </c>
      <c r="H306" s="140"/>
      <c r="I306" s="140"/>
      <c r="J306" s="140"/>
      <c r="K306" s="140"/>
      <c r="L306" s="141"/>
      <c r="M306" s="141"/>
      <c r="N306" s="141"/>
      <c r="O306" s="141"/>
      <c r="P306" s="141"/>
      <c r="Q306" s="159"/>
      <c r="R306" s="159"/>
      <c r="S306" s="159"/>
      <c r="T306" s="159"/>
      <c r="U306" s="159"/>
      <c r="V306" s="141">
        <v>0</v>
      </c>
      <c r="W306" s="141"/>
      <c r="X306" s="361"/>
      <c r="Y306" s="453"/>
      <c r="Z306" s="150"/>
      <c r="AA306" s="150"/>
      <c r="AB306" s="150"/>
      <c r="AC306" s="150"/>
      <c r="AD306" s="150"/>
      <c r="AE306" s="150"/>
      <c r="AF306" s="150"/>
      <c r="AG306" s="150"/>
      <c r="AH306" s="150"/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50"/>
      <c r="BB306" s="150"/>
      <c r="BC306" s="150"/>
      <c r="BD306" s="150"/>
      <c r="BE306" s="150"/>
      <c r="BF306" s="150"/>
      <c r="BG306" s="150"/>
      <c r="BH306" s="150"/>
      <c r="BI306" s="150"/>
      <c r="BJ306" s="150"/>
      <c r="BK306" s="150"/>
      <c r="BL306" s="150"/>
      <c r="BM306" s="150"/>
      <c r="BN306" s="150"/>
      <c r="BO306" s="150"/>
      <c r="BP306" s="150"/>
      <c r="BQ306" s="150"/>
      <c r="BR306" s="150"/>
      <c r="BS306" s="150"/>
    </row>
    <row r="307" spans="1:74" s="55" customFormat="1" ht="24.6" customHeight="1">
      <c r="A307" s="451" t="s">
        <v>365</v>
      </c>
      <c r="B307" s="169" t="s">
        <v>89</v>
      </c>
      <c r="C307" s="169"/>
      <c r="D307" s="169"/>
      <c r="E307" s="169"/>
      <c r="F307" s="169"/>
      <c r="G307" s="140"/>
      <c r="H307" s="140"/>
      <c r="I307" s="140"/>
      <c r="J307" s="140"/>
      <c r="K307" s="140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>
        <v>0.2</v>
      </c>
      <c r="W307" s="141"/>
      <c r="X307" s="361"/>
      <c r="Y307" s="453" t="s">
        <v>547</v>
      </c>
      <c r="Z307" s="150"/>
      <c r="AA307" s="150"/>
      <c r="AB307" s="150"/>
      <c r="AC307" s="150"/>
      <c r="AD307" s="150"/>
      <c r="AE307" s="150"/>
      <c r="AF307" s="150"/>
      <c r="AG307" s="150"/>
      <c r="AH307" s="150"/>
      <c r="AI307" s="150"/>
      <c r="AJ307" s="150"/>
      <c r="AK307" s="150"/>
      <c r="AL307" s="150"/>
      <c r="AM307" s="150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50"/>
      <c r="AY307" s="150"/>
      <c r="AZ307" s="150"/>
      <c r="BA307" s="150"/>
      <c r="BB307" s="150"/>
      <c r="BC307" s="150"/>
      <c r="BD307" s="150"/>
      <c r="BE307" s="150"/>
      <c r="BF307" s="150"/>
      <c r="BG307" s="150"/>
      <c r="BH307" s="150"/>
      <c r="BI307" s="150"/>
      <c r="BJ307" s="150"/>
      <c r="BK307" s="150"/>
      <c r="BL307" s="150"/>
      <c r="BM307" s="150"/>
      <c r="BN307" s="150"/>
      <c r="BO307" s="150"/>
      <c r="BP307" s="150"/>
      <c r="BQ307" s="150"/>
      <c r="BR307" s="150"/>
      <c r="BS307" s="150"/>
    </row>
    <row r="308" spans="1:74" s="55" customFormat="1" ht="24.6" customHeight="1">
      <c r="A308" s="454"/>
      <c r="B308" s="169" t="s">
        <v>272</v>
      </c>
      <c r="C308" s="169"/>
      <c r="D308" s="169"/>
      <c r="E308" s="169"/>
      <c r="F308" s="169"/>
      <c r="G308" s="140"/>
      <c r="H308" s="140"/>
      <c r="I308" s="140"/>
      <c r="J308" s="140"/>
      <c r="K308" s="140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>
        <f>V309</f>
        <v>6054.8</v>
      </c>
      <c r="W308" s="141">
        <f>W310</f>
        <v>0</v>
      </c>
      <c r="X308" s="361"/>
      <c r="Y308" s="453"/>
      <c r="Z308" s="150"/>
      <c r="AA308" s="150"/>
      <c r="AB308" s="150"/>
      <c r="AC308" s="150"/>
      <c r="AD308" s="150"/>
      <c r="AE308" s="150"/>
      <c r="AF308" s="150"/>
      <c r="AG308" s="150"/>
      <c r="AH308" s="150"/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50"/>
      <c r="BB308" s="150"/>
      <c r="BC308" s="150"/>
      <c r="BD308" s="150"/>
      <c r="BE308" s="150"/>
      <c r="BF308" s="150"/>
      <c r="BG308" s="150"/>
      <c r="BH308" s="150"/>
      <c r="BI308" s="150"/>
      <c r="BJ308" s="150"/>
      <c r="BK308" s="150"/>
      <c r="BL308" s="150"/>
      <c r="BM308" s="150"/>
      <c r="BN308" s="150"/>
      <c r="BO308" s="150"/>
      <c r="BP308" s="150"/>
      <c r="BQ308" s="150"/>
      <c r="BR308" s="150"/>
      <c r="BS308" s="150"/>
    </row>
    <row r="309" spans="1:74" s="55" customFormat="1" ht="24.6" customHeight="1">
      <c r="A309" s="454"/>
      <c r="B309" s="169" t="s">
        <v>10</v>
      </c>
      <c r="C309" s="169"/>
      <c r="D309" s="169"/>
      <c r="E309" s="169"/>
      <c r="F309" s="169"/>
      <c r="G309" s="140"/>
      <c r="H309" s="140"/>
      <c r="I309" s="140"/>
      <c r="J309" s="140"/>
      <c r="K309" s="140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>
        <v>6054.8</v>
      </c>
      <c r="W309" s="141"/>
      <c r="X309" s="361"/>
      <c r="Y309" s="453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50"/>
      <c r="BB309" s="150"/>
      <c r="BC309" s="150"/>
      <c r="BD309" s="150"/>
      <c r="BE309" s="150"/>
      <c r="BF309" s="150"/>
      <c r="BG309" s="150"/>
      <c r="BH309" s="150"/>
      <c r="BI309" s="150"/>
      <c r="BJ309" s="150"/>
      <c r="BK309" s="150"/>
      <c r="BL309" s="150"/>
      <c r="BM309" s="150"/>
      <c r="BN309" s="150"/>
      <c r="BO309" s="150"/>
      <c r="BP309" s="150"/>
      <c r="BQ309" s="150"/>
      <c r="BR309" s="150"/>
      <c r="BS309" s="150"/>
    </row>
    <row r="310" spans="1:74" s="55" customFormat="1" ht="24.6" customHeight="1">
      <c r="A310" s="452"/>
      <c r="B310" s="169" t="s">
        <v>34</v>
      </c>
      <c r="C310" s="169"/>
      <c r="D310" s="169"/>
      <c r="E310" s="169"/>
      <c r="F310" s="169"/>
      <c r="G310" s="140"/>
      <c r="H310" s="140"/>
      <c r="I310" s="140"/>
      <c r="J310" s="140"/>
      <c r="K310" s="140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361"/>
      <c r="Y310" s="453"/>
      <c r="Z310" s="150"/>
      <c r="AA310" s="150"/>
      <c r="AB310" s="150"/>
      <c r="AC310" s="150"/>
      <c r="AD310" s="150"/>
      <c r="AE310" s="150"/>
      <c r="AF310" s="150"/>
      <c r="AG310" s="150"/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  <c r="BB310" s="150"/>
      <c r="BC310" s="150"/>
      <c r="BD310" s="150"/>
      <c r="BE310" s="150"/>
      <c r="BF310" s="150"/>
      <c r="BG310" s="150"/>
      <c r="BH310" s="150"/>
      <c r="BI310" s="150"/>
      <c r="BJ310" s="150"/>
      <c r="BK310" s="150"/>
      <c r="BL310" s="150"/>
      <c r="BM310" s="150"/>
      <c r="BN310" s="150"/>
      <c r="BO310" s="150"/>
      <c r="BP310" s="150"/>
      <c r="BQ310" s="150"/>
      <c r="BR310" s="150"/>
      <c r="BS310" s="150"/>
    </row>
    <row r="311" spans="1:74" s="55" customFormat="1" ht="24.6" customHeight="1">
      <c r="A311" s="451" t="s">
        <v>590</v>
      </c>
      <c r="B311" s="169" t="s">
        <v>89</v>
      </c>
      <c r="C311" s="169"/>
      <c r="D311" s="169"/>
      <c r="E311" s="169"/>
      <c r="F311" s="169"/>
      <c r="G311" s="140"/>
      <c r="H311" s="140"/>
      <c r="I311" s="140"/>
      <c r="J311" s="140"/>
      <c r="K311" s="140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>
        <v>0.1</v>
      </c>
      <c r="W311" s="141"/>
      <c r="X311" s="361"/>
      <c r="Y311" s="453" t="s">
        <v>594</v>
      </c>
      <c r="Z311" s="150"/>
      <c r="AA311" s="150"/>
      <c r="AB311" s="150"/>
      <c r="AC311" s="150"/>
      <c r="AD311" s="150"/>
      <c r="AE311" s="150"/>
      <c r="AF311" s="150"/>
      <c r="AG311" s="150"/>
      <c r="AH311" s="150"/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50"/>
      <c r="BC311" s="150"/>
      <c r="BD311" s="150"/>
      <c r="BE311" s="150"/>
      <c r="BF311" s="150"/>
      <c r="BG311" s="150"/>
      <c r="BH311" s="150"/>
      <c r="BI311" s="150"/>
      <c r="BJ311" s="150"/>
      <c r="BK311" s="150"/>
      <c r="BL311" s="150"/>
      <c r="BM311" s="150"/>
      <c r="BN311" s="150"/>
      <c r="BO311" s="150"/>
      <c r="BP311" s="150"/>
      <c r="BQ311" s="150"/>
      <c r="BR311" s="150"/>
      <c r="BS311" s="150"/>
    </row>
    <row r="312" spans="1:74" s="55" customFormat="1" ht="24.6" customHeight="1">
      <c r="A312" s="454"/>
      <c r="B312" s="169" t="s">
        <v>272</v>
      </c>
      <c r="C312" s="169"/>
      <c r="D312" s="169"/>
      <c r="E312" s="169"/>
      <c r="F312" s="169"/>
      <c r="G312" s="140"/>
      <c r="H312" s="140"/>
      <c r="I312" s="140"/>
      <c r="J312" s="140"/>
      <c r="K312" s="140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>
        <f>V313</f>
        <v>15561</v>
      </c>
      <c r="W312" s="141">
        <f>W314</f>
        <v>0</v>
      </c>
      <c r="X312" s="361"/>
      <c r="Y312" s="453"/>
      <c r="Z312" s="150"/>
      <c r="AA312" s="150"/>
      <c r="AB312" s="150"/>
      <c r="AC312" s="150"/>
      <c r="AD312" s="150"/>
      <c r="AE312" s="150"/>
      <c r="AF312" s="150"/>
      <c r="AG312" s="150"/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50"/>
      <c r="BB312" s="150"/>
      <c r="BC312" s="150"/>
      <c r="BD312" s="150"/>
      <c r="BE312" s="150"/>
      <c r="BF312" s="150"/>
      <c r="BG312" s="150"/>
      <c r="BH312" s="150"/>
      <c r="BI312" s="150"/>
      <c r="BJ312" s="150"/>
      <c r="BK312" s="150"/>
      <c r="BL312" s="150"/>
      <c r="BM312" s="150"/>
      <c r="BN312" s="150"/>
      <c r="BO312" s="150"/>
      <c r="BP312" s="150"/>
      <c r="BQ312" s="150"/>
      <c r="BR312" s="150"/>
      <c r="BS312" s="150"/>
    </row>
    <row r="313" spans="1:74" s="55" customFormat="1" ht="24.6" customHeight="1">
      <c r="A313" s="454"/>
      <c r="B313" s="169" t="s">
        <v>10</v>
      </c>
      <c r="C313" s="169"/>
      <c r="D313" s="169"/>
      <c r="E313" s="169"/>
      <c r="F313" s="169"/>
      <c r="G313" s="140"/>
      <c r="H313" s="140"/>
      <c r="I313" s="140"/>
      <c r="J313" s="140"/>
      <c r="K313" s="140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>
        <f>24100-8539</f>
        <v>15561</v>
      </c>
      <c r="W313" s="141"/>
      <c r="X313" s="361"/>
      <c r="Y313" s="453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  <c r="BI313" s="150"/>
      <c r="BJ313" s="150"/>
      <c r="BK313" s="150"/>
      <c r="BL313" s="150"/>
      <c r="BM313" s="150"/>
      <c r="BN313" s="150"/>
      <c r="BO313" s="150"/>
      <c r="BP313" s="150"/>
      <c r="BQ313" s="150"/>
      <c r="BR313" s="150"/>
      <c r="BS313" s="150"/>
    </row>
    <row r="314" spans="1:74" s="147" customFormat="1" ht="24.6" customHeight="1">
      <c r="A314" s="452"/>
      <c r="B314" s="167" t="s">
        <v>34</v>
      </c>
      <c r="C314" s="167"/>
      <c r="D314" s="167"/>
      <c r="E314" s="167"/>
      <c r="F314" s="167"/>
      <c r="G314" s="74"/>
      <c r="H314" s="74"/>
      <c r="I314" s="74"/>
      <c r="J314" s="74"/>
      <c r="K314" s="74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361"/>
      <c r="Y314" s="453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  <c r="BI314" s="150"/>
      <c r="BJ314" s="150"/>
      <c r="BK314" s="150"/>
      <c r="BL314" s="150"/>
      <c r="BM314" s="150"/>
      <c r="BN314" s="150"/>
      <c r="BO314" s="150"/>
      <c r="BP314" s="150"/>
      <c r="BQ314" s="150"/>
      <c r="BR314" s="150"/>
      <c r="BS314" s="150"/>
      <c r="BT314" s="150"/>
      <c r="BU314" s="150"/>
      <c r="BV314" s="149"/>
    </row>
    <row r="315" spans="1:74" s="55" customFormat="1" ht="24.6" customHeight="1">
      <c r="A315" s="472" t="s">
        <v>104</v>
      </c>
      <c r="B315" s="128" t="s">
        <v>89</v>
      </c>
      <c r="C315" s="128"/>
      <c r="D315" s="128"/>
      <c r="E315" s="128"/>
      <c r="F315" s="128"/>
      <c r="G315" s="142">
        <f>G319+G323</f>
        <v>0</v>
      </c>
      <c r="H315" s="142">
        <f t="shared" ref="H315:V315" si="158">H319+H323</f>
        <v>0</v>
      </c>
      <c r="I315" s="142">
        <f t="shared" si="158"/>
        <v>0</v>
      </c>
      <c r="J315" s="142">
        <f t="shared" si="158"/>
        <v>0</v>
      </c>
      <c r="K315" s="142">
        <f t="shared" si="158"/>
        <v>0</v>
      </c>
      <c r="L315" s="143">
        <f>L319+L323</f>
        <v>1.2</v>
      </c>
      <c r="M315" s="143">
        <f t="shared" si="158"/>
        <v>0</v>
      </c>
      <c r="N315" s="143">
        <f t="shared" si="158"/>
        <v>0</v>
      </c>
      <c r="O315" s="143">
        <f t="shared" si="158"/>
        <v>0</v>
      </c>
      <c r="P315" s="143">
        <f t="shared" si="158"/>
        <v>1.2</v>
      </c>
      <c r="Q315" s="143">
        <f t="shared" si="158"/>
        <v>0</v>
      </c>
      <c r="R315" s="143"/>
      <c r="S315" s="143"/>
      <c r="T315" s="143"/>
      <c r="U315" s="143"/>
      <c r="V315" s="143">
        <f t="shared" si="158"/>
        <v>0</v>
      </c>
      <c r="W315" s="143"/>
      <c r="X315" s="361"/>
      <c r="Y315" s="82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  <c r="BI315" s="150"/>
      <c r="BJ315" s="150"/>
      <c r="BK315" s="150"/>
      <c r="BL315" s="150"/>
      <c r="BM315" s="150"/>
      <c r="BN315" s="150"/>
      <c r="BO315" s="150"/>
      <c r="BP315" s="150"/>
      <c r="BQ315" s="150"/>
      <c r="BR315" s="150"/>
      <c r="BS315" s="150"/>
    </row>
    <row r="316" spans="1:74" ht="24.6" customHeight="1">
      <c r="A316" s="473"/>
      <c r="B316" s="82" t="s">
        <v>272</v>
      </c>
      <c r="C316" s="82"/>
      <c r="D316" s="82"/>
      <c r="E316" s="82"/>
      <c r="F316" s="82"/>
      <c r="G316" s="80">
        <f t="shared" ref="G316:V316" si="159">G317+G318</f>
        <v>25000</v>
      </c>
      <c r="H316" s="80">
        <f t="shared" si="159"/>
        <v>0</v>
      </c>
      <c r="I316" s="80">
        <f t="shared" si="159"/>
        <v>0</v>
      </c>
      <c r="J316" s="80">
        <f t="shared" si="159"/>
        <v>0</v>
      </c>
      <c r="K316" s="80">
        <f t="shared" si="159"/>
        <v>25000</v>
      </c>
      <c r="L316" s="131">
        <f t="shared" si="159"/>
        <v>34492.699999999997</v>
      </c>
      <c r="M316" s="131">
        <f t="shared" si="159"/>
        <v>0</v>
      </c>
      <c r="N316" s="131">
        <f t="shared" si="159"/>
        <v>0</v>
      </c>
      <c r="O316" s="131">
        <f t="shared" si="159"/>
        <v>0</v>
      </c>
      <c r="P316" s="131">
        <f t="shared" si="159"/>
        <v>34492.699999999997</v>
      </c>
      <c r="Q316" s="131">
        <f t="shared" si="159"/>
        <v>0</v>
      </c>
      <c r="R316" s="131"/>
      <c r="S316" s="131"/>
      <c r="T316" s="131"/>
      <c r="U316" s="131"/>
      <c r="V316" s="131">
        <f t="shared" si="159"/>
        <v>0</v>
      </c>
      <c r="W316" s="131"/>
      <c r="X316" s="361"/>
      <c r="Y316" s="82"/>
      <c r="AF316" s="54">
        <v>55</v>
      </c>
    </row>
    <row r="317" spans="1:74" ht="28.15" customHeight="1">
      <c r="A317" s="473"/>
      <c r="B317" s="82" t="s">
        <v>10</v>
      </c>
      <c r="C317" s="82"/>
      <c r="D317" s="82"/>
      <c r="E317" s="82"/>
      <c r="F317" s="82"/>
      <c r="G317" s="80">
        <f>G325+G321</f>
        <v>25000</v>
      </c>
      <c r="H317" s="80">
        <f>H325+H321</f>
        <v>0</v>
      </c>
      <c r="I317" s="80">
        <f>I325+I321</f>
        <v>0</v>
      </c>
      <c r="J317" s="80">
        <f>J325+J321</f>
        <v>0</v>
      </c>
      <c r="K317" s="80">
        <f>K325+K321</f>
        <v>25000</v>
      </c>
      <c r="L317" s="131">
        <f>L325</f>
        <v>34492.699999999997</v>
      </c>
      <c r="M317" s="131">
        <f t="shared" ref="M317:P317" si="160">M325</f>
        <v>0</v>
      </c>
      <c r="N317" s="131">
        <f t="shared" si="160"/>
        <v>0</v>
      </c>
      <c r="O317" s="131">
        <f t="shared" si="160"/>
        <v>0</v>
      </c>
      <c r="P317" s="131">
        <f t="shared" si="160"/>
        <v>34492.699999999997</v>
      </c>
      <c r="Q317" s="131"/>
      <c r="R317" s="131"/>
      <c r="S317" s="131"/>
      <c r="T317" s="131"/>
      <c r="U317" s="131"/>
      <c r="V317" s="131"/>
      <c r="W317" s="131"/>
      <c r="X317" s="361"/>
      <c r="Y317" s="82"/>
    </row>
    <row r="318" spans="1:74" ht="24.6" customHeight="1">
      <c r="A318" s="474"/>
      <c r="B318" s="82" t="s">
        <v>34</v>
      </c>
      <c r="C318" s="82"/>
      <c r="D318" s="82"/>
      <c r="E318" s="82"/>
      <c r="F318" s="82"/>
      <c r="G318" s="80">
        <f>G326+G322</f>
        <v>0</v>
      </c>
      <c r="H318" s="80">
        <f t="shared" ref="H318:V318" si="161">H326+H322</f>
        <v>0</v>
      </c>
      <c r="I318" s="80">
        <f t="shared" si="161"/>
        <v>0</v>
      </c>
      <c r="J318" s="80">
        <f t="shared" si="161"/>
        <v>0</v>
      </c>
      <c r="K318" s="80">
        <f t="shared" si="161"/>
        <v>0</v>
      </c>
      <c r="L318" s="131">
        <f t="shared" si="161"/>
        <v>0</v>
      </c>
      <c r="M318" s="131"/>
      <c r="N318" s="131"/>
      <c r="O318" s="131"/>
      <c r="P318" s="131"/>
      <c r="Q318" s="131">
        <f t="shared" si="161"/>
        <v>0</v>
      </c>
      <c r="R318" s="131"/>
      <c r="S318" s="131"/>
      <c r="T318" s="131"/>
      <c r="U318" s="131"/>
      <c r="V318" s="131">
        <f t="shared" si="161"/>
        <v>0</v>
      </c>
      <c r="W318" s="131"/>
      <c r="X318" s="361"/>
      <c r="Y318" s="82"/>
    </row>
    <row r="319" spans="1:74" ht="0.6" customHeight="1">
      <c r="A319" s="462" t="s">
        <v>278</v>
      </c>
      <c r="B319" s="345" t="s">
        <v>89</v>
      </c>
      <c r="C319" s="345">
        <v>176</v>
      </c>
      <c r="D319" s="345" t="s">
        <v>15</v>
      </c>
      <c r="E319" s="345">
        <v>6100404</v>
      </c>
      <c r="F319" s="345">
        <v>414</v>
      </c>
      <c r="G319" s="74"/>
      <c r="H319" s="74"/>
      <c r="I319" s="74"/>
      <c r="J319" s="74"/>
      <c r="K319" s="74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>
        <v>0</v>
      </c>
      <c r="W319" s="132"/>
      <c r="X319" s="361"/>
      <c r="Y319" s="453" t="s">
        <v>599</v>
      </c>
    </row>
    <row r="320" spans="1:74" ht="24.6" customHeight="1">
      <c r="A320" s="462"/>
      <c r="B320" s="345" t="s">
        <v>272</v>
      </c>
      <c r="C320" s="345"/>
      <c r="D320" s="345"/>
      <c r="E320" s="345"/>
      <c r="F320" s="345"/>
      <c r="G320" s="74">
        <f>G322</f>
        <v>0</v>
      </c>
      <c r="H320" s="74"/>
      <c r="I320" s="74"/>
      <c r="J320" s="74"/>
      <c r="K320" s="74"/>
      <c r="L320" s="132">
        <f>L322</f>
        <v>0</v>
      </c>
      <c r="M320" s="132"/>
      <c r="N320" s="132"/>
      <c r="O320" s="132"/>
      <c r="P320" s="132"/>
      <c r="Q320" s="132"/>
      <c r="R320" s="132"/>
      <c r="S320" s="132"/>
      <c r="T320" s="132"/>
      <c r="U320" s="132"/>
      <c r="V320" s="132">
        <f>V322</f>
        <v>0</v>
      </c>
      <c r="W320" s="132"/>
      <c r="X320" s="361"/>
      <c r="Y320" s="453"/>
    </row>
    <row r="321" spans="1:71" ht="24.6" customHeight="1">
      <c r="A321" s="462"/>
      <c r="B321" s="345" t="s">
        <v>10</v>
      </c>
      <c r="C321" s="345"/>
      <c r="D321" s="345"/>
      <c r="E321" s="345"/>
      <c r="F321" s="345"/>
      <c r="G321" s="74"/>
      <c r="H321" s="74"/>
      <c r="I321" s="74"/>
      <c r="J321" s="74"/>
      <c r="K321" s="74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361"/>
      <c r="Y321" s="453"/>
    </row>
    <row r="322" spans="1:71" ht="24.6" customHeight="1">
      <c r="A322" s="462"/>
      <c r="B322" s="345" t="s">
        <v>34</v>
      </c>
      <c r="C322" s="345"/>
      <c r="D322" s="345"/>
      <c r="E322" s="345"/>
      <c r="F322" s="345"/>
      <c r="G322" s="74"/>
      <c r="H322" s="74"/>
      <c r="I322" s="74"/>
      <c r="J322" s="74"/>
      <c r="K322" s="74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>
        <v>0</v>
      </c>
      <c r="W322" s="132"/>
      <c r="X322" s="361"/>
      <c r="Y322" s="453"/>
    </row>
    <row r="323" spans="1:71" ht="0.6" customHeight="1">
      <c r="A323" s="462" t="s">
        <v>269</v>
      </c>
      <c r="B323" s="345" t="s">
        <v>89</v>
      </c>
      <c r="C323" s="345"/>
      <c r="D323" s="345"/>
      <c r="E323" s="345"/>
      <c r="F323" s="345"/>
      <c r="G323" s="74">
        <f>SUM(H323:K323)</f>
        <v>0</v>
      </c>
      <c r="H323" s="74"/>
      <c r="I323" s="74"/>
      <c r="J323" s="74"/>
      <c r="K323" s="74"/>
      <c r="L323" s="132">
        <v>1.2</v>
      </c>
      <c r="M323" s="132"/>
      <c r="N323" s="132"/>
      <c r="O323" s="132"/>
      <c r="P323" s="132">
        <v>1.2</v>
      </c>
      <c r="Q323" s="132">
        <v>0</v>
      </c>
      <c r="R323" s="132"/>
      <c r="S323" s="132"/>
      <c r="T323" s="132"/>
      <c r="U323" s="132"/>
      <c r="V323" s="132"/>
      <c r="W323" s="132"/>
      <c r="X323" s="361"/>
      <c r="Y323" s="453" t="s">
        <v>603</v>
      </c>
    </row>
    <row r="324" spans="1:71" ht="24.6" customHeight="1">
      <c r="A324" s="462"/>
      <c r="B324" s="345" t="s">
        <v>272</v>
      </c>
      <c r="C324" s="345"/>
      <c r="D324" s="345"/>
      <c r="E324" s="345"/>
      <c r="F324" s="345"/>
      <c r="G324" s="74">
        <f t="shared" ref="G324:L324" si="162">G325</f>
        <v>25000</v>
      </c>
      <c r="H324" s="74">
        <f t="shared" si="162"/>
        <v>0</v>
      </c>
      <c r="I324" s="74">
        <f t="shared" si="162"/>
        <v>0</v>
      </c>
      <c r="J324" s="74">
        <f t="shared" si="162"/>
        <v>0</v>
      </c>
      <c r="K324" s="74">
        <f t="shared" si="162"/>
        <v>25000</v>
      </c>
      <c r="L324" s="132">
        <f t="shared" si="162"/>
        <v>34492.699999999997</v>
      </c>
      <c r="M324" s="132">
        <f t="shared" ref="M324:P324" si="163">M325</f>
        <v>0</v>
      </c>
      <c r="N324" s="132">
        <f t="shared" si="163"/>
        <v>0</v>
      </c>
      <c r="O324" s="132">
        <f t="shared" si="163"/>
        <v>0</v>
      </c>
      <c r="P324" s="132">
        <f t="shared" si="163"/>
        <v>34492.699999999997</v>
      </c>
      <c r="Q324" s="132">
        <f>Q326</f>
        <v>0</v>
      </c>
      <c r="R324" s="132"/>
      <c r="S324" s="132"/>
      <c r="T324" s="132"/>
      <c r="U324" s="132"/>
      <c r="V324" s="132">
        <f>V326</f>
        <v>0</v>
      </c>
      <c r="W324" s="132"/>
      <c r="X324" s="361"/>
      <c r="Y324" s="453"/>
    </row>
    <row r="325" spans="1:71" ht="24.6" customHeight="1">
      <c r="A325" s="462"/>
      <c r="B325" s="345" t="s">
        <v>10</v>
      </c>
      <c r="C325" s="345"/>
      <c r="D325" s="345"/>
      <c r="E325" s="345"/>
      <c r="F325" s="345"/>
      <c r="G325" s="74">
        <f>SUM(H325:K325)</f>
        <v>25000</v>
      </c>
      <c r="H325" s="74"/>
      <c r="I325" s="74"/>
      <c r="J325" s="74"/>
      <c r="K325" s="74">
        <v>25000</v>
      </c>
      <c r="L325" s="132">
        <v>34492.699999999997</v>
      </c>
      <c r="M325" s="132"/>
      <c r="N325" s="132"/>
      <c r="O325" s="132"/>
      <c r="P325" s="132">
        <v>34492.699999999997</v>
      </c>
      <c r="Q325" s="132"/>
      <c r="R325" s="132"/>
      <c r="S325" s="132"/>
      <c r="T325" s="132"/>
      <c r="U325" s="132"/>
      <c r="V325" s="132"/>
      <c r="W325" s="132"/>
      <c r="X325" s="361"/>
      <c r="Y325" s="453"/>
    </row>
    <row r="326" spans="1:71" ht="24.6" customHeight="1">
      <c r="A326" s="462"/>
      <c r="B326" s="345" t="s">
        <v>34</v>
      </c>
      <c r="C326" s="345"/>
      <c r="D326" s="345"/>
      <c r="E326" s="345"/>
      <c r="F326" s="345"/>
      <c r="G326" s="74">
        <f>SUM(H326:K326)</f>
        <v>0</v>
      </c>
      <c r="H326" s="74"/>
      <c r="I326" s="74"/>
      <c r="J326" s="74"/>
      <c r="K326" s="74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361"/>
      <c r="Y326" s="453"/>
    </row>
    <row r="327" spans="1:71" ht="0.6" customHeight="1">
      <c r="A327" s="461" t="s">
        <v>176</v>
      </c>
      <c r="B327" s="82" t="s">
        <v>89</v>
      </c>
      <c r="C327" s="167"/>
      <c r="D327" s="167"/>
      <c r="E327" s="167"/>
      <c r="F327" s="167"/>
      <c r="G327" s="80">
        <f>G331</f>
        <v>0</v>
      </c>
      <c r="H327" s="80">
        <f t="shared" ref="H327:W327" si="164">H331</f>
        <v>0</v>
      </c>
      <c r="I327" s="80">
        <f t="shared" si="164"/>
        <v>0</v>
      </c>
      <c r="J327" s="80">
        <f t="shared" si="164"/>
        <v>0</v>
      </c>
      <c r="K327" s="80">
        <f t="shared" si="164"/>
        <v>0</v>
      </c>
      <c r="L327" s="131">
        <f>L331</f>
        <v>0</v>
      </c>
      <c r="M327" s="131"/>
      <c r="N327" s="131"/>
      <c r="O327" s="131"/>
      <c r="P327" s="131"/>
      <c r="Q327" s="131">
        <f t="shared" si="164"/>
        <v>0</v>
      </c>
      <c r="R327" s="131"/>
      <c r="S327" s="131"/>
      <c r="T327" s="131"/>
      <c r="U327" s="131"/>
      <c r="V327" s="131">
        <f t="shared" si="164"/>
        <v>0</v>
      </c>
      <c r="W327" s="131">
        <f t="shared" si="164"/>
        <v>0</v>
      </c>
      <c r="X327" s="361"/>
      <c r="Y327" s="338"/>
    </row>
    <row r="328" spans="1:71" ht="24.6" customHeight="1">
      <c r="A328" s="461"/>
      <c r="B328" s="82" t="s">
        <v>272</v>
      </c>
      <c r="C328" s="167"/>
      <c r="D328" s="167"/>
      <c r="E328" s="167"/>
      <c r="F328" s="167"/>
      <c r="G328" s="80">
        <f>G329+G330</f>
        <v>0</v>
      </c>
      <c r="H328" s="80">
        <f t="shared" ref="H328:W328" si="165">H329+H330</f>
        <v>0</v>
      </c>
      <c r="I328" s="80">
        <f t="shared" si="165"/>
        <v>0</v>
      </c>
      <c r="J328" s="80">
        <f t="shared" si="165"/>
        <v>0</v>
      </c>
      <c r="K328" s="80">
        <f t="shared" si="165"/>
        <v>0</v>
      </c>
      <c r="L328" s="131">
        <f t="shared" si="165"/>
        <v>0</v>
      </c>
      <c r="M328" s="131"/>
      <c r="N328" s="131"/>
      <c r="O328" s="131"/>
      <c r="P328" s="131"/>
      <c r="Q328" s="131">
        <f t="shared" si="165"/>
        <v>0</v>
      </c>
      <c r="R328" s="131"/>
      <c r="S328" s="131"/>
      <c r="T328" s="131"/>
      <c r="U328" s="131"/>
      <c r="V328" s="131">
        <f t="shared" si="165"/>
        <v>0</v>
      </c>
      <c r="W328" s="131">
        <f t="shared" si="165"/>
        <v>0</v>
      </c>
      <c r="X328" s="361"/>
      <c r="Y328" s="338"/>
    </row>
    <row r="329" spans="1:71" ht="24.6" customHeight="1">
      <c r="A329" s="461"/>
      <c r="B329" s="82" t="s">
        <v>10</v>
      </c>
      <c r="C329" s="167"/>
      <c r="D329" s="167"/>
      <c r="E329" s="167"/>
      <c r="F329" s="167"/>
      <c r="G329" s="80"/>
      <c r="H329" s="80"/>
      <c r="I329" s="80"/>
      <c r="J329" s="80"/>
      <c r="K329" s="80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361"/>
      <c r="Y329" s="338"/>
    </row>
    <row r="330" spans="1:71" ht="24.6" customHeight="1">
      <c r="A330" s="461"/>
      <c r="B330" s="82" t="s">
        <v>34</v>
      </c>
      <c r="C330" s="167"/>
      <c r="D330" s="167"/>
      <c r="E330" s="167"/>
      <c r="F330" s="167"/>
      <c r="G330" s="80">
        <f>G334</f>
        <v>0</v>
      </c>
      <c r="H330" s="80">
        <f t="shared" ref="H330:W330" si="166">H334</f>
        <v>0</v>
      </c>
      <c r="I330" s="80">
        <f t="shared" si="166"/>
        <v>0</v>
      </c>
      <c r="J330" s="80">
        <f t="shared" si="166"/>
        <v>0</v>
      </c>
      <c r="K330" s="80">
        <f t="shared" si="166"/>
        <v>0</v>
      </c>
      <c r="L330" s="131">
        <f t="shared" si="166"/>
        <v>0</v>
      </c>
      <c r="M330" s="131"/>
      <c r="N330" s="131"/>
      <c r="O330" s="131"/>
      <c r="P330" s="131"/>
      <c r="Q330" s="131">
        <f t="shared" si="166"/>
        <v>0</v>
      </c>
      <c r="R330" s="131"/>
      <c r="S330" s="131"/>
      <c r="T330" s="131"/>
      <c r="U330" s="131"/>
      <c r="V330" s="131">
        <f t="shared" si="166"/>
        <v>0</v>
      </c>
      <c r="W330" s="131">
        <f t="shared" si="166"/>
        <v>0</v>
      </c>
      <c r="X330" s="361"/>
      <c r="Y330" s="338"/>
    </row>
    <row r="331" spans="1:71" ht="24.6" customHeight="1">
      <c r="A331" s="462" t="s">
        <v>279</v>
      </c>
      <c r="B331" s="345" t="s">
        <v>89</v>
      </c>
      <c r="C331" s="345"/>
      <c r="D331" s="345"/>
      <c r="E331" s="345"/>
      <c r="F331" s="345"/>
      <c r="G331" s="74"/>
      <c r="H331" s="74"/>
      <c r="I331" s="74"/>
      <c r="J331" s="74"/>
      <c r="K331" s="74"/>
      <c r="L331" s="132"/>
      <c r="M331" s="132"/>
      <c r="N331" s="132"/>
      <c r="O331" s="132"/>
      <c r="P331" s="132"/>
      <c r="Q331" s="132">
        <v>0</v>
      </c>
      <c r="R331" s="132"/>
      <c r="S331" s="132"/>
      <c r="T331" s="132"/>
      <c r="U331" s="132"/>
      <c r="V331" s="132"/>
      <c r="W331" s="132"/>
      <c r="X331" s="361"/>
      <c r="Y331" s="453" t="s">
        <v>600</v>
      </c>
    </row>
    <row r="332" spans="1:71" s="55" customFormat="1" ht="24.6" customHeight="1">
      <c r="A332" s="462"/>
      <c r="B332" s="345" t="s">
        <v>272</v>
      </c>
      <c r="C332" s="345"/>
      <c r="D332" s="345"/>
      <c r="E332" s="345"/>
      <c r="F332" s="345"/>
      <c r="G332" s="74">
        <f>G333+G334</f>
        <v>0</v>
      </c>
      <c r="H332" s="74">
        <f t="shared" ref="H332:W332" si="167">H333+H334</f>
        <v>0</v>
      </c>
      <c r="I332" s="74">
        <f t="shared" si="167"/>
        <v>0</v>
      </c>
      <c r="J332" s="74">
        <f t="shared" si="167"/>
        <v>0</v>
      </c>
      <c r="K332" s="74">
        <f t="shared" si="167"/>
        <v>0</v>
      </c>
      <c r="L332" s="132">
        <f t="shared" si="167"/>
        <v>0</v>
      </c>
      <c r="M332" s="132"/>
      <c r="N332" s="132"/>
      <c r="O332" s="132"/>
      <c r="P332" s="132"/>
      <c r="Q332" s="132">
        <f t="shared" si="167"/>
        <v>0</v>
      </c>
      <c r="R332" s="132"/>
      <c r="S332" s="132"/>
      <c r="T332" s="132"/>
      <c r="U332" s="132"/>
      <c r="V332" s="132">
        <f t="shared" si="167"/>
        <v>0</v>
      </c>
      <c r="W332" s="132">
        <f t="shared" si="167"/>
        <v>0</v>
      </c>
      <c r="X332" s="361"/>
      <c r="Y332" s="453"/>
      <c r="AT332" s="150"/>
      <c r="AU332" s="150"/>
      <c r="AV332" s="150"/>
      <c r="AW332" s="150"/>
      <c r="AX332" s="150"/>
      <c r="AY332" s="150"/>
      <c r="AZ332" s="150"/>
      <c r="BA332" s="150"/>
      <c r="BB332" s="150"/>
      <c r="BC332" s="150"/>
      <c r="BD332" s="150"/>
      <c r="BE332" s="150"/>
      <c r="BF332" s="150"/>
      <c r="BG332" s="150"/>
      <c r="BH332" s="150"/>
      <c r="BI332" s="150"/>
      <c r="BJ332" s="150"/>
      <c r="BK332" s="150"/>
      <c r="BL332" s="150"/>
      <c r="BM332" s="150"/>
      <c r="BN332" s="150"/>
      <c r="BO332" s="150"/>
      <c r="BP332" s="150"/>
      <c r="BQ332" s="150"/>
      <c r="BR332" s="150"/>
      <c r="BS332" s="150"/>
    </row>
    <row r="333" spans="1:71" s="55" customFormat="1" ht="24.6" customHeight="1">
      <c r="A333" s="462"/>
      <c r="B333" s="345" t="s">
        <v>10</v>
      </c>
      <c r="C333" s="345"/>
      <c r="D333" s="345"/>
      <c r="E333" s="345"/>
      <c r="F333" s="345"/>
      <c r="G333" s="74"/>
      <c r="H333" s="74"/>
      <c r="I333" s="74"/>
      <c r="J333" s="74"/>
      <c r="K333" s="74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361"/>
      <c r="Y333" s="453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0"/>
      <c r="BG333" s="150"/>
      <c r="BH333" s="150"/>
      <c r="BI333" s="150"/>
      <c r="BJ333" s="150"/>
      <c r="BK333" s="150"/>
      <c r="BL333" s="150"/>
      <c r="BM333" s="150"/>
      <c r="BN333" s="150"/>
      <c r="BO333" s="150"/>
      <c r="BP333" s="150"/>
      <c r="BQ333" s="150"/>
      <c r="BR333" s="150"/>
      <c r="BS333" s="150"/>
    </row>
    <row r="334" spans="1:71" s="55" customFormat="1" ht="24.6" customHeight="1">
      <c r="A334" s="462"/>
      <c r="B334" s="345" t="s">
        <v>34</v>
      </c>
      <c r="C334" s="345"/>
      <c r="D334" s="345"/>
      <c r="E334" s="345"/>
      <c r="F334" s="345"/>
      <c r="G334" s="74"/>
      <c r="H334" s="74"/>
      <c r="I334" s="74"/>
      <c r="J334" s="74"/>
      <c r="K334" s="74"/>
      <c r="L334" s="132">
        <v>0</v>
      </c>
      <c r="M334" s="132"/>
      <c r="N334" s="132"/>
      <c r="O334" s="132"/>
      <c r="P334" s="132"/>
      <c r="Q334" s="132">
        <v>0</v>
      </c>
      <c r="R334" s="132"/>
      <c r="S334" s="132"/>
      <c r="T334" s="132"/>
      <c r="U334" s="132"/>
      <c r="V334" s="132"/>
      <c r="W334" s="132"/>
      <c r="X334" s="361"/>
      <c r="Y334" s="453"/>
      <c r="AT334" s="150"/>
      <c r="AU334" s="150"/>
      <c r="AV334" s="150"/>
      <c r="AW334" s="150"/>
      <c r="AX334" s="150"/>
      <c r="AY334" s="150"/>
      <c r="AZ334" s="150"/>
      <c r="BA334" s="150"/>
      <c r="BB334" s="150"/>
      <c r="BC334" s="150"/>
      <c r="BD334" s="150"/>
      <c r="BE334" s="150"/>
      <c r="BF334" s="150"/>
      <c r="BG334" s="150"/>
      <c r="BH334" s="150"/>
      <c r="BI334" s="150"/>
      <c r="BJ334" s="150"/>
      <c r="BK334" s="150"/>
      <c r="BL334" s="150"/>
      <c r="BM334" s="150"/>
      <c r="BN334" s="150"/>
      <c r="BO334" s="150"/>
      <c r="BP334" s="150"/>
      <c r="BQ334" s="150"/>
      <c r="BR334" s="150"/>
      <c r="BS334" s="150"/>
    </row>
    <row r="335" spans="1:71" s="55" customFormat="1" ht="24.95" customHeight="1">
      <c r="A335" s="461" t="s">
        <v>105</v>
      </c>
      <c r="B335" s="82" t="s">
        <v>89</v>
      </c>
      <c r="C335" s="82"/>
      <c r="D335" s="82"/>
      <c r="E335" s="82"/>
      <c r="F335" s="82"/>
      <c r="G335" s="80">
        <f t="shared" ref="G335:L335" si="168">G339+G343</f>
        <v>2.75</v>
      </c>
      <c r="H335" s="80">
        <f t="shared" si="168"/>
        <v>0</v>
      </c>
      <c r="I335" s="80">
        <f t="shared" si="168"/>
        <v>0</v>
      </c>
      <c r="J335" s="80">
        <f t="shared" si="168"/>
        <v>0</v>
      </c>
      <c r="K335" s="80">
        <f t="shared" si="168"/>
        <v>2.75</v>
      </c>
      <c r="L335" s="131">
        <f t="shared" si="168"/>
        <v>1.6</v>
      </c>
      <c r="M335" s="131"/>
      <c r="N335" s="131"/>
      <c r="O335" s="131"/>
      <c r="P335" s="131">
        <v>1.6</v>
      </c>
      <c r="Q335" s="131">
        <f>+Q347</f>
        <v>0.22</v>
      </c>
      <c r="R335" s="131">
        <f t="shared" ref="R335:U335" si="169">+R347</f>
        <v>0</v>
      </c>
      <c r="S335" s="131">
        <f t="shared" si="169"/>
        <v>0</v>
      </c>
      <c r="T335" s="131">
        <f t="shared" si="169"/>
        <v>0</v>
      </c>
      <c r="U335" s="131">
        <f t="shared" si="169"/>
        <v>0.22</v>
      </c>
      <c r="V335" s="131">
        <f t="shared" ref="V335:W335" si="170">+V347</f>
        <v>0</v>
      </c>
      <c r="W335" s="131">
        <f t="shared" si="170"/>
        <v>0</v>
      </c>
      <c r="X335" s="361"/>
      <c r="Y335" s="82"/>
      <c r="AT335" s="150"/>
      <c r="AU335" s="150"/>
      <c r="AV335" s="150"/>
      <c r="AW335" s="150"/>
      <c r="AX335" s="150"/>
      <c r="AY335" s="150"/>
      <c r="AZ335" s="150"/>
      <c r="BA335" s="150"/>
      <c r="BB335" s="150"/>
      <c r="BC335" s="150"/>
      <c r="BD335" s="150"/>
      <c r="BE335" s="150"/>
      <c r="BF335" s="150"/>
      <c r="BG335" s="150"/>
      <c r="BH335" s="150"/>
      <c r="BI335" s="150"/>
      <c r="BJ335" s="150"/>
      <c r="BK335" s="150"/>
      <c r="BL335" s="150"/>
      <c r="BM335" s="150"/>
      <c r="BN335" s="150"/>
      <c r="BO335" s="150"/>
      <c r="BP335" s="150"/>
      <c r="BQ335" s="150"/>
      <c r="BR335" s="150"/>
      <c r="BS335" s="150"/>
    </row>
    <row r="336" spans="1:71" ht="24" customHeight="1">
      <c r="A336" s="461"/>
      <c r="B336" s="82" t="s">
        <v>272</v>
      </c>
      <c r="C336" s="82"/>
      <c r="D336" s="82"/>
      <c r="E336" s="82"/>
      <c r="F336" s="82"/>
      <c r="G336" s="80">
        <f>G337+G338</f>
        <v>35000.1</v>
      </c>
      <c r="H336" s="80">
        <f t="shared" ref="H336:O336" si="171">H337+H338</f>
        <v>0</v>
      </c>
      <c r="I336" s="80">
        <f t="shared" si="171"/>
        <v>0</v>
      </c>
      <c r="J336" s="80">
        <f t="shared" si="171"/>
        <v>0</v>
      </c>
      <c r="K336" s="80">
        <f t="shared" si="171"/>
        <v>35000.1</v>
      </c>
      <c r="L336" s="131">
        <f>L337+L338</f>
        <v>30009.7</v>
      </c>
      <c r="M336" s="131">
        <f t="shared" si="171"/>
        <v>0</v>
      </c>
      <c r="N336" s="131">
        <f t="shared" si="171"/>
        <v>0</v>
      </c>
      <c r="O336" s="131">
        <f t="shared" si="171"/>
        <v>3000</v>
      </c>
      <c r="P336" s="131">
        <f>P337+P338</f>
        <v>27009.7</v>
      </c>
      <c r="Q336" s="131">
        <f>Q337+Q338</f>
        <v>6327.9</v>
      </c>
      <c r="R336" s="131">
        <f t="shared" ref="R336:U336" si="172">R337+R338</f>
        <v>0</v>
      </c>
      <c r="S336" s="131">
        <f t="shared" si="172"/>
        <v>0</v>
      </c>
      <c r="T336" s="131">
        <f t="shared" si="172"/>
        <v>6000</v>
      </c>
      <c r="U336" s="131">
        <f t="shared" si="172"/>
        <v>327.90000000000009</v>
      </c>
      <c r="V336" s="131">
        <f t="shared" ref="V336:W336" si="173">V337+V338</f>
        <v>0</v>
      </c>
      <c r="W336" s="131">
        <f t="shared" si="173"/>
        <v>0</v>
      </c>
      <c r="X336" s="361"/>
      <c r="Y336" s="82"/>
    </row>
    <row r="337" spans="1:71" ht="21" customHeight="1">
      <c r="A337" s="461"/>
      <c r="B337" s="82" t="s">
        <v>10</v>
      </c>
      <c r="C337" s="82"/>
      <c r="D337" s="82"/>
      <c r="E337" s="82"/>
      <c r="F337" s="82"/>
      <c r="G337" s="80">
        <f t="shared" ref="G337:P338" si="174">G341+G345</f>
        <v>10500.1</v>
      </c>
      <c r="H337" s="80">
        <f t="shared" si="174"/>
        <v>0</v>
      </c>
      <c r="I337" s="80">
        <f t="shared" si="174"/>
        <v>0</v>
      </c>
      <c r="J337" s="80">
        <f t="shared" si="174"/>
        <v>0</v>
      </c>
      <c r="K337" s="80">
        <f t="shared" si="174"/>
        <v>10500.1</v>
      </c>
      <c r="L337" s="131">
        <f>L341+L345</f>
        <v>0</v>
      </c>
      <c r="M337" s="131">
        <f t="shared" ref="M337:P337" si="175">M341+M345</f>
        <v>0</v>
      </c>
      <c r="N337" s="131">
        <f t="shared" si="175"/>
        <v>0</v>
      </c>
      <c r="O337" s="131">
        <f t="shared" si="175"/>
        <v>0</v>
      </c>
      <c r="P337" s="131">
        <f t="shared" si="175"/>
        <v>0</v>
      </c>
      <c r="Q337" s="131">
        <f>Q349</f>
        <v>6327.9</v>
      </c>
      <c r="R337" s="131">
        <f t="shared" ref="R337:U337" si="176">R349</f>
        <v>0</v>
      </c>
      <c r="S337" s="131">
        <f t="shared" si="176"/>
        <v>0</v>
      </c>
      <c r="T337" s="131">
        <f t="shared" si="176"/>
        <v>6000</v>
      </c>
      <c r="U337" s="131">
        <f t="shared" si="176"/>
        <v>327.90000000000009</v>
      </c>
      <c r="V337" s="131">
        <f t="shared" ref="V337:W337" si="177">V349</f>
        <v>0</v>
      </c>
      <c r="W337" s="131">
        <f t="shared" si="177"/>
        <v>0</v>
      </c>
      <c r="X337" s="361"/>
      <c r="Y337" s="82"/>
    </row>
    <row r="338" spans="1:71" ht="25.15" hidden="1" customHeight="1">
      <c r="A338" s="461"/>
      <c r="B338" s="82" t="s">
        <v>463</v>
      </c>
      <c r="C338" s="82"/>
      <c r="D338" s="82"/>
      <c r="E338" s="82"/>
      <c r="F338" s="82"/>
      <c r="G338" s="80">
        <f t="shared" si="174"/>
        <v>24500</v>
      </c>
      <c r="H338" s="80">
        <f t="shared" si="174"/>
        <v>0</v>
      </c>
      <c r="I338" s="80">
        <f t="shared" si="174"/>
        <v>0</v>
      </c>
      <c r="J338" s="80">
        <f t="shared" si="174"/>
        <v>0</v>
      </c>
      <c r="K338" s="80">
        <f t="shared" si="174"/>
        <v>24500</v>
      </c>
      <c r="L338" s="131">
        <f t="shared" si="174"/>
        <v>30009.7</v>
      </c>
      <c r="M338" s="131">
        <f t="shared" si="174"/>
        <v>0</v>
      </c>
      <c r="N338" s="131">
        <f t="shared" si="174"/>
        <v>0</v>
      </c>
      <c r="O338" s="131">
        <f t="shared" si="174"/>
        <v>3000</v>
      </c>
      <c r="P338" s="131">
        <f t="shared" si="174"/>
        <v>27009.7</v>
      </c>
      <c r="Q338" s="131">
        <f>Q350</f>
        <v>0</v>
      </c>
      <c r="R338" s="131"/>
      <c r="S338" s="131"/>
      <c r="T338" s="131"/>
      <c r="U338" s="131"/>
      <c r="V338" s="131">
        <f t="shared" ref="V338:W338" si="178">V350</f>
        <v>0</v>
      </c>
      <c r="W338" s="131">
        <f t="shared" si="178"/>
        <v>0</v>
      </c>
      <c r="X338" s="361"/>
      <c r="Y338" s="82"/>
    </row>
    <row r="339" spans="1:71" ht="21.75" hidden="1" customHeight="1">
      <c r="A339" s="475" t="s">
        <v>20</v>
      </c>
      <c r="B339" s="167" t="s">
        <v>89</v>
      </c>
      <c r="C339" s="167">
        <v>176</v>
      </c>
      <c r="D339" s="167" t="s">
        <v>15</v>
      </c>
      <c r="E339" s="167">
        <v>6100404</v>
      </c>
      <c r="F339" s="167">
        <v>414</v>
      </c>
      <c r="G339" s="74">
        <f>SUM(H339:K339)</f>
        <v>2.75</v>
      </c>
      <c r="H339" s="74">
        <v>0</v>
      </c>
      <c r="I339" s="74">
        <v>0</v>
      </c>
      <c r="J339" s="74"/>
      <c r="K339" s="74">
        <v>2.75</v>
      </c>
      <c r="L339" s="132">
        <v>0</v>
      </c>
      <c r="M339" s="132"/>
      <c r="N339" s="132"/>
      <c r="O339" s="132"/>
      <c r="P339" s="132"/>
      <c r="Q339" s="132">
        <v>0</v>
      </c>
      <c r="R339" s="132"/>
      <c r="S339" s="132"/>
      <c r="T339" s="132"/>
      <c r="U339" s="132"/>
      <c r="V339" s="132"/>
      <c r="W339" s="132"/>
      <c r="X339" s="361"/>
      <c r="Y339" s="453" t="s">
        <v>227</v>
      </c>
    </row>
    <row r="340" spans="1:71" ht="24.95" hidden="1" customHeight="1">
      <c r="A340" s="476"/>
      <c r="B340" s="167" t="s">
        <v>272</v>
      </c>
      <c r="C340" s="167"/>
      <c r="D340" s="167"/>
      <c r="E340" s="167"/>
      <c r="F340" s="167"/>
      <c r="G340" s="74">
        <f>G341+G342</f>
        <v>35000.1</v>
      </c>
      <c r="H340" s="74">
        <f t="shared" ref="H340:V340" si="179">H341+H342</f>
        <v>0</v>
      </c>
      <c r="I340" s="74">
        <f t="shared" si="179"/>
        <v>0</v>
      </c>
      <c r="J340" s="74">
        <f t="shared" si="179"/>
        <v>0</v>
      </c>
      <c r="K340" s="74">
        <f t="shared" si="179"/>
        <v>35000.1</v>
      </c>
      <c r="L340" s="132">
        <f t="shared" si="179"/>
        <v>0</v>
      </c>
      <c r="M340" s="132"/>
      <c r="N340" s="132"/>
      <c r="O340" s="132"/>
      <c r="P340" s="132"/>
      <c r="Q340" s="132">
        <f t="shared" si="179"/>
        <v>0</v>
      </c>
      <c r="R340" s="132"/>
      <c r="S340" s="132"/>
      <c r="T340" s="132"/>
      <c r="U340" s="132"/>
      <c r="V340" s="132">
        <f t="shared" si="179"/>
        <v>0</v>
      </c>
      <c r="W340" s="132"/>
      <c r="X340" s="361"/>
      <c r="Y340" s="453"/>
    </row>
    <row r="341" spans="1:71" ht="28.5" hidden="1" customHeight="1">
      <c r="A341" s="476"/>
      <c r="B341" s="167" t="s">
        <v>10</v>
      </c>
      <c r="C341" s="167"/>
      <c r="D341" s="167"/>
      <c r="E341" s="167"/>
      <c r="F341" s="167"/>
      <c r="G341" s="74">
        <f>SUM(H341:K341)</f>
        <v>10500.1</v>
      </c>
      <c r="H341" s="74"/>
      <c r="I341" s="74"/>
      <c r="J341" s="74"/>
      <c r="K341" s="74">
        <v>10500.1</v>
      </c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361"/>
      <c r="Y341" s="453"/>
    </row>
    <row r="342" spans="1:71" ht="24.95" hidden="1" customHeight="1">
      <c r="A342" s="477"/>
      <c r="B342" s="167" t="s">
        <v>34</v>
      </c>
      <c r="C342" s="167"/>
      <c r="D342" s="167"/>
      <c r="E342" s="167"/>
      <c r="F342" s="167"/>
      <c r="G342" s="74">
        <f>SUM(H342:K342)</f>
        <v>24500</v>
      </c>
      <c r="H342" s="74"/>
      <c r="I342" s="74"/>
      <c r="J342" s="74"/>
      <c r="K342" s="74">
        <v>24500</v>
      </c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361"/>
      <c r="Y342" s="453"/>
    </row>
    <row r="343" spans="1:71" ht="24.6" hidden="1" customHeight="1">
      <c r="A343" s="462" t="s">
        <v>253</v>
      </c>
      <c r="B343" s="167" t="s">
        <v>89</v>
      </c>
      <c r="C343" s="167"/>
      <c r="D343" s="167"/>
      <c r="E343" s="167"/>
      <c r="F343" s="167"/>
      <c r="G343" s="74"/>
      <c r="H343" s="74"/>
      <c r="I343" s="74"/>
      <c r="J343" s="74"/>
      <c r="K343" s="74"/>
      <c r="L343" s="132">
        <v>1.6</v>
      </c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361"/>
      <c r="Y343" s="453" t="s">
        <v>244</v>
      </c>
    </row>
    <row r="344" spans="1:71" s="55" customFormat="1" ht="24.6" hidden="1" customHeight="1">
      <c r="A344" s="462"/>
      <c r="B344" s="167" t="s">
        <v>272</v>
      </c>
      <c r="C344" s="167"/>
      <c r="D344" s="167"/>
      <c r="E344" s="167"/>
      <c r="F344" s="167"/>
      <c r="G344" s="74">
        <f>G345+G346</f>
        <v>0</v>
      </c>
      <c r="H344" s="74">
        <f t="shared" ref="H344:V344" si="180">H345+H346</f>
        <v>0</v>
      </c>
      <c r="I344" s="74">
        <f t="shared" si="180"/>
        <v>0</v>
      </c>
      <c r="J344" s="74">
        <f t="shared" si="180"/>
        <v>0</v>
      </c>
      <c r="K344" s="74">
        <f t="shared" si="180"/>
        <v>0</v>
      </c>
      <c r="L344" s="132">
        <f>L345+L346</f>
        <v>30009.7</v>
      </c>
      <c r="M344" s="132"/>
      <c r="N344" s="132"/>
      <c r="O344" s="132">
        <f t="shared" ref="O344:P344" si="181">O345+O346</f>
        <v>3000</v>
      </c>
      <c r="P344" s="132">
        <f t="shared" si="181"/>
        <v>27009.7</v>
      </c>
      <c r="Q344" s="132">
        <f t="shared" si="180"/>
        <v>0</v>
      </c>
      <c r="R344" s="132"/>
      <c r="S344" s="132"/>
      <c r="T344" s="132"/>
      <c r="U344" s="132"/>
      <c r="V344" s="132">
        <f t="shared" si="180"/>
        <v>0</v>
      </c>
      <c r="W344" s="132"/>
      <c r="X344" s="361"/>
      <c r="Y344" s="453"/>
      <c r="AT344" s="150"/>
      <c r="AU344" s="150"/>
      <c r="AV344" s="150"/>
      <c r="AW344" s="150"/>
      <c r="AX344" s="150"/>
      <c r="AY344" s="150"/>
      <c r="AZ344" s="150"/>
      <c r="BA344" s="150"/>
      <c r="BB344" s="150"/>
      <c r="BC344" s="150"/>
      <c r="BD344" s="150"/>
      <c r="BE344" s="150"/>
      <c r="BF344" s="150"/>
      <c r="BG344" s="150"/>
      <c r="BH344" s="150"/>
      <c r="BI344" s="150"/>
      <c r="BJ344" s="150"/>
      <c r="BK344" s="150"/>
      <c r="BL344" s="150"/>
      <c r="BM344" s="150"/>
      <c r="BN344" s="150"/>
      <c r="BO344" s="150"/>
      <c r="BP344" s="150"/>
      <c r="BQ344" s="150"/>
      <c r="BR344" s="150"/>
      <c r="BS344" s="150"/>
    </row>
    <row r="345" spans="1:71" s="55" customFormat="1" ht="24.6" hidden="1" customHeight="1">
      <c r="A345" s="462"/>
      <c r="B345" s="167" t="s">
        <v>10</v>
      </c>
      <c r="C345" s="167"/>
      <c r="D345" s="167"/>
      <c r="E345" s="167"/>
      <c r="F345" s="167"/>
      <c r="G345" s="74"/>
      <c r="H345" s="74"/>
      <c r="I345" s="74"/>
      <c r="J345" s="74"/>
      <c r="K345" s="74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361"/>
      <c r="Y345" s="453"/>
      <c r="AT345" s="150"/>
      <c r="AU345" s="150"/>
      <c r="AV345" s="150"/>
      <c r="AW345" s="150"/>
      <c r="AX345" s="150"/>
      <c r="AY345" s="150"/>
      <c r="AZ345" s="150"/>
      <c r="BA345" s="150"/>
      <c r="BB345" s="150"/>
      <c r="BC345" s="150"/>
      <c r="BD345" s="150"/>
      <c r="BE345" s="150"/>
      <c r="BF345" s="150"/>
      <c r="BG345" s="150"/>
      <c r="BH345" s="150"/>
      <c r="BI345" s="150"/>
      <c r="BJ345" s="150"/>
      <c r="BK345" s="150"/>
      <c r="BL345" s="150"/>
      <c r="BM345" s="150"/>
      <c r="BN345" s="150"/>
      <c r="BO345" s="150"/>
      <c r="BP345" s="150"/>
      <c r="BQ345" s="150"/>
      <c r="BR345" s="150"/>
      <c r="BS345" s="150"/>
    </row>
    <row r="346" spans="1:71" s="55" customFormat="1" ht="24.6" hidden="1" customHeight="1">
      <c r="A346" s="462"/>
      <c r="B346" s="167" t="s">
        <v>34</v>
      </c>
      <c r="C346" s="167"/>
      <c r="D346" s="167"/>
      <c r="E346" s="167"/>
      <c r="F346" s="167"/>
      <c r="G346" s="74"/>
      <c r="H346" s="74"/>
      <c r="I346" s="74"/>
      <c r="J346" s="74"/>
      <c r="K346" s="74"/>
      <c r="L346" s="132">
        <f>57000-26990.3</f>
        <v>30009.7</v>
      </c>
      <c r="M346" s="132"/>
      <c r="N346" s="132"/>
      <c r="O346" s="132">
        <v>3000</v>
      </c>
      <c r="P346" s="132">
        <v>27009.7</v>
      </c>
      <c r="Q346" s="132"/>
      <c r="R346" s="132"/>
      <c r="S346" s="132"/>
      <c r="T346" s="132"/>
      <c r="U346" s="132"/>
      <c r="V346" s="132"/>
      <c r="W346" s="132"/>
      <c r="X346" s="361"/>
      <c r="Y346" s="453"/>
      <c r="AT346" s="150"/>
      <c r="AU346" s="150"/>
      <c r="AV346" s="150"/>
      <c r="AW346" s="150"/>
      <c r="AX346" s="150"/>
      <c r="AY346" s="150"/>
      <c r="AZ346" s="150"/>
      <c r="BA346" s="150"/>
      <c r="BB346" s="150"/>
      <c r="BC346" s="150"/>
      <c r="BD346" s="150"/>
      <c r="BE346" s="150"/>
      <c r="BF346" s="150"/>
      <c r="BG346" s="150"/>
      <c r="BH346" s="150"/>
      <c r="BI346" s="150"/>
      <c r="BJ346" s="150"/>
      <c r="BK346" s="150"/>
      <c r="BL346" s="150"/>
      <c r="BM346" s="150"/>
      <c r="BN346" s="150"/>
      <c r="BO346" s="150"/>
      <c r="BP346" s="150"/>
      <c r="BQ346" s="150"/>
      <c r="BR346" s="150"/>
      <c r="BS346" s="150"/>
    </row>
    <row r="347" spans="1:71" s="55" customFormat="1" ht="24.95" customHeight="1">
      <c r="A347" s="475" t="s">
        <v>366</v>
      </c>
      <c r="B347" s="167" t="s">
        <v>89</v>
      </c>
      <c r="C347" s="167"/>
      <c r="D347" s="167"/>
      <c r="E347" s="167"/>
      <c r="F347" s="167"/>
      <c r="G347" s="74"/>
      <c r="H347" s="74"/>
      <c r="I347" s="74"/>
      <c r="J347" s="74"/>
      <c r="K347" s="74"/>
      <c r="L347" s="132"/>
      <c r="M347" s="132"/>
      <c r="N347" s="132"/>
      <c r="O347" s="132"/>
      <c r="P347" s="132"/>
      <c r="Q347" s="132">
        <f>U347</f>
        <v>0.22</v>
      </c>
      <c r="R347" s="132"/>
      <c r="S347" s="132"/>
      <c r="T347" s="132"/>
      <c r="U347" s="132">
        <v>0.22</v>
      </c>
      <c r="V347" s="132"/>
      <c r="W347" s="132"/>
      <c r="X347" s="361"/>
      <c r="Y347" s="453" t="s">
        <v>547</v>
      </c>
      <c r="AT347" s="150"/>
      <c r="AU347" s="150"/>
      <c r="AV347" s="150"/>
      <c r="AW347" s="150"/>
      <c r="AX347" s="150"/>
      <c r="AY347" s="150"/>
      <c r="AZ347" s="150"/>
      <c r="BA347" s="150"/>
      <c r="BB347" s="150"/>
      <c r="BC347" s="150"/>
      <c r="BD347" s="150"/>
      <c r="BE347" s="150"/>
      <c r="BF347" s="150"/>
      <c r="BG347" s="150"/>
      <c r="BH347" s="150"/>
      <c r="BI347" s="150"/>
      <c r="BJ347" s="150"/>
      <c r="BK347" s="150"/>
      <c r="BL347" s="150"/>
      <c r="BM347" s="150"/>
      <c r="BN347" s="150"/>
      <c r="BO347" s="150"/>
      <c r="BP347" s="150"/>
      <c r="BQ347" s="150"/>
      <c r="BR347" s="150"/>
      <c r="BS347" s="150"/>
    </row>
    <row r="348" spans="1:71" s="55" customFormat="1" ht="24.95" customHeight="1">
      <c r="A348" s="476"/>
      <c r="B348" s="167" t="s">
        <v>272</v>
      </c>
      <c r="C348" s="167"/>
      <c r="D348" s="167"/>
      <c r="E348" s="167"/>
      <c r="F348" s="167"/>
      <c r="G348" s="74"/>
      <c r="H348" s="74"/>
      <c r="I348" s="74"/>
      <c r="J348" s="74"/>
      <c r="K348" s="74"/>
      <c r="L348" s="132"/>
      <c r="M348" s="132"/>
      <c r="N348" s="132"/>
      <c r="O348" s="132"/>
      <c r="P348" s="132"/>
      <c r="Q348" s="132">
        <f>Q349</f>
        <v>6327.9</v>
      </c>
      <c r="R348" s="132">
        <f t="shared" ref="R348:U348" si="182">R349</f>
        <v>0</v>
      </c>
      <c r="S348" s="132">
        <f t="shared" si="182"/>
        <v>0</v>
      </c>
      <c r="T348" s="132">
        <f t="shared" si="182"/>
        <v>6000</v>
      </c>
      <c r="U348" s="132">
        <f t="shared" si="182"/>
        <v>327.90000000000009</v>
      </c>
      <c r="V348" s="132">
        <f>V349</f>
        <v>0</v>
      </c>
      <c r="W348" s="132"/>
      <c r="X348" s="361"/>
      <c r="Y348" s="453"/>
      <c r="AT348" s="150"/>
      <c r="AU348" s="150"/>
      <c r="AV348" s="150"/>
      <c r="AW348" s="150"/>
      <c r="AX348" s="150"/>
      <c r="AY348" s="150"/>
      <c r="AZ348" s="150"/>
      <c r="BA348" s="150"/>
      <c r="BB348" s="150"/>
      <c r="BC348" s="150"/>
      <c r="BD348" s="150"/>
      <c r="BE348" s="150"/>
      <c r="BF348" s="150"/>
      <c r="BG348" s="150"/>
      <c r="BH348" s="150"/>
      <c r="BI348" s="150"/>
      <c r="BJ348" s="150"/>
      <c r="BK348" s="150"/>
      <c r="BL348" s="150"/>
      <c r="BM348" s="150"/>
      <c r="BN348" s="150"/>
      <c r="BO348" s="150"/>
      <c r="BP348" s="150"/>
      <c r="BQ348" s="150"/>
      <c r="BR348" s="150"/>
      <c r="BS348" s="150"/>
    </row>
    <row r="349" spans="1:71" s="55" customFormat="1" ht="24.95" customHeight="1">
      <c r="A349" s="476"/>
      <c r="B349" s="167" t="s">
        <v>10</v>
      </c>
      <c r="C349" s="167"/>
      <c r="D349" s="167"/>
      <c r="E349" s="167"/>
      <c r="F349" s="167"/>
      <c r="G349" s="74"/>
      <c r="H349" s="74"/>
      <c r="I349" s="74"/>
      <c r="J349" s="74"/>
      <c r="K349" s="74"/>
      <c r="L349" s="132"/>
      <c r="M349" s="132"/>
      <c r="N349" s="132"/>
      <c r="O349" s="132"/>
      <c r="P349" s="132"/>
      <c r="Q349" s="132">
        <f>T349+U349</f>
        <v>6327.9</v>
      </c>
      <c r="R349" s="132"/>
      <c r="S349" s="132"/>
      <c r="T349" s="132">
        <v>6000</v>
      </c>
      <c r="U349" s="132">
        <f>4000-1437-2115.1-120</f>
        <v>327.90000000000009</v>
      </c>
      <c r="V349" s="132"/>
      <c r="W349" s="132"/>
      <c r="X349" s="361"/>
      <c r="Y349" s="453"/>
      <c r="AT349" s="150"/>
      <c r="AU349" s="150"/>
      <c r="AV349" s="150"/>
      <c r="AW349" s="150"/>
      <c r="AX349" s="150"/>
      <c r="AY349" s="150"/>
      <c r="AZ349" s="150"/>
      <c r="BA349" s="150"/>
      <c r="BB349" s="150"/>
      <c r="BC349" s="150"/>
      <c r="BD349" s="150"/>
      <c r="BE349" s="150"/>
      <c r="BF349" s="150"/>
      <c r="BG349" s="150"/>
      <c r="BH349" s="150"/>
      <c r="BI349" s="150"/>
      <c r="BJ349" s="150"/>
      <c r="BK349" s="150"/>
      <c r="BL349" s="150"/>
      <c r="BM349" s="150"/>
      <c r="BN349" s="150"/>
      <c r="BO349" s="150"/>
      <c r="BP349" s="150"/>
      <c r="BQ349" s="150"/>
      <c r="BR349" s="150"/>
      <c r="BS349" s="150"/>
    </row>
    <row r="350" spans="1:71" s="55" customFormat="1" ht="24.95" customHeight="1">
      <c r="A350" s="477"/>
      <c r="B350" s="167" t="s">
        <v>463</v>
      </c>
      <c r="C350" s="167"/>
      <c r="D350" s="167"/>
      <c r="E350" s="167"/>
      <c r="F350" s="167"/>
      <c r="G350" s="74"/>
      <c r="H350" s="74"/>
      <c r="I350" s="74"/>
      <c r="J350" s="74"/>
      <c r="K350" s="74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361"/>
      <c r="Y350" s="453"/>
      <c r="AT350" s="150"/>
      <c r="AU350" s="150"/>
      <c r="AV350" s="150"/>
      <c r="AW350" s="150"/>
      <c r="AX350" s="150"/>
      <c r="AY350" s="150"/>
      <c r="AZ350" s="150"/>
      <c r="BA350" s="150"/>
      <c r="BB350" s="150"/>
      <c r="BC350" s="150"/>
      <c r="BD350" s="150"/>
      <c r="BE350" s="150"/>
      <c r="BF350" s="150"/>
      <c r="BG350" s="150"/>
      <c r="BH350" s="150"/>
      <c r="BI350" s="150"/>
      <c r="BJ350" s="150"/>
      <c r="BK350" s="150"/>
      <c r="BL350" s="150"/>
      <c r="BM350" s="150"/>
      <c r="BN350" s="150"/>
      <c r="BO350" s="150"/>
      <c r="BP350" s="150"/>
      <c r="BQ350" s="150"/>
      <c r="BR350" s="150"/>
      <c r="BS350" s="150"/>
    </row>
    <row r="351" spans="1:71" s="55" customFormat="1" ht="24.95" customHeight="1">
      <c r="A351" s="410" t="s">
        <v>106</v>
      </c>
      <c r="B351" s="82" t="s">
        <v>89</v>
      </c>
      <c r="C351" s="82"/>
      <c r="D351" s="82"/>
      <c r="E351" s="82"/>
      <c r="F351" s="82"/>
      <c r="G351" s="80">
        <f>G355+G359</f>
        <v>0</v>
      </c>
      <c r="H351" s="80">
        <f t="shared" ref="H351:K351" si="183">H355+H359</f>
        <v>0</v>
      </c>
      <c r="I351" s="80">
        <f t="shared" si="183"/>
        <v>0</v>
      </c>
      <c r="J351" s="80">
        <f t="shared" si="183"/>
        <v>0</v>
      </c>
      <c r="K351" s="80">
        <f t="shared" si="183"/>
        <v>0</v>
      </c>
      <c r="L351" s="131">
        <f>L355+L359</f>
        <v>5.4169999999999998</v>
      </c>
      <c r="M351" s="131">
        <f t="shared" ref="M351:P351" si="184">M355+M359</f>
        <v>0</v>
      </c>
      <c r="N351" s="131">
        <f t="shared" si="184"/>
        <v>0</v>
      </c>
      <c r="O351" s="131">
        <f>O355+O359</f>
        <v>0</v>
      </c>
      <c r="P351" s="131">
        <f t="shared" si="184"/>
        <v>5.4169999999999998</v>
      </c>
      <c r="Q351" s="131">
        <f>Q355+Q359</f>
        <v>2.4</v>
      </c>
      <c r="R351" s="131">
        <f t="shared" ref="R351:U351" si="185">R355+R359</f>
        <v>0</v>
      </c>
      <c r="S351" s="131">
        <f t="shared" si="185"/>
        <v>0</v>
      </c>
      <c r="T351" s="131">
        <f t="shared" si="185"/>
        <v>0</v>
      </c>
      <c r="U351" s="131">
        <f t="shared" si="185"/>
        <v>2.4</v>
      </c>
      <c r="V351" s="131">
        <f>V355+V359</f>
        <v>0</v>
      </c>
      <c r="W351" s="131">
        <f>W355+W359</f>
        <v>0</v>
      </c>
      <c r="X351" s="361"/>
      <c r="Y351" s="82"/>
      <c r="AT351" s="150"/>
      <c r="AU351" s="150"/>
      <c r="AV351" s="150"/>
      <c r="AW351" s="150"/>
      <c r="AX351" s="150"/>
      <c r="AY351" s="150"/>
      <c r="AZ351" s="150"/>
      <c r="BA351" s="150"/>
      <c r="BB351" s="150"/>
      <c r="BC351" s="150"/>
      <c r="BD351" s="150"/>
      <c r="BE351" s="150"/>
      <c r="BF351" s="150"/>
      <c r="BG351" s="150"/>
      <c r="BH351" s="150"/>
      <c r="BI351" s="150"/>
      <c r="BJ351" s="150"/>
      <c r="BK351" s="150"/>
      <c r="BL351" s="150"/>
      <c r="BM351" s="150"/>
      <c r="BN351" s="150"/>
      <c r="BO351" s="150"/>
      <c r="BP351" s="150"/>
      <c r="BQ351" s="150"/>
      <c r="BR351" s="150"/>
      <c r="BS351" s="150"/>
    </row>
    <row r="352" spans="1:71" ht="24.95" customHeight="1">
      <c r="A352" s="411"/>
      <c r="B352" s="82" t="s">
        <v>272</v>
      </c>
      <c r="C352" s="82"/>
      <c r="D352" s="82"/>
      <c r="E352" s="82"/>
      <c r="F352" s="82"/>
      <c r="G352" s="80">
        <f>G354+G353</f>
        <v>0</v>
      </c>
      <c r="H352" s="80">
        <f t="shared" ref="H352:W352" si="186">H354+H353</f>
        <v>0</v>
      </c>
      <c r="I352" s="80">
        <f t="shared" si="186"/>
        <v>0</v>
      </c>
      <c r="J352" s="80">
        <f t="shared" si="186"/>
        <v>0</v>
      </c>
      <c r="K352" s="80">
        <f t="shared" si="186"/>
        <v>0</v>
      </c>
      <c r="L352" s="131">
        <f t="shared" si="186"/>
        <v>145946.70000000001</v>
      </c>
      <c r="M352" s="131">
        <f t="shared" si="186"/>
        <v>0</v>
      </c>
      <c r="N352" s="131">
        <f t="shared" si="186"/>
        <v>0</v>
      </c>
      <c r="O352" s="131">
        <f t="shared" si="186"/>
        <v>48010.9</v>
      </c>
      <c r="P352" s="131">
        <f t="shared" si="186"/>
        <v>97935.8</v>
      </c>
      <c r="Q352" s="131">
        <f t="shared" si="186"/>
        <v>49990.8</v>
      </c>
      <c r="R352" s="131">
        <f t="shared" si="186"/>
        <v>0</v>
      </c>
      <c r="S352" s="131">
        <f t="shared" si="186"/>
        <v>0</v>
      </c>
      <c r="T352" s="131">
        <f t="shared" si="186"/>
        <v>0</v>
      </c>
      <c r="U352" s="131">
        <f t="shared" si="186"/>
        <v>49990.8</v>
      </c>
      <c r="V352" s="131">
        <f t="shared" si="186"/>
        <v>0</v>
      </c>
      <c r="W352" s="131">
        <f t="shared" si="186"/>
        <v>0</v>
      </c>
      <c r="X352" s="361"/>
      <c r="Y352" s="82"/>
    </row>
    <row r="353" spans="1:71" ht="24.95" customHeight="1">
      <c r="A353" s="411"/>
      <c r="B353" s="82" t="s">
        <v>10</v>
      </c>
      <c r="C353" s="82"/>
      <c r="D353" s="82"/>
      <c r="E353" s="82"/>
      <c r="F353" s="82"/>
      <c r="G353" s="80">
        <f>G357+G361</f>
        <v>0</v>
      </c>
      <c r="H353" s="80">
        <f t="shared" ref="H353:W354" si="187">H357+H361</f>
        <v>0</v>
      </c>
      <c r="I353" s="80">
        <f t="shared" si="187"/>
        <v>0</v>
      </c>
      <c r="J353" s="80">
        <f t="shared" si="187"/>
        <v>0</v>
      </c>
      <c r="K353" s="80">
        <f t="shared" si="187"/>
        <v>0</v>
      </c>
      <c r="L353" s="131">
        <f>L357+L361</f>
        <v>40000</v>
      </c>
      <c r="M353" s="131">
        <f t="shared" ref="M353:P353" si="188">M357+M361</f>
        <v>0</v>
      </c>
      <c r="N353" s="131">
        <f t="shared" si="188"/>
        <v>0</v>
      </c>
      <c r="O353" s="131">
        <f t="shared" si="188"/>
        <v>30000</v>
      </c>
      <c r="P353" s="131">
        <f t="shared" si="188"/>
        <v>10000</v>
      </c>
      <c r="Q353" s="131">
        <f t="shared" si="187"/>
        <v>49990.8</v>
      </c>
      <c r="R353" s="131">
        <f t="shared" si="187"/>
        <v>0</v>
      </c>
      <c r="S353" s="131">
        <f t="shared" si="187"/>
        <v>0</v>
      </c>
      <c r="T353" s="131">
        <f t="shared" si="187"/>
        <v>0</v>
      </c>
      <c r="U353" s="131">
        <f t="shared" si="187"/>
        <v>49990.8</v>
      </c>
      <c r="V353" s="131">
        <f t="shared" si="187"/>
        <v>0</v>
      </c>
      <c r="W353" s="131">
        <f t="shared" si="187"/>
        <v>0</v>
      </c>
      <c r="X353" s="361"/>
      <c r="Y353" s="82"/>
    </row>
    <row r="354" spans="1:71" ht="24.6" customHeight="1">
      <c r="A354" s="446"/>
      <c r="B354" s="82" t="s">
        <v>463</v>
      </c>
      <c r="C354" s="82"/>
      <c r="D354" s="82"/>
      <c r="E354" s="82"/>
      <c r="F354" s="82"/>
      <c r="G354" s="80">
        <f>G358+G362</f>
        <v>0</v>
      </c>
      <c r="H354" s="80">
        <f t="shared" si="187"/>
        <v>0</v>
      </c>
      <c r="I354" s="80">
        <f t="shared" si="187"/>
        <v>0</v>
      </c>
      <c r="J354" s="80">
        <f t="shared" si="187"/>
        <v>0</v>
      </c>
      <c r="K354" s="80">
        <f t="shared" si="187"/>
        <v>0</v>
      </c>
      <c r="L354" s="131">
        <f t="shared" si="187"/>
        <v>105946.70000000001</v>
      </c>
      <c r="M354" s="131">
        <f t="shared" si="187"/>
        <v>0</v>
      </c>
      <c r="N354" s="131">
        <f t="shared" si="187"/>
        <v>0</v>
      </c>
      <c r="O354" s="131">
        <f t="shared" si="187"/>
        <v>18010.900000000001</v>
      </c>
      <c r="P354" s="131">
        <f t="shared" si="187"/>
        <v>87935.8</v>
      </c>
      <c r="Q354" s="131">
        <f t="shared" si="187"/>
        <v>0</v>
      </c>
      <c r="R354" s="131"/>
      <c r="S354" s="131"/>
      <c r="T354" s="131"/>
      <c r="U354" s="131"/>
      <c r="V354" s="131">
        <f t="shared" si="187"/>
        <v>0</v>
      </c>
      <c r="W354" s="131">
        <f t="shared" si="187"/>
        <v>0</v>
      </c>
      <c r="X354" s="361"/>
      <c r="Y354" s="82"/>
    </row>
    <row r="355" spans="1:71" ht="0.6" customHeight="1">
      <c r="A355" s="462" t="s">
        <v>21</v>
      </c>
      <c r="B355" s="171" t="s">
        <v>89</v>
      </c>
      <c r="C355" s="171">
        <v>176</v>
      </c>
      <c r="D355" s="171" t="s">
        <v>15</v>
      </c>
      <c r="E355" s="171">
        <v>6100404</v>
      </c>
      <c r="F355" s="171">
        <v>414</v>
      </c>
      <c r="G355" s="79"/>
      <c r="H355" s="79"/>
      <c r="I355" s="79"/>
      <c r="J355" s="79"/>
      <c r="K355" s="79"/>
      <c r="L355" s="134">
        <v>1.417</v>
      </c>
      <c r="M355" s="134"/>
      <c r="N355" s="134"/>
      <c r="O355" s="134"/>
      <c r="P355" s="134">
        <v>1.417</v>
      </c>
      <c r="Q355" s="134"/>
      <c r="R355" s="134"/>
      <c r="S355" s="134"/>
      <c r="T355" s="134"/>
      <c r="U355" s="134"/>
      <c r="V355" s="134"/>
      <c r="W355" s="134"/>
      <c r="X355" s="361"/>
      <c r="Y355" s="463" t="s">
        <v>230</v>
      </c>
    </row>
    <row r="356" spans="1:71" ht="24.6" hidden="1" customHeight="1">
      <c r="A356" s="462"/>
      <c r="B356" s="171" t="s">
        <v>272</v>
      </c>
      <c r="C356" s="171"/>
      <c r="D356" s="171"/>
      <c r="E356" s="171"/>
      <c r="F356" s="171"/>
      <c r="G356" s="79">
        <f>G357+G358</f>
        <v>0</v>
      </c>
      <c r="H356" s="79">
        <f t="shared" ref="H356:V356" si="189">H357+H358</f>
        <v>0</v>
      </c>
      <c r="I356" s="79">
        <f t="shared" si="189"/>
        <v>0</v>
      </c>
      <c r="J356" s="79">
        <f t="shared" si="189"/>
        <v>0</v>
      </c>
      <c r="K356" s="79">
        <f t="shared" si="189"/>
        <v>0</v>
      </c>
      <c r="L356" s="134">
        <f t="shared" si="189"/>
        <v>40000</v>
      </c>
      <c r="M356" s="134">
        <f t="shared" si="189"/>
        <v>0</v>
      </c>
      <c r="N356" s="134">
        <f t="shared" si="189"/>
        <v>0</v>
      </c>
      <c r="O356" s="134">
        <f t="shared" si="189"/>
        <v>30000</v>
      </c>
      <c r="P356" s="134">
        <f t="shared" si="189"/>
        <v>10000</v>
      </c>
      <c r="Q356" s="134">
        <f t="shared" si="189"/>
        <v>0</v>
      </c>
      <c r="R356" s="134"/>
      <c r="S356" s="134"/>
      <c r="T356" s="134"/>
      <c r="U356" s="134"/>
      <c r="V356" s="134">
        <f t="shared" si="189"/>
        <v>0</v>
      </c>
      <c r="W356" s="134"/>
      <c r="X356" s="361"/>
      <c r="Y356" s="463"/>
    </row>
    <row r="357" spans="1:71" ht="24.6" hidden="1" customHeight="1">
      <c r="A357" s="462"/>
      <c r="B357" s="171" t="s">
        <v>10</v>
      </c>
      <c r="C357" s="171"/>
      <c r="D357" s="171"/>
      <c r="E357" s="171"/>
      <c r="F357" s="171"/>
      <c r="G357" s="79"/>
      <c r="H357" s="79"/>
      <c r="I357" s="79"/>
      <c r="J357" s="79"/>
      <c r="K357" s="79"/>
      <c r="L357" s="134">
        <v>40000</v>
      </c>
      <c r="M357" s="134"/>
      <c r="N357" s="134"/>
      <c r="O357" s="134">
        <v>30000</v>
      </c>
      <c r="P357" s="134">
        <v>10000</v>
      </c>
      <c r="Q357" s="134"/>
      <c r="R357" s="134"/>
      <c r="S357" s="134"/>
      <c r="T357" s="134"/>
      <c r="U357" s="134"/>
      <c r="V357" s="134"/>
      <c r="W357" s="134"/>
      <c r="X357" s="361"/>
      <c r="Y357" s="463"/>
    </row>
    <row r="358" spans="1:71" ht="24.6" hidden="1" customHeight="1">
      <c r="A358" s="462"/>
      <c r="B358" s="171" t="s">
        <v>34</v>
      </c>
      <c r="C358" s="171"/>
      <c r="D358" s="171"/>
      <c r="E358" s="171"/>
      <c r="F358" s="171"/>
      <c r="G358" s="79"/>
      <c r="H358" s="79"/>
      <c r="I358" s="79"/>
      <c r="J358" s="79"/>
      <c r="K358" s="79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361"/>
      <c r="Y358" s="463"/>
    </row>
    <row r="359" spans="1:71" ht="24" customHeight="1">
      <c r="A359" s="462" t="s">
        <v>367</v>
      </c>
      <c r="B359" s="167" t="s">
        <v>89</v>
      </c>
      <c r="C359" s="167"/>
      <c r="D359" s="167"/>
      <c r="E359" s="167"/>
      <c r="F359" s="167"/>
      <c r="G359" s="74"/>
      <c r="H359" s="74"/>
      <c r="I359" s="74"/>
      <c r="J359" s="74"/>
      <c r="K359" s="74"/>
      <c r="L359" s="132">
        <v>4</v>
      </c>
      <c r="M359" s="132"/>
      <c r="N359" s="132"/>
      <c r="O359" s="132"/>
      <c r="P359" s="132">
        <v>4</v>
      </c>
      <c r="Q359" s="132">
        <f>U359</f>
        <v>2.4</v>
      </c>
      <c r="R359" s="132"/>
      <c r="S359" s="132"/>
      <c r="T359" s="132"/>
      <c r="U359" s="132">
        <v>2.4</v>
      </c>
      <c r="V359" s="132"/>
      <c r="W359" s="132"/>
      <c r="X359" s="361"/>
      <c r="Y359" s="453" t="s">
        <v>530</v>
      </c>
    </row>
    <row r="360" spans="1:71" ht="24.6" customHeight="1">
      <c r="A360" s="462"/>
      <c r="B360" s="167" t="s">
        <v>272</v>
      </c>
      <c r="C360" s="167"/>
      <c r="D360" s="167"/>
      <c r="E360" s="167"/>
      <c r="F360" s="167"/>
      <c r="G360" s="74">
        <f>G361+G362</f>
        <v>0</v>
      </c>
      <c r="H360" s="74">
        <f t="shared" ref="H360:W360" si="190">H361+H362</f>
        <v>0</v>
      </c>
      <c r="I360" s="74">
        <f t="shared" si="190"/>
        <v>0</v>
      </c>
      <c r="J360" s="74">
        <f t="shared" si="190"/>
        <v>0</v>
      </c>
      <c r="K360" s="74">
        <f t="shared" si="190"/>
        <v>0</v>
      </c>
      <c r="L360" s="132">
        <f t="shared" si="190"/>
        <v>105946.70000000001</v>
      </c>
      <c r="M360" s="132">
        <f t="shared" si="190"/>
        <v>0</v>
      </c>
      <c r="N360" s="132">
        <f t="shared" si="190"/>
        <v>0</v>
      </c>
      <c r="O360" s="132">
        <f t="shared" si="190"/>
        <v>18010.900000000001</v>
      </c>
      <c r="P360" s="132">
        <f t="shared" si="190"/>
        <v>87935.8</v>
      </c>
      <c r="Q360" s="132">
        <f t="shared" si="190"/>
        <v>49990.8</v>
      </c>
      <c r="R360" s="132"/>
      <c r="S360" s="132"/>
      <c r="T360" s="132"/>
      <c r="U360" s="132">
        <f>U361</f>
        <v>49990.8</v>
      </c>
      <c r="V360" s="132">
        <f t="shared" si="190"/>
        <v>0</v>
      </c>
      <c r="W360" s="132">
        <f t="shared" si="190"/>
        <v>0</v>
      </c>
      <c r="X360" s="361"/>
      <c r="Y360" s="453"/>
    </row>
    <row r="361" spans="1:71" ht="24.6" customHeight="1">
      <c r="A361" s="462"/>
      <c r="B361" s="167" t="s">
        <v>10</v>
      </c>
      <c r="C361" s="167"/>
      <c r="D361" s="167"/>
      <c r="E361" s="167"/>
      <c r="F361" s="167"/>
      <c r="G361" s="74"/>
      <c r="H361" s="74"/>
      <c r="I361" s="74"/>
      <c r="J361" s="74"/>
      <c r="K361" s="74"/>
      <c r="L361" s="132"/>
      <c r="M361" s="132"/>
      <c r="N361" s="132"/>
      <c r="O361" s="132"/>
      <c r="P361" s="132"/>
      <c r="Q361" s="132">
        <f>T361+U361</f>
        <v>49990.8</v>
      </c>
      <c r="R361" s="132"/>
      <c r="S361" s="132"/>
      <c r="T361" s="132"/>
      <c r="U361" s="132">
        <f>70400-20083.7-325.5</f>
        <v>49990.8</v>
      </c>
      <c r="V361" s="132"/>
      <c r="W361" s="132">
        <v>0</v>
      </c>
      <c r="X361" s="361"/>
      <c r="Y361" s="453"/>
    </row>
    <row r="362" spans="1:71" ht="24.6" customHeight="1">
      <c r="A362" s="462"/>
      <c r="B362" s="167" t="s">
        <v>463</v>
      </c>
      <c r="C362" s="167"/>
      <c r="D362" s="167"/>
      <c r="E362" s="167"/>
      <c r="F362" s="167"/>
      <c r="G362" s="74"/>
      <c r="H362" s="74"/>
      <c r="I362" s="74"/>
      <c r="J362" s="74"/>
      <c r="K362" s="74"/>
      <c r="L362" s="132">
        <f>125424.8-19478.1</f>
        <v>105946.70000000001</v>
      </c>
      <c r="M362" s="132"/>
      <c r="N362" s="132"/>
      <c r="O362" s="132">
        <v>18010.900000000001</v>
      </c>
      <c r="P362" s="132">
        <v>87935.8</v>
      </c>
      <c r="Q362" s="132">
        <v>0</v>
      </c>
      <c r="R362" s="132"/>
      <c r="S362" s="132"/>
      <c r="T362" s="132"/>
      <c r="U362" s="132"/>
      <c r="V362" s="132"/>
      <c r="W362" s="132"/>
      <c r="X362" s="361"/>
      <c r="Y362" s="453"/>
    </row>
    <row r="363" spans="1:71" ht="24.6" hidden="1" customHeight="1">
      <c r="A363" s="461" t="s">
        <v>141</v>
      </c>
      <c r="B363" s="82" t="s">
        <v>89</v>
      </c>
      <c r="C363" s="167"/>
      <c r="D363" s="167"/>
      <c r="E363" s="167"/>
      <c r="F363" s="167"/>
      <c r="G363" s="80">
        <f>G367</f>
        <v>0</v>
      </c>
      <c r="H363" s="80">
        <f t="shared" ref="H363:V363" si="191">H367</f>
        <v>0</v>
      </c>
      <c r="I363" s="80">
        <f t="shared" si="191"/>
        <v>0</v>
      </c>
      <c r="J363" s="80">
        <f t="shared" si="191"/>
        <v>0</v>
      </c>
      <c r="K363" s="80">
        <f t="shared" si="191"/>
        <v>0</v>
      </c>
      <c r="L363" s="131">
        <f t="shared" si="191"/>
        <v>0</v>
      </c>
      <c r="M363" s="131"/>
      <c r="N363" s="131"/>
      <c r="O363" s="131"/>
      <c r="P363" s="131"/>
      <c r="Q363" s="131">
        <f t="shared" si="191"/>
        <v>0</v>
      </c>
      <c r="R363" s="131"/>
      <c r="S363" s="131"/>
      <c r="T363" s="131"/>
      <c r="U363" s="131"/>
      <c r="V363" s="131">
        <f t="shared" si="191"/>
        <v>0</v>
      </c>
      <c r="W363" s="131"/>
      <c r="X363" s="361"/>
      <c r="Y363" s="338"/>
    </row>
    <row r="364" spans="1:71" ht="24.95" hidden="1" customHeight="1">
      <c r="A364" s="461"/>
      <c r="B364" s="82" t="s">
        <v>272</v>
      </c>
      <c r="C364" s="167"/>
      <c r="D364" s="167"/>
      <c r="E364" s="167"/>
      <c r="F364" s="167"/>
      <c r="G364" s="80">
        <f>G365+G366</f>
        <v>0</v>
      </c>
      <c r="H364" s="80">
        <f t="shared" ref="H364:V364" si="192">H365+H366</f>
        <v>0</v>
      </c>
      <c r="I364" s="80">
        <f t="shared" si="192"/>
        <v>0</v>
      </c>
      <c r="J364" s="80">
        <f t="shared" si="192"/>
        <v>0</v>
      </c>
      <c r="K364" s="80">
        <f t="shared" si="192"/>
        <v>0</v>
      </c>
      <c r="L364" s="131">
        <f t="shared" si="192"/>
        <v>0</v>
      </c>
      <c r="M364" s="131"/>
      <c r="N364" s="131"/>
      <c r="O364" s="131"/>
      <c r="P364" s="131"/>
      <c r="Q364" s="131">
        <f t="shared" si="192"/>
        <v>0</v>
      </c>
      <c r="R364" s="131"/>
      <c r="S364" s="131"/>
      <c r="T364" s="131"/>
      <c r="U364" s="131"/>
      <c r="V364" s="131">
        <f t="shared" si="192"/>
        <v>0</v>
      </c>
      <c r="W364" s="131"/>
      <c r="X364" s="361"/>
      <c r="Y364" s="338"/>
    </row>
    <row r="365" spans="1:71" ht="24.95" hidden="1" customHeight="1">
      <c r="A365" s="461"/>
      <c r="B365" s="82" t="s">
        <v>10</v>
      </c>
      <c r="C365" s="167"/>
      <c r="D365" s="167"/>
      <c r="E365" s="167"/>
      <c r="F365" s="167"/>
      <c r="G365" s="80">
        <f>G369</f>
        <v>0</v>
      </c>
      <c r="H365" s="80">
        <f t="shared" ref="H365:V366" si="193">H369</f>
        <v>0</v>
      </c>
      <c r="I365" s="80">
        <f t="shared" si="193"/>
        <v>0</v>
      </c>
      <c r="J365" s="80">
        <f t="shared" si="193"/>
        <v>0</v>
      </c>
      <c r="K365" s="80">
        <f t="shared" si="193"/>
        <v>0</v>
      </c>
      <c r="L365" s="131">
        <f t="shared" si="193"/>
        <v>0</v>
      </c>
      <c r="M365" s="131"/>
      <c r="N365" s="131"/>
      <c r="O365" s="131"/>
      <c r="P365" s="131"/>
      <c r="Q365" s="131">
        <f t="shared" si="193"/>
        <v>0</v>
      </c>
      <c r="R365" s="131"/>
      <c r="S365" s="131"/>
      <c r="T365" s="131"/>
      <c r="U365" s="131"/>
      <c r="V365" s="131">
        <f t="shared" si="193"/>
        <v>0</v>
      </c>
      <c r="W365" s="131"/>
      <c r="X365" s="361"/>
      <c r="Y365" s="338"/>
    </row>
    <row r="366" spans="1:71" ht="24.95" hidden="1" customHeight="1">
      <c r="A366" s="461"/>
      <c r="B366" s="82" t="s">
        <v>34</v>
      </c>
      <c r="C366" s="167"/>
      <c r="D366" s="167"/>
      <c r="E366" s="167"/>
      <c r="F366" s="167"/>
      <c r="G366" s="80">
        <f>G370</f>
        <v>0</v>
      </c>
      <c r="H366" s="80">
        <f t="shared" si="193"/>
        <v>0</v>
      </c>
      <c r="I366" s="80">
        <f t="shared" si="193"/>
        <v>0</v>
      </c>
      <c r="J366" s="80">
        <f t="shared" si="193"/>
        <v>0</v>
      </c>
      <c r="K366" s="80">
        <f t="shared" si="193"/>
        <v>0</v>
      </c>
      <c r="L366" s="131">
        <f t="shared" si="193"/>
        <v>0</v>
      </c>
      <c r="M366" s="131"/>
      <c r="N366" s="131"/>
      <c r="O366" s="131"/>
      <c r="P366" s="131"/>
      <c r="Q366" s="131">
        <f t="shared" si="193"/>
        <v>0</v>
      </c>
      <c r="R366" s="131"/>
      <c r="S366" s="131"/>
      <c r="T366" s="131"/>
      <c r="U366" s="131"/>
      <c r="V366" s="131">
        <f t="shared" si="193"/>
        <v>0</v>
      </c>
      <c r="W366" s="131"/>
      <c r="X366" s="361"/>
      <c r="Y366" s="338"/>
    </row>
    <row r="367" spans="1:71" ht="24.95" hidden="1" customHeight="1">
      <c r="A367" s="462" t="s">
        <v>255</v>
      </c>
      <c r="B367" s="167" t="s">
        <v>89</v>
      </c>
      <c r="C367" s="167"/>
      <c r="D367" s="167"/>
      <c r="E367" s="167"/>
      <c r="F367" s="167"/>
      <c r="G367" s="74"/>
      <c r="H367" s="74"/>
      <c r="I367" s="74"/>
      <c r="J367" s="74"/>
      <c r="K367" s="74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361"/>
      <c r="Y367" s="453" t="s">
        <v>254</v>
      </c>
    </row>
    <row r="368" spans="1:71" s="55" customFormat="1" ht="24.95" hidden="1" customHeight="1">
      <c r="A368" s="462"/>
      <c r="B368" s="167" t="s">
        <v>272</v>
      </c>
      <c r="C368" s="167"/>
      <c r="D368" s="167"/>
      <c r="E368" s="167"/>
      <c r="F368" s="167"/>
      <c r="G368" s="74">
        <f>G369+G370</f>
        <v>0</v>
      </c>
      <c r="H368" s="74">
        <f t="shared" ref="H368:V368" si="194">H369+H370</f>
        <v>0</v>
      </c>
      <c r="I368" s="74">
        <f t="shared" si="194"/>
        <v>0</v>
      </c>
      <c r="J368" s="74">
        <f t="shared" si="194"/>
        <v>0</v>
      </c>
      <c r="K368" s="74">
        <f t="shared" si="194"/>
        <v>0</v>
      </c>
      <c r="L368" s="132">
        <f t="shared" si="194"/>
        <v>0</v>
      </c>
      <c r="M368" s="132"/>
      <c r="N368" s="132"/>
      <c r="O368" s="132"/>
      <c r="P368" s="132"/>
      <c r="Q368" s="132">
        <f t="shared" si="194"/>
        <v>0</v>
      </c>
      <c r="R368" s="132"/>
      <c r="S368" s="132"/>
      <c r="T368" s="132"/>
      <c r="U368" s="132"/>
      <c r="V368" s="132">
        <f t="shared" si="194"/>
        <v>0</v>
      </c>
      <c r="W368" s="132"/>
      <c r="X368" s="361"/>
      <c r="Y368" s="453"/>
      <c r="AT368" s="150"/>
      <c r="AU368" s="150"/>
      <c r="AV368" s="150"/>
      <c r="AW368" s="150"/>
      <c r="AX368" s="150"/>
      <c r="AY368" s="150"/>
      <c r="AZ368" s="150"/>
      <c r="BA368" s="150"/>
      <c r="BB368" s="150"/>
      <c r="BC368" s="150"/>
      <c r="BD368" s="150"/>
      <c r="BE368" s="150"/>
      <c r="BF368" s="150"/>
      <c r="BG368" s="150"/>
      <c r="BH368" s="150"/>
      <c r="BI368" s="150"/>
      <c r="BJ368" s="150"/>
      <c r="BK368" s="150"/>
      <c r="BL368" s="150"/>
      <c r="BM368" s="150"/>
      <c r="BN368" s="150"/>
      <c r="BO368" s="150"/>
      <c r="BP368" s="150"/>
      <c r="BQ368" s="150"/>
      <c r="BR368" s="150"/>
      <c r="BS368" s="150"/>
    </row>
    <row r="369" spans="1:71" s="55" customFormat="1" ht="24.95" hidden="1" customHeight="1">
      <c r="A369" s="462"/>
      <c r="B369" s="167" t="s">
        <v>10</v>
      </c>
      <c r="C369" s="167"/>
      <c r="D369" s="167"/>
      <c r="E369" s="167"/>
      <c r="F369" s="167"/>
      <c r="G369" s="74"/>
      <c r="H369" s="74"/>
      <c r="I369" s="74"/>
      <c r="J369" s="74"/>
      <c r="K369" s="74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361"/>
      <c r="Y369" s="453"/>
      <c r="AT369" s="150"/>
      <c r="AU369" s="150"/>
      <c r="AV369" s="150"/>
      <c r="AW369" s="150"/>
      <c r="AX369" s="150"/>
      <c r="AY369" s="150"/>
      <c r="AZ369" s="150"/>
      <c r="BA369" s="150"/>
      <c r="BB369" s="150"/>
      <c r="BC369" s="150"/>
      <c r="BD369" s="150"/>
      <c r="BE369" s="150"/>
      <c r="BF369" s="150"/>
      <c r="BG369" s="150"/>
      <c r="BH369" s="150"/>
      <c r="BI369" s="150"/>
      <c r="BJ369" s="150"/>
      <c r="BK369" s="150"/>
      <c r="BL369" s="150"/>
      <c r="BM369" s="150"/>
      <c r="BN369" s="150"/>
      <c r="BO369" s="150"/>
      <c r="BP369" s="150"/>
      <c r="BQ369" s="150"/>
      <c r="BR369" s="150"/>
      <c r="BS369" s="150"/>
    </row>
    <row r="370" spans="1:71" s="55" customFormat="1" ht="24.95" hidden="1" customHeight="1">
      <c r="A370" s="462"/>
      <c r="B370" s="167" t="s">
        <v>34</v>
      </c>
      <c r="C370" s="167"/>
      <c r="D370" s="167"/>
      <c r="E370" s="167"/>
      <c r="F370" s="167"/>
      <c r="G370" s="74"/>
      <c r="H370" s="74"/>
      <c r="I370" s="74"/>
      <c r="J370" s="74"/>
      <c r="K370" s="74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361"/>
      <c r="Y370" s="453"/>
      <c r="AT370" s="150"/>
      <c r="AU370" s="150"/>
      <c r="AV370" s="150"/>
      <c r="AW370" s="150"/>
      <c r="AX370" s="150"/>
      <c r="AY370" s="150"/>
      <c r="AZ370" s="150"/>
      <c r="BA370" s="150"/>
      <c r="BB370" s="150"/>
      <c r="BC370" s="150"/>
      <c r="BD370" s="150"/>
      <c r="BE370" s="150"/>
      <c r="BF370" s="150"/>
      <c r="BG370" s="150"/>
      <c r="BH370" s="150"/>
      <c r="BI370" s="150"/>
      <c r="BJ370" s="150"/>
      <c r="BK370" s="150"/>
      <c r="BL370" s="150"/>
      <c r="BM370" s="150"/>
      <c r="BN370" s="150"/>
      <c r="BO370" s="150"/>
      <c r="BP370" s="150"/>
      <c r="BQ370" s="150"/>
      <c r="BR370" s="150"/>
      <c r="BS370" s="150"/>
    </row>
    <row r="371" spans="1:71" s="55" customFormat="1" ht="24.95" hidden="1" customHeight="1">
      <c r="A371" s="461" t="s">
        <v>107</v>
      </c>
      <c r="B371" s="82" t="s">
        <v>89</v>
      </c>
      <c r="C371" s="82"/>
      <c r="D371" s="82"/>
      <c r="E371" s="82"/>
      <c r="F371" s="82"/>
      <c r="G371" s="80">
        <f>G375</f>
        <v>0</v>
      </c>
      <c r="H371" s="80">
        <f t="shared" ref="H371:U371" si="195">H375</f>
        <v>0</v>
      </c>
      <c r="I371" s="80">
        <f t="shared" si="195"/>
        <v>0</v>
      </c>
      <c r="J371" s="80">
        <f t="shared" si="195"/>
        <v>0</v>
      </c>
      <c r="K371" s="80">
        <f t="shared" si="195"/>
        <v>0</v>
      </c>
      <c r="L371" s="131">
        <f>L375</f>
        <v>0</v>
      </c>
      <c r="M371" s="131"/>
      <c r="N371" s="131"/>
      <c r="O371" s="131"/>
      <c r="P371" s="131"/>
      <c r="Q371" s="131">
        <f t="shared" si="195"/>
        <v>0</v>
      </c>
      <c r="R371" s="131">
        <f t="shared" si="195"/>
        <v>0</v>
      </c>
      <c r="S371" s="131">
        <f t="shared" si="195"/>
        <v>0</v>
      </c>
      <c r="T371" s="131">
        <f t="shared" si="195"/>
        <v>0</v>
      </c>
      <c r="U371" s="131">
        <f t="shared" si="195"/>
        <v>0</v>
      </c>
      <c r="V371" s="131"/>
      <c r="W371" s="131"/>
      <c r="X371" s="361"/>
      <c r="Y371" s="82"/>
      <c r="AT371" s="150"/>
      <c r="AU371" s="150"/>
      <c r="AV371" s="150"/>
      <c r="AW371" s="150"/>
      <c r="AX371" s="150"/>
      <c r="AY371" s="150"/>
      <c r="AZ371" s="150"/>
      <c r="BA371" s="150"/>
      <c r="BB371" s="150"/>
      <c r="BC371" s="150"/>
      <c r="BD371" s="150"/>
      <c r="BE371" s="150"/>
      <c r="BF371" s="150"/>
      <c r="BG371" s="150"/>
      <c r="BH371" s="150"/>
      <c r="BI371" s="150"/>
      <c r="BJ371" s="150"/>
      <c r="BK371" s="150"/>
      <c r="BL371" s="150"/>
      <c r="BM371" s="150"/>
      <c r="BN371" s="150"/>
      <c r="BO371" s="150"/>
      <c r="BP371" s="150"/>
      <c r="BQ371" s="150"/>
      <c r="BR371" s="150"/>
      <c r="BS371" s="150"/>
    </row>
    <row r="372" spans="1:71" ht="24.95" hidden="1" customHeight="1">
      <c r="A372" s="461"/>
      <c r="B372" s="82" t="s">
        <v>272</v>
      </c>
      <c r="C372" s="82"/>
      <c r="D372" s="82"/>
      <c r="E372" s="82"/>
      <c r="F372" s="82"/>
      <c r="G372" s="80">
        <f>G373+G374</f>
        <v>0</v>
      </c>
      <c r="H372" s="80">
        <f t="shared" ref="H372:U372" si="196">H373+H374</f>
        <v>0</v>
      </c>
      <c r="I372" s="80">
        <f t="shared" si="196"/>
        <v>0</v>
      </c>
      <c r="J372" s="80">
        <f t="shared" si="196"/>
        <v>0</v>
      </c>
      <c r="K372" s="80">
        <f t="shared" si="196"/>
        <v>0</v>
      </c>
      <c r="L372" s="131">
        <f t="shared" si="196"/>
        <v>0</v>
      </c>
      <c r="M372" s="131"/>
      <c r="N372" s="131"/>
      <c r="O372" s="131"/>
      <c r="P372" s="131"/>
      <c r="Q372" s="131">
        <f t="shared" si="196"/>
        <v>0</v>
      </c>
      <c r="R372" s="131">
        <f t="shared" si="196"/>
        <v>0</v>
      </c>
      <c r="S372" s="131">
        <f t="shared" si="196"/>
        <v>0</v>
      </c>
      <c r="T372" s="131">
        <f t="shared" si="196"/>
        <v>0</v>
      </c>
      <c r="U372" s="131">
        <f t="shared" si="196"/>
        <v>0</v>
      </c>
      <c r="V372" s="131"/>
      <c r="W372" s="131"/>
      <c r="X372" s="361"/>
      <c r="Y372" s="82"/>
    </row>
    <row r="373" spans="1:71" ht="24.95" hidden="1" customHeight="1">
      <c r="A373" s="461"/>
      <c r="B373" s="82" t="s">
        <v>10</v>
      </c>
      <c r="C373" s="82"/>
      <c r="D373" s="82"/>
      <c r="E373" s="82"/>
      <c r="F373" s="82"/>
      <c r="G373" s="80">
        <f>G377</f>
        <v>0</v>
      </c>
      <c r="H373" s="80">
        <f t="shared" ref="H373:U374" si="197">H377</f>
        <v>0</v>
      </c>
      <c r="I373" s="80">
        <f t="shared" si="197"/>
        <v>0</v>
      </c>
      <c r="J373" s="80">
        <f t="shared" si="197"/>
        <v>0</v>
      </c>
      <c r="K373" s="80">
        <f t="shared" si="197"/>
        <v>0</v>
      </c>
      <c r="L373" s="131">
        <f t="shared" si="197"/>
        <v>0</v>
      </c>
      <c r="M373" s="131"/>
      <c r="N373" s="131"/>
      <c r="O373" s="131"/>
      <c r="P373" s="131"/>
      <c r="Q373" s="131">
        <f t="shared" si="197"/>
        <v>0</v>
      </c>
      <c r="R373" s="131">
        <f t="shared" si="197"/>
        <v>0</v>
      </c>
      <c r="S373" s="131">
        <f t="shared" si="197"/>
        <v>0</v>
      </c>
      <c r="T373" s="131">
        <f t="shared" si="197"/>
        <v>0</v>
      </c>
      <c r="U373" s="131">
        <f t="shared" si="197"/>
        <v>0</v>
      </c>
      <c r="V373" s="131"/>
      <c r="W373" s="131"/>
      <c r="X373" s="361"/>
      <c r="Y373" s="82"/>
    </row>
    <row r="374" spans="1:71" ht="24.95" hidden="1" customHeight="1">
      <c r="A374" s="461"/>
      <c r="B374" s="82" t="s">
        <v>34</v>
      </c>
      <c r="C374" s="82"/>
      <c r="D374" s="82"/>
      <c r="E374" s="82"/>
      <c r="F374" s="82"/>
      <c r="G374" s="80">
        <f>G378</f>
        <v>0</v>
      </c>
      <c r="H374" s="80">
        <f t="shared" si="197"/>
        <v>0</v>
      </c>
      <c r="I374" s="80">
        <f t="shared" si="197"/>
        <v>0</v>
      </c>
      <c r="J374" s="80">
        <f t="shared" si="197"/>
        <v>0</v>
      </c>
      <c r="K374" s="80">
        <f t="shared" si="197"/>
        <v>0</v>
      </c>
      <c r="L374" s="131">
        <f t="shared" si="197"/>
        <v>0</v>
      </c>
      <c r="M374" s="131"/>
      <c r="N374" s="131"/>
      <c r="O374" s="131"/>
      <c r="P374" s="131"/>
      <c r="Q374" s="131">
        <f t="shared" si="197"/>
        <v>0</v>
      </c>
      <c r="R374" s="131">
        <f t="shared" si="197"/>
        <v>0</v>
      </c>
      <c r="S374" s="131">
        <f t="shared" si="197"/>
        <v>0</v>
      </c>
      <c r="T374" s="131">
        <f t="shared" si="197"/>
        <v>0</v>
      </c>
      <c r="U374" s="131">
        <f t="shared" si="197"/>
        <v>0</v>
      </c>
      <c r="V374" s="131"/>
      <c r="W374" s="131"/>
      <c r="X374" s="361"/>
      <c r="Y374" s="82"/>
    </row>
    <row r="375" spans="1:71" ht="24.95" hidden="1" customHeight="1">
      <c r="A375" s="462" t="s">
        <v>425</v>
      </c>
      <c r="B375" s="167" t="s">
        <v>89</v>
      </c>
      <c r="C375" s="167">
        <v>176</v>
      </c>
      <c r="D375" s="167" t="s">
        <v>15</v>
      </c>
      <c r="E375" s="167">
        <v>6100404</v>
      </c>
      <c r="F375" s="167">
        <v>414</v>
      </c>
      <c r="G375" s="74">
        <v>0</v>
      </c>
      <c r="H375" s="74">
        <v>0</v>
      </c>
      <c r="I375" s="74">
        <v>0</v>
      </c>
      <c r="J375" s="74">
        <v>0</v>
      </c>
      <c r="K375" s="74">
        <v>0</v>
      </c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361"/>
      <c r="Y375" s="453" t="s">
        <v>368</v>
      </c>
    </row>
    <row r="376" spans="1:71" ht="24.95" hidden="1" customHeight="1">
      <c r="A376" s="462"/>
      <c r="B376" s="167" t="s">
        <v>272</v>
      </c>
      <c r="C376" s="167"/>
      <c r="D376" s="167"/>
      <c r="E376" s="167"/>
      <c r="F376" s="167"/>
      <c r="G376" s="74">
        <f>G377+G378</f>
        <v>0</v>
      </c>
      <c r="H376" s="74">
        <f t="shared" ref="H376:Q376" si="198">H377+H378</f>
        <v>0</v>
      </c>
      <c r="I376" s="74">
        <f t="shared" si="198"/>
        <v>0</v>
      </c>
      <c r="J376" s="74">
        <f t="shared" si="198"/>
        <v>0</v>
      </c>
      <c r="K376" s="74">
        <f t="shared" si="198"/>
        <v>0</v>
      </c>
      <c r="L376" s="132">
        <f t="shared" si="198"/>
        <v>0</v>
      </c>
      <c r="M376" s="132"/>
      <c r="N376" s="132"/>
      <c r="O376" s="132"/>
      <c r="P376" s="132"/>
      <c r="Q376" s="132">
        <f t="shared" si="198"/>
        <v>0</v>
      </c>
      <c r="R376" s="132"/>
      <c r="S376" s="132"/>
      <c r="T376" s="132"/>
      <c r="U376" s="132"/>
      <c r="V376" s="132"/>
      <c r="W376" s="132"/>
      <c r="X376" s="361"/>
      <c r="Y376" s="453"/>
    </row>
    <row r="377" spans="1:71" ht="28.5" hidden="1" customHeight="1">
      <c r="A377" s="462"/>
      <c r="B377" s="167" t="s">
        <v>10</v>
      </c>
      <c r="C377" s="167"/>
      <c r="D377" s="167"/>
      <c r="E377" s="167"/>
      <c r="F377" s="167"/>
      <c r="G377" s="74"/>
      <c r="H377" s="74"/>
      <c r="I377" s="74"/>
      <c r="J377" s="74"/>
      <c r="K377" s="74"/>
      <c r="L377" s="132"/>
      <c r="M377" s="132"/>
      <c r="N377" s="132"/>
      <c r="O377" s="132"/>
      <c r="P377" s="132"/>
      <c r="Q377" s="132">
        <f>T377+U377</f>
        <v>0</v>
      </c>
      <c r="R377" s="132"/>
      <c r="S377" s="132"/>
      <c r="T377" s="132"/>
      <c r="U377" s="132"/>
      <c r="V377" s="132"/>
      <c r="W377" s="132"/>
      <c r="X377" s="361"/>
      <c r="Y377" s="453"/>
    </row>
    <row r="378" spans="1:71" ht="24.95" hidden="1" customHeight="1">
      <c r="A378" s="462"/>
      <c r="B378" s="167" t="s">
        <v>34</v>
      </c>
      <c r="C378" s="167"/>
      <c r="D378" s="167"/>
      <c r="E378" s="167"/>
      <c r="F378" s="167"/>
      <c r="G378" s="74"/>
      <c r="H378" s="74"/>
      <c r="I378" s="74"/>
      <c r="J378" s="74"/>
      <c r="K378" s="74"/>
      <c r="L378" s="132">
        <v>0</v>
      </c>
      <c r="M378" s="132"/>
      <c r="N378" s="132"/>
      <c r="O378" s="132"/>
      <c r="P378" s="132"/>
      <c r="Q378" s="132">
        <f>T378+U378</f>
        <v>0</v>
      </c>
      <c r="R378" s="132"/>
      <c r="S378" s="132"/>
      <c r="T378" s="132"/>
      <c r="U378" s="132"/>
      <c r="V378" s="132"/>
      <c r="W378" s="132"/>
      <c r="X378" s="361"/>
      <c r="Y378" s="453"/>
    </row>
    <row r="379" spans="1:71" ht="0.6" hidden="1" customHeight="1">
      <c r="A379" s="461" t="s">
        <v>143</v>
      </c>
      <c r="B379" s="82" t="s">
        <v>89</v>
      </c>
      <c r="C379" s="167"/>
      <c r="D379" s="167"/>
      <c r="E379" s="167"/>
      <c r="F379" s="167"/>
      <c r="G379" s="80">
        <f>G383</f>
        <v>0</v>
      </c>
      <c r="H379" s="80">
        <f t="shared" ref="H379:Q379" si="199">H383</f>
        <v>0</v>
      </c>
      <c r="I379" s="80">
        <f t="shared" si="199"/>
        <v>0</v>
      </c>
      <c r="J379" s="80">
        <f t="shared" si="199"/>
        <v>0</v>
      </c>
      <c r="K379" s="80">
        <f t="shared" si="199"/>
        <v>0</v>
      </c>
      <c r="L379" s="131">
        <f>L383</f>
        <v>0</v>
      </c>
      <c r="M379" s="131"/>
      <c r="N379" s="131"/>
      <c r="O379" s="131"/>
      <c r="P379" s="131"/>
      <c r="Q379" s="131">
        <f t="shared" si="199"/>
        <v>0</v>
      </c>
      <c r="R379" s="131"/>
      <c r="S379" s="131"/>
      <c r="T379" s="131"/>
      <c r="U379" s="131"/>
      <c r="V379" s="131">
        <f>V387</f>
        <v>0</v>
      </c>
      <c r="W379" s="131"/>
      <c r="X379" s="361"/>
      <c r="Y379" s="338"/>
    </row>
    <row r="380" spans="1:71" ht="24.6" hidden="1" customHeight="1">
      <c r="A380" s="461"/>
      <c r="B380" s="82" t="s">
        <v>272</v>
      </c>
      <c r="C380" s="167"/>
      <c r="D380" s="167"/>
      <c r="E380" s="167"/>
      <c r="F380" s="167"/>
      <c r="G380" s="80">
        <f>G381+G382</f>
        <v>0</v>
      </c>
      <c r="H380" s="80">
        <f t="shared" ref="H380:V380" si="200">H381+H382</f>
        <v>0</v>
      </c>
      <c r="I380" s="80">
        <f t="shared" si="200"/>
        <v>0</v>
      </c>
      <c r="J380" s="80">
        <f t="shared" si="200"/>
        <v>0</v>
      </c>
      <c r="K380" s="80">
        <f t="shared" si="200"/>
        <v>0</v>
      </c>
      <c r="L380" s="131">
        <f t="shared" si="200"/>
        <v>0</v>
      </c>
      <c r="M380" s="131"/>
      <c r="N380" s="131"/>
      <c r="O380" s="131"/>
      <c r="P380" s="131"/>
      <c r="Q380" s="131">
        <f>Q381+Q382</f>
        <v>0</v>
      </c>
      <c r="R380" s="131"/>
      <c r="S380" s="131"/>
      <c r="T380" s="131"/>
      <c r="U380" s="131"/>
      <c r="V380" s="131">
        <f t="shared" si="200"/>
        <v>0</v>
      </c>
      <c r="W380" s="131"/>
      <c r="X380" s="361"/>
      <c r="Y380" s="338"/>
    </row>
    <row r="381" spans="1:71" ht="24.6" hidden="1" customHeight="1">
      <c r="A381" s="461"/>
      <c r="B381" s="82" t="s">
        <v>10</v>
      </c>
      <c r="C381" s="167"/>
      <c r="D381" s="167"/>
      <c r="E381" s="167"/>
      <c r="F381" s="167"/>
      <c r="G381" s="80">
        <f>G385</f>
        <v>0</v>
      </c>
      <c r="H381" s="80">
        <f t="shared" ref="H381:V382" si="201">H385</f>
        <v>0</v>
      </c>
      <c r="I381" s="80">
        <f t="shared" si="201"/>
        <v>0</v>
      </c>
      <c r="J381" s="80">
        <f t="shared" si="201"/>
        <v>0</v>
      </c>
      <c r="K381" s="80">
        <f t="shared" si="201"/>
        <v>0</v>
      </c>
      <c r="L381" s="131">
        <f t="shared" si="201"/>
        <v>0</v>
      </c>
      <c r="M381" s="131"/>
      <c r="N381" s="131"/>
      <c r="O381" s="131"/>
      <c r="P381" s="131"/>
      <c r="Q381" s="131"/>
      <c r="R381" s="131"/>
      <c r="S381" s="131"/>
      <c r="T381" s="131"/>
      <c r="U381" s="131"/>
      <c r="V381" s="131">
        <f t="shared" si="201"/>
        <v>0</v>
      </c>
      <c r="W381" s="131"/>
      <c r="X381" s="361"/>
      <c r="Y381" s="338"/>
    </row>
    <row r="382" spans="1:71" ht="24" hidden="1" customHeight="1">
      <c r="A382" s="461"/>
      <c r="B382" s="82" t="s">
        <v>34</v>
      </c>
      <c r="C382" s="167"/>
      <c r="D382" s="167"/>
      <c r="E382" s="167"/>
      <c r="F382" s="167"/>
      <c r="G382" s="80">
        <f>G386</f>
        <v>0</v>
      </c>
      <c r="H382" s="80">
        <f t="shared" si="201"/>
        <v>0</v>
      </c>
      <c r="I382" s="80">
        <f t="shared" si="201"/>
        <v>0</v>
      </c>
      <c r="J382" s="80">
        <f t="shared" si="201"/>
        <v>0</v>
      </c>
      <c r="K382" s="80">
        <f t="shared" si="201"/>
        <v>0</v>
      </c>
      <c r="L382" s="131">
        <f t="shared" si="201"/>
        <v>0</v>
      </c>
      <c r="M382" s="131"/>
      <c r="N382" s="131"/>
      <c r="O382" s="131"/>
      <c r="P382" s="131"/>
      <c r="Q382" s="131">
        <f>Q386</f>
        <v>0</v>
      </c>
      <c r="R382" s="131"/>
      <c r="S382" s="131"/>
      <c r="T382" s="131"/>
      <c r="U382" s="131"/>
      <c r="V382" s="131">
        <f>V390</f>
        <v>0</v>
      </c>
      <c r="W382" s="131"/>
      <c r="X382" s="361"/>
      <c r="Y382" s="338"/>
    </row>
    <row r="383" spans="1:71" ht="24.6" hidden="1" customHeight="1">
      <c r="A383" s="462" t="s">
        <v>256</v>
      </c>
      <c r="B383" s="167" t="s">
        <v>89</v>
      </c>
      <c r="C383" s="167"/>
      <c r="D383" s="167"/>
      <c r="E383" s="167"/>
      <c r="F383" s="167"/>
      <c r="G383" s="74"/>
      <c r="H383" s="74"/>
      <c r="I383" s="74"/>
      <c r="J383" s="74"/>
      <c r="K383" s="74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361"/>
      <c r="Y383" s="453" t="s">
        <v>254</v>
      </c>
    </row>
    <row r="384" spans="1:71" s="55" customFormat="1" ht="24.6" hidden="1" customHeight="1">
      <c r="A384" s="462"/>
      <c r="B384" s="167" t="s">
        <v>272</v>
      </c>
      <c r="C384" s="167"/>
      <c r="D384" s="167"/>
      <c r="E384" s="167"/>
      <c r="F384" s="167"/>
      <c r="G384" s="74">
        <f>G385+G386</f>
        <v>0</v>
      </c>
      <c r="H384" s="74">
        <f t="shared" ref="H384:V384" si="202">H385+H386</f>
        <v>0</v>
      </c>
      <c r="I384" s="74">
        <f t="shared" si="202"/>
        <v>0</v>
      </c>
      <c r="J384" s="74">
        <f t="shared" si="202"/>
        <v>0</v>
      </c>
      <c r="K384" s="74">
        <f t="shared" si="202"/>
        <v>0</v>
      </c>
      <c r="L384" s="132">
        <f t="shared" si="202"/>
        <v>0</v>
      </c>
      <c r="M384" s="132"/>
      <c r="N384" s="132"/>
      <c r="O384" s="132"/>
      <c r="P384" s="132"/>
      <c r="Q384" s="132"/>
      <c r="R384" s="132"/>
      <c r="S384" s="132"/>
      <c r="T384" s="132"/>
      <c r="U384" s="132"/>
      <c r="V384" s="132">
        <f t="shared" si="202"/>
        <v>0</v>
      </c>
      <c r="W384" s="132"/>
      <c r="X384" s="361"/>
      <c r="Y384" s="453"/>
      <c r="AT384" s="150"/>
      <c r="AU384" s="150"/>
      <c r="AV384" s="150"/>
      <c r="AW384" s="150"/>
      <c r="AX384" s="150"/>
      <c r="AY384" s="150"/>
      <c r="AZ384" s="150"/>
      <c r="BA384" s="150"/>
      <c r="BB384" s="150"/>
      <c r="BC384" s="150"/>
      <c r="BD384" s="150"/>
      <c r="BE384" s="150"/>
      <c r="BF384" s="150"/>
      <c r="BG384" s="150"/>
      <c r="BH384" s="150"/>
      <c r="BI384" s="150"/>
      <c r="BJ384" s="150"/>
      <c r="BK384" s="150"/>
      <c r="BL384" s="150"/>
      <c r="BM384" s="150"/>
      <c r="BN384" s="150"/>
      <c r="BO384" s="150"/>
      <c r="BP384" s="150"/>
      <c r="BQ384" s="150"/>
      <c r="BR384" s="150"/>
      <c r="BS384" s="150"/>
    </row>
    <row r="385" spans="1:71" s="55" customFormat="1" ht="28.15" hidden="1" customHeight="1">
      <c r="A385" s="462"/>
      <c r="B385" s="167" t="s">
        <v>10</v>
      </c>
      <c r="C385" s="167"/>
      <c r="D385" s="167"/>
      <c r="E385" s="167"/>
      <c r="F385" s="167"/>
      <c r="G385" s="74"/>
      <c r="H385" s="74"/>
      <c r="I385" s="74"/>
      <c r="J385" s="74"/>
      <c r="K385" s="74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361"/>
      <c r="Y385" s="453"/>
      <c r="AT385" s="150"/>
      <c r="AU385" s="150"/>
      <c r="AV385" s="150"/>
      <c r="AW385" s="150"/>
      <c r="AX385" s="150"/>
      <c r="AY385" s="150"/>
      <c r="AZ385" s="150"/>
      <c r="BA385" s="150"/>
      <c r="BB385" s="150"/>
      <c r="BC385" s="150"/>
      <c r="BD385" s="150"/>
      <c r="BE385" s="150"/>
      <c r="BF385" s="150"/>
      <c r="BG385" s="150"/>
      <c r="BH385" s="150"/>
      <c r="BI385" s="150"/>
      <c r="BJ385" s="150"/>
      <c r="BK385" s="150"/>
      <c r="BL385" s="150"/>
      <c r="BM385" s="150"/>
      <c r="BN385" s="150"/>
      <c r="BO385" s="150"/>
      <c r="BP385" s="150"/>
      <c r="BQ385" s="150"/>
      <c r="BR385" s="150"/>
      <c r="BS385" s="150"/>
    </row>
    <row r="386" spans="1:71" s="55" customFormat="1" ht="24.6" hidden="1" customHeight="1">
      <c r="A386" s="462"/>
      <c r="B386" s="167" t="s">
        <v>34</v>
      </c>
      <c r="C386" s="167"/>
      <c r="D386" s="167"/>
      <c r="E386" s="167"/>
      <c r="F386" s="167"/>
      <c r="G386" s="74"/>
      <c r="H386" s="74"/>
      <c r="I386" s="74"/>
      <c r="J386" s="74"/>
      <c r="K386" s="74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361"/>
      <c r="Y386" s="453"/>
      <c r="AT386" s="150"/>
      <c r="AU386" s="150"/>
      <c r="AV386" s="150"/>
      <c r="AW386" s="150"/>
      <c r="AX386" s="150"/>
      <c r="AY386" s="150"/>
      <c r="AZ386" s="150"/>
      <c r="BA386" s="150"/>
      <c r="BB386" s="150"/>
      <c r="BC386" s="150"/>
      <c r="BD386" s="150"/>
      <c r="BE386" s="150"/>
      <c r="BF386" s="150"/>
      <c r="BG386" s="150"/>
      <c r="BH386" s="150"/>
      <c r="BI386" s="150"/>
      <c r="BJ386" s="150"/>
      <c r="BK386" s="150"/>
      <c r="BL386" s="150"/>
      <c r="BM386" s="150"/>
      <c r="BN386" s="150"/>
      <c r="BO386" s="150"/>
      <c r="BP386" s="150"/>
      <c r="BQ386" s="150"/>
      <c r="BR386" s="150"/>
      <c r="BS386" s="150"/>
    </row>
    <row r="387" spans="1:71" s="55" customFormat="1" ht="24.6" hidden="1" customHeight="1">
      <c r="A387" s="475" t="s">
        <v>340</v>
      </c>
      <c r="B387" s="167" t="s">
        <v>89</v>
      </c>
      <c r="C387" s="167"/>
      <c r="D387" s="167"/>
      <c r="E387" s="167"/>
      <c r="F387" s="167"/>
      <c r="G387" s="74"/>
      <c r="H387" s="74"/>
      <c r="I387" s="74"/>
      <c r="J387" s="74"/>
      <c r="K387" s="74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361"/>
      <c r="Y387" s="453" t="s">
        <v>249</v>
      </c>
      <c r="AT387" s="150"/>
      <c r="AU387" s="150"/>
      <c r="AV387" s="150"/>
      <c r="AW387" s="150"/>
      <c r="AX387" s="150"/>
      <c r="AY387" s="150"/>
      <c r="AZ387" s="150"/>
      <c r="BA387" s="150"/>
      <c r="BB387" s="150"/>
      <c r="BC387" s="150"/>
      <c r="BD387" s="150"/>
      <c r="BE387" s="150"/>
      <c r="BF387" s="150"/>
      <c r="BG387" s="150"/>
      <c r="BH387" s="150"/>
      <c r="BI387" s="150"/>
      <c r="BJ387" s="150"/>
      <c r="BK387" s="150"/>
      <c r="BL387" s="150"/>
      <c r="BM387" s="150"/>
      <c r="BN387" s="150"/>
      <c r="BO387" s="150"/>
      <c r="BP387" s="150"/>
      <c r="BQ387" s="150"/>
      <c r="BR387" s="150"/>
      <c r="BS387" s="150"/>
    </row>
    <row r="388" spans="1:71" s="55" customFormat="1" ht="24.6" hidden="1" customHeight="1">
      <c r="A388" s="476"/>
      <c r="B388" s="167" t="s">
        <v>272</v>
      </c>
      <c r="C388" s="167"/>
      <c r="D388" s="167"/>
      <c r="E388" s="167"/>
      <c r="F388" s="167"/>
      <c r="G388" s="74"/>
      <c r="H388" s="74"/>
      <c r="I388" s="74"/>
      <c r="J388" s="74"/>
      <c r="K388" s="74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>
        <f>V390</f>
        <v>0</v>
      </c>
      <c r="W388" s="132"/>
      <c r="X388" s="361"/>
      <c r="Y388" s="453"/>
      <c r="AT388" s="150"/>
      <c r="AU388" s="150"/>
      <c r="AV388" s="150"/>
      <c r="AW388" s="150"/>
      <c r="AX388" s="150"/>
      <c r="AY388" s="150"/>
      <c r="AZ388" s="150"/>
      <c r="BA388" s="150"/>
      <c r="BB388" s="150"/>
      <c r="BC388" s="150"/>
      <c r="BD388" s="150"/>
      <c r="BE388" s="150"/>
      <c r="BF388" s="150"/>
      <c r="BG388" s="150"/>
      <c r="BH388" s="150"/>
      <c r="BI388" s="150"/>
      <c r="BJ388" s="150"/>
      <c r="BK388" s="150"/>
      <c r="BL388" s="150"/>
      <c r="BM388" s="150"/>
      <c r="BN388" s="150"/>
      <c r="BO388" s="150"/>
      <c r="BP388" s="150"/>
      <c r="BQ388" s="150"/>
      <c r="BR388" s="150"/>
      <c r="BS388" s="150"/>
    </row>
    <row r="389" spans="1:71" s="55" customFormat="1" ht="24.6" hidden="1" customHeight="1">
      <c r="A389" s="476"/>
      <c r="B389" s="167" t="s">
        <v>10</v>
      </c>
      <c r="C389" s="167"/>
      <c r="D389" s="167"/>
      <c r="E389" s="167"/>
      <c r="F389" s="167"/>
      <c r="G389" s="74"/>
      <c r="H389" s="74"/>
      <c r="I389" s="74"/>
      <c r="J389" s="74"/>
      <c r="K389" s="74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361"/>
      <c r="Y389" s="453"/>
      <c r="AT389" s="150"/>
      <c r="AU389" s="150"/>
      <c r="AV389" s="150"/>
      <c r="AW389" s="150"/>
      <c r="AX389" s="150"/>
      <c r="AY389" s="150"/>
      <c r="AZ389" s="150"/>
      <c r="BA389" s="150"/>
      <c r="BB389" s="150"/>
      <c r="BC389" s="150"/>
      <c r="BD389" s="150"/>
      <c r="BE389" s="150"/>
      <c r="BF389" s="150"/>
      <c r="BG389" s="150"/>
      <c r="BH389" s="150"/>
      <c r="BI389" s="150"/>
      <c r="BJ389" s="150"/>
      <c r="BK389" s="150"/>
      <c r="BL389" s="150"/>
      <c r="BM389" s="150"/>
      <c r="BN389" s="150"/>
      <c r="BO389" s="150"/>
      <c r="BP389" s="150"/>
      <c r="BQ389" s="150"/>
      <c r="BR389" s="150"/>
      <c r="BS389" s="150"/>
    </row>
    <row r="390" spans="1:71" s="55" customFormat="1" ht="24.6" hidden="1" customHeight="1">
      <c r="A390" s="477"/>
      <c r="B390" s="167" t="s">
        <v>34</v>
      </c>
      <c r="C390" s="167"/>
      <c r="D390" s="167"/>
      <c r="E390" s="167"/>
      <c r="F390" s="167"/>
      <c r="G390" s="74"/>
      <c r="H390" s="74"/>
      <c r="I390" s="74"/>
      <c r="J390" s="74"/>
      <c r="K390" s="74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361"/>
      <c r="Y390" s="453"/>
      <c r="AT390" s="150"/>
      <c r="AU390" s="150"/>
      <c r="AV390" s="150"/>
      <c r="AW390" s="150"/>
      <c r="AX390" s="150"/>
      <c r="AY390" s="150"/>
      <c r="AZ390" s="150"/>
      <c r="BA390" s="150"/>
      <c r="BB390" s="150"/>
      <c r="BC390" s="150"/>
      <c r="BD390" s="150"/>
      <c r="BE390" s="150"/>
      <c r="BF390" s="150"/>
      <c r="BG390" s="150"/>
      <c r="BH390" s="150"/>
      <c r="BI390" s="150"/>
      <c r="BJ390" s="150"/>
      <c r="BK390" s="150"/>
      <c r="BL390" s="150"/>
      <c r="BM390" s="150"/>
      <c r="BN390" s="150"/>
      <c r="BO390" s="150"/>
      <c r="BP390" s="150"/>
      <c r="BQ390" s="150"/>
      <c r="BR390" s="150"/>
      <c r="BS390" s="150"/>
    </row>
    <row r="391" spans="1:71" s="55" customFormat="1" ht="24.95" hidden="1" customHeight="1">
      <c r="A391" s="461" t="s">
        <v>108</v>
      </c>
      <c r="B391" s="82" t="s">
        <v>89</v>
      </c>
      <c r="C391" s="82"/>
      <c r="D391" s="82"/>
      <c r="E391" s="82"/>
      <c r="F391" s="82"/>
      <c r="G391" s="80">
        <f>G395+G399+G403</f>
        <v>2.0680000000000001</v>
      </c>
      <c r="H391" s="80">
        <f t="shared" ref="H391:W391" si="203">H395+H399+H403</f>
        <v>0</v>
      </c>
      <c r="I391" s="80">
        <f t="shared" si="203"/>
        <v>0</v>
      </c>
      <c r="J391" s="80">
        <f t="shared" si="203"/>
        <v>0</v>
      </c>
      <c r="K391" s="80">
        <f t="shared" si="203"/>
        <v>2.0680000000000001</v>
      </c>
      <c r="L391" s="131">
        <f>L395+L399+L403</f>
        <v>2.2610000000000001</v>
      </c>
      <c r="M391" s="131"/>
      <c r="N391" s="131"/>
      <c r="O391" s="131"/>
      <c r="P391" s="131">
        <f>P399</f>
        <v>2.2610000000000001</v>
      </c>
      <c r="Q391" s="131">
        <f t="shared" si="203"/>
        <v>0</v>
      </c>
      <c r="R391" s="131">
        <f t="shared" si="203"/>
        <v>0</v>
      </c>
      <c r="S391" s="131">
        <f t="shared" si="203"/>
        <v>0</v>
      </c>
      <c r="T391" s="131">
        <f t="shared" si="203"/>
        <v>0</v>
      </c>
      <c r="U391" s="131">
        <f t="shared" si="203"/>
        <v>0</v>
      </c>
      <c r="V391" s="131">
        <f t="shared" si="203"/>
        <v>0</v>
      </c>
      <c r="W391" s="131">
        <f t="shared" si="203"/>
        <v>0</v>
      </c>
      <c r="X391" s="361"/>
      <c r="Y391" s="82"/>
      <c r="AT391" s="150"/>
      <c r="AU391" s="150"/>
      <c r="AV391" s="150"/>
      <c r="AW391" s="150"/>
      <c r="AX391" s="150"/>
      <c r="AY391" s="150"/>
      <c r="AZ391" s="150"/>
      <c r="BA391" s="150"/>
      <c r="BB391" s="150"/>
      <c r="BC391" s="150"/>
      <c r="BD391" s="150"/>
      <c r="BE391" s="150"/>
      <c r="BF391" s="150"/>
      <c r="BG391" s="150"/>
      <c r="BH391" s="150"/>
      <c r="BI391" s="150"/>
      <c r="BJ391" s="150"/>
      <c r="BK391" s="150"/>
      <c r="BL391" s="150"/>
      <c r="BM391" s="150"/>
      <c r="BN391" s="150"/>
      <c r="BO391" s="150"/>
      <c r="BP391" s="150"/>
      <c r="BQ391" s="150"/>
      <c r="BR391" s="150"/>
      <c r="BS391" s="150"/>
    </row>
    <row r="392" spans="1:71" ht="24.95" hidden="1" customHeight="1">
      <c r="A392" s="461"/>
      <c r="B392" s="82" t="s">
        <v>272</v>
      </c>
      <c r="C392" s="82"/>
      <c r="D392" s="82"/>
      <c r="E392" s="82"/>
      <c r="F392" s="82"/>
      <c r="G392" s="80">
        <f>G393+G394</f>
        <v>60000.099999999991</v>
      </c>
      <c r="H392" s="80">
        <f t="shared" ref="H392:W392" si="204">H393+H394</f>
        <v>0</v>
      </c>
      <c r="I392" s="80">
        <f t="shared" si="204"/>
        <v>4882.2</v>
      </c>
      <c r="J392" s="80">
        <f t="shared" si="204"/>
        <v>34608</v>
      </c>
      <c r="K392" s="80">
        <f t="shared" si="204"/>
        <v>20509.899999999998</v>
      </c>
      <c r="L392" s="131">
        <f t="shared" si="204"/>
        <v>70843.399999999994</v>
      </c>
      <c r="M392" s="131">
        <f t="shared" si="204"/>
        <v>0</v>
      </c>
      <c r="N392" s="131">
        <f t="shared" si="204"/>
        <v>0</v>
      </c>
      <c r="O392" s="131">
        <f t="shared" si="204"/>
        <v>12043.4</v>
      </c>
      <c r="P392" s="131">
        <f t="shared" si="204"/>
        <v>58800</v>
      </c>
      <c r="Q392" s="131">
        <f t="shared" si="204"/>
        <v>0</v>
      </c>
      <c r="R392" s="131">
        <f t="shared" si="204"/>
        <v>0</v>
      </c>
      <c r="S392" s="131">
        <f t="shared" si="204"/>
        <v>0</v>
      </c>
      <c r="T392" s="131">
        <f t="shared" si="204"/>
        <v>0</v>
      </c>
      <c r="U392" s="131">
        <f t="shared" si="204"/>
        <v>0</v>
      </c>
      <c r="V392" s="131">
        <f t="shared" si="204"/>
        <v>0</v>
      </c>
      <c r="W392" s="131">
        <f t="shared" si="204"/>
        <v>0</v>
      </c>
      <c r="X392" s="361"/>
      <c r="Y392" s="82"/>
    </row>
    <row r="393" spans="1:71" ht="24.95" hidden="1" customHeight="1">
      <c r="A393" s="461"/>
      <c r="B393" s="82" t="s">
        <v>10</v>
      </c>
      <c r="C393" s="82"/>
      <c r="D393" s="82"/>
      <c r="E393" s="82"/>
      <c r="F393" s="82"/>
      <c r="G393" s="80">
        <f>G397+G401+G405</f>
        <v>1000</v>
      </c>
      <c r="H393" s="80">
        <f t="shared" ref="H393:W394" si="205">H397+H401+H405</f>
        <v>0</v>
      </c>
      <c r="I393" s="80">
        <f t="shared" si="205"/>
        <v>0</v>
      </c>
      <c r="J393" s="80">
        <f t="shared" si="205"/>
        <v>0</v>
      </c>
      <c r="K393" s="80">
        <f t="shared" si="205"/>
        <v>1000</v>
      </c>
      <c r="L393" s="131">
        <f t="shared" si="205"/>
        <v>0</v>
      </c>
      <c r="M393" s="131"/>
      <c r="N393" s="131"/>
      <c r="O393" s="131"/>
      <c r="P393" s="131"/>
      <c r="Q393" s="131">
        <f t="shared" si="205"/>
        <v>0</v>
      </c>
      <c r="R393" s="131">
        <f t="shared" si="205"/>
        <v>0</v>
      </c>
      <c r="S393" s="131">
        <f t="shared" si="205"/>
        <v>0</v>
      </c>
      <c r="T393" s="131">
        <f t="shared" si="205"/>
        <v>0</v>
      </c>
      <c r="U393" s="131">
        <f t="shared" si="205"/>
        <v>0</v>
      </c>
      <c r="V393" s="131">
        <f t="shared" si="205"/>
        <v>0</v>
      </c>
      <c r="W393" s="131">
        <f t="shared" si="205"/>
        <v>0</v>
      </c>
      <c r="X393" s="361"/>
      <c r="Y393" s="82"/>
    </row>
    <row r="394" spans="1:71" ht="24.6" hidden="1" customHeight="1">
      <c r="A394" s="461"/>
      <c r="B394" s="82" t="s">
        <v>463</v>
      </c>
      <c r="C394" s="82"/>
      <c r="D394" s="82"/>
      <c r="E394" s="82"/>
      <c r="F394" s="82"/>
      <c r="G394" s="80">
        <f>G398+G402+G406</f>
        <v>59000.099999999991</v>
      </c>
      <c r="H394" s="80">
        <f t="shared" si="205"/>
        <v>0</v>
      </c>
      <c r="I394" s="80">
        <f t="shared" si="205"/>
        <v>4882.2</v>
      </c>
      <c r="J394" s="80">
        <f t="shared" si="205"/>
        <v>34608</v>
      </c>
      <c r="K394" s="80">
        <f t="shared" si="205"/>
        <v>19509.899999999998</v>
      </c>
      <c r="L394" s="131">
        <f>L398+L402+L406</f>
        <v>70843.399999999994</v>
      </c>
      <c r="M394" s="131">
        <f t="shared" ref="M394:P394" si="206">M398+M402+M406</f>
        <v>0</v>
      </c>
      <c r="N394" s="131">
        <f t="shared" si="206"/>
        <v>0</v>
      </c>
      <c r="O394" s="131">
        <f t="shared" si="206"/>
        <v>12043.4</v>
      </c>
      <c r="P394" s="131">
        <f t="shared" si="206"/>
        <v>58800</v>
      </c>
      <c r="Q394" s="131">
        <f t="shared" si="205"/>
        <v>0</v>
      </c>
      <c r="R394" s="131"/>
      <c r="S394" s="131"/>
      <c r="T394" s="131"/>
      <c r="U394" s="131"/>
      <c r="V394" s="131">
        <f t="shared" si="205"/>
        <v>0</v>
      </c>
      <c r="W394" s="131">
        <f t="shared" si="205"/>
        <v>0</v>
      </c>
      <c r="X394" s="361"/>
      <c r="Y394" s="82"/>
    </row>
    <row r="395" spans="1:71" ht="24.95" hidden="1" customHeight="1">
      <c r="A395" s="455" t="s">
        <v>232</v>
      </c>
      <c r="B395" s="167" t="s">
        <v>89</v>
      </c>
      <c r="C395" s="167">
        <v>176</v>
      </c>
      <c r="D395" s="167" t="s">
        <v>15</v>
      </c>
      <c r="E395" s="167">
        <v>6100404</v>
      </c>
      <c r="F395" s="167">
        <v>414</v>
      </c>
      <c r="G395" s="74">
        <f>SUM(H395:K395)</f>
        <v>2.0680000000000001</v>
      </c>
      <c r="H395" s="74">
        <v>0</v>
      </c>
      <c r="I395" s="74"/>
      <c r="J395" s="74"/>
      <c r="K395" s="74">
        <v>2.0680000000000001</v>
      </c>
      <c r="L395" s="132"/>
      <c r="M395" s="132"/>
      <c r="N395" s="132"/>
      <c r="O395" s="132"/>
      <c r="P395" s="132"/>
      <c r="Q395" s="132">
        <v>0</v>
      </c>
      <c r="R395" s="132"/>
      <c r="S395" s="132"/>
      <c r="T395" s="132"/>
      <c r="U395" s="132"/>
      <c r="V395" s="132"/>
      <c r="W395" s="132"/>
      <c r="X395" s="361"/>
      <c r="Y395" s="453" t="s">
        <v>231</v>
      </c>
    </row>
    <row r="396" spans="1:71" ht="21.75" hidden="1" customHeight="1">
      <c r="A396" s="455"/>
      <c r="B396" s="167" t="s">
        <v>272</v>
      </c>
      <c r="C396" s="167"/>
      <c r="D396" s="167"/>
      <c r="E396" s="167"/>
      <c r="F396" s="167"/>
      <c r="G396" s="74">
        <f>G397+G398</f>
        <v>60000.099999999991</v>
      </c>
      <c r="H396" s="74">
        <f t="shared" ref="H396:V396" si="207">H397+H398</f>
        <v>0</v>
      </c>
      <c r="I396" s="74">
        <f t="shared" si="207"/>
        <v>4882.2</v>
      </c>
      <c r="J396" s="74">
        <f t="shared" si="207"/>
        <v>34608</v>
      </c>
      <c r="K396" s="74">
        <f t="shared" si="207"/>
        <v>20509.899999999998</v>
      </c>
      <c r="L396" s="132">
        <f t="shared" si="207"/>
        <v>0</v>
      </c>
      <c r="M396" s="132"/>
      <c r="N396" s="132"/>
      <c r="O396" s="132"/>
      <c r="P396" s="132"/>
      <c r="Q396" s="132">
        <f t="shared" si="207"/>
        <v>0</v>
      </c>
      <c r="R396" s="132"/>
      <c r="S396" s="132"/>
      <c r="T396" s="132"/>
      <c r="U396" s="132"/>
      <c r="V396" s="132">
        <f t="shared" si="207"/>
        <v>0</v>
      </c>
      <c r="W396" s="132"/>
      <c r="X396" s="361"/>
      <c r="Y396" s="453"/>
    </row>
    <row r="397" spans="1:71" ht="24.95" hidden="1" customHeight="1">
      <c r="A397" s="455"/>
      <c r="B397" s="167" t="s">
        <v>10</v>
      </c>
      <c r="C397" s="167"/>
      <c r="D397" s="167"/>
      <c r="E397" s="167"/>
      <c r="F397" s="167"/>
      <c r="G397" s="74">
        <f>SUM(H397:K397)</f>
        <v>1000</v>
      </c>
      <c r="H397" s="74"/>
      <c r="I397" s="74"/>
      <c r="J397" s="74"/>
      <c r="K397" s="74">
        <v>1000</v>
      </c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361"/>
      <c r="Y397" s="453"/>
    </row>
    <row r="398" spans="1:71" ht="24.95" hidden="1" customHeight="1">
      <c r="A398" s="455"/>
      <c r="B398" s="167" t="s">
        <v>34</v>
      </c>
      <c r="C398" s="167"/>
      <c r="D398" s="167"/>
      <c r="E398" s="167"/>
      <c r="F398" s="167"/>
      <c r="G398" s="74">
        <f>SUM(H398:K398)</f>
        <v>59000.099999999991</v>
      </c>
      <c r="H398" s="74"/>
      <c r="I398" s="74">
        <v>4882.2</v>
      </c>
      <c r="J398" s="74">
        <v>34608</v>
      </c>
      <c r="K398" s="74">
        <f>22309.8-818.7-1981.2</f>
        <v>19509.899999999998</v>
      </c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361"/>
      <c r="Y398" s="453"/>
    </row>
    <row r="399" spans="1:71" ht="24.6" hidden="1" customHeight="1">
      <c r="A399" s="501" t="s">
        <v>317</v>
      </c>
      <c r="B399" s="167" t="s">
        <v>89</v>
      </c>
      <c r="C399" s="167"/>
      <c r="D399" s="167"/>
      <c r="E399" s="167"/>
      <c r="F399" s="167"/>
      <c r="G399" s="74"/>
      <c r="H399" s="74"/>
      <c r="I399" s="74"/>
      <c r="J399" s="74"/>
      <c r="K399" s="74"/>
      <c r="L399" s="132">
        <v>2.2610000000000001</v>
      </c>
      <c r="M399" s="132"/>
      <c r="N399" s="132"/>
      <c r="O399" s="132"/>
      <c r="P399" s="132">
        <v>2.2610000000000001</v>
      </c>
      <c r="Q399" s="132"/>
      <c r="R399" s="132"/>
      <c r="S399" s="132"/>
      <c r="T399" s="132"/>
      <c r="U399" s="132"/>
      <c r="V399" s="132"/>
      <c r="W399" s="132"/>
      <c r="X399" s="361"/>
      <c r="Y399" s="453" t="s">
        <v>282</v>
      </c>
    </row>
    <row r="400" spans="1:71" ht="24.6" hidden="1" customHeight="1">
      <c r="A400" s="502"/>
      <c r="B400" s="167" t="s">
        <v>272</v>
      </c>
      <c r="C400" s="167"/>
      <c r="D400" s="167"/>
      <c r="E400" s="167"/>
      <c r="F400" s="167"/>
      <c r="G400" s="74">
        <f>G401+G402</f>
        <v>0</v>
      </c>
      <c r="H400" s="74">
        <f t="shared" ref="H400:V400" si="208">H401+H402</f>
        <v>0</v>
      </c>
      <c r="I400" s="74">
        <f t="shared" si="208"/>
        <v>0</v>
      </c>
      <c r="J400" s="74">
        <f t="shared" si="208"/>
        <v>0</v>
      </c>
      <c r="K400" s="74">
        <f t="shared" si="208"/>
        <v>0</v>
      </c>
      <c r="L400" s="132">
        <f>L401+L402</f>
        <v>70843.399999999994</v>
      </c>
      <c r="M400" s="132">
        <f t="shared" ref="M400:P400" si="209">M401+M402</f>
        <v>0</v>
      </c>
      <c r="N400" s="132">
        <f t="shared" si="209"/>
        <v>0</v>
      </c>
      <c r="O400" s="132">
        <f t="shared" si="209"/>
        <v>12043.4</v>
      </c>
      <c r="P400" s="132">
        <f t="shared" si="209"/>
        <v>58800</v>
      </c>
      <c r="Q400" s="132">
        <f t="shared" si="208"/>
        <v>0</v>
      </c>
      <c r="R400" s="132"/>
      <c r="S400" s="132"/>
      <c r="T400" s="132"/>
      <c r="U400" s="132"/>
      <c r="V400" s="132">
        <f t="shared" si="208"/>
        <v>0</v>
      </c>
      <c r="W400" s="132"/>
      <c r="X400" s="361"/>
      <c r="Y400" s="453"/>
    </row>
    <row r="401" spans="1:25" ht="27" hidden="1" customHeight="1">
      <c r="A401" s="502"/>
      <c r="B401" s="167" t="s">
        <v>10</v>
      </c>
      <c r="C401" s="167"/>
      <c r="D401" s="167"/>
      <c r="E401" s="167"/>
      <c r="F401" s="167"/>
      <c r="G401" s="74"/>
      <c r="H401" s="74"/>
      <c r="I401" s="74"/>
      <c r="J401" s="74"/>
      <c r="K401" s="74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361"/>
      <c r="Y401" s="453"/>
    </row>
    <row r="402" spans="1:25" ht="24.6" hidden="1" customHeight="1">
      <c r="A402" s="503"/>
      <c r="B402" s="167" t="s">
        <v>34</v>
      </c>
      <c r="C402" s="167"/>
      <c r="D402" s="167"/>
      <c r="E402" s="167"/>
      <c r="F402" s="167"/>
      <c r="G402" s="74"/>
      <c r="H402" s="74"/>
      <c r="I402" s="74"/>
      <c r="J402" s="74"/>
      <c r="K402" s="74"/>
      <c r="L402" s="132">
        <f>87610-16766.6</f>
        <v>70843.399999999994</v>
      </c>
      <c r="M402" s="132"/>
      <c r="N402" s="132"/>
      <c r="O402" s="132">
        <v>12043.4</v>
      </c>
      <c r="P402" s="132">
        <v>58800</v>
      </c>
      <c r="Q402" s="132"/>
      <c r="R402" s="132"/>
      <c r="S402" s="132"/>
      <c r="T402" s="132"/>
      <c r="U402" s="132"/>
      <c r="V402" s="132"/>
      <c r="W402" s="132"/>
      <c r="X402" s="361"/>
      <c r="Y402" s="453"/>
    </row>
    <row r="403" spans="1:25" ht="24.95" hidden="1" customHeight="1">
      <c r="A403" s="500" t="s">
        <v>369</v>
      </c>
      <c r="B403" s="171" t="s">
        <v>89</v>
      </c>
      <c r="C403" s="171"/>
      <c r="D403" s="171"/>
      <c r="E403" s="171"/>
      <c r="F403" s="171"/>
      <c r="G403" s="79"/>
      <c r="H403" s="79"/>
      <c r="I403" s="79"/>
      <c r="J403" s="79"/>
      <c r="K403" s="79"/>
      <c r="L403" s="134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361"/>
      <c r="Y403" s="453" t="s">
        <v>348</v>
      </c>
    </row>
    <row r="404" spans="1:25" ht="24.95" hidden="1" customHeight="1">
      <c r="A404" s="500"/>
      <c r="B404" s="171" t="s">
        <v>272</v>
      </c>
      <c r="C404" s="171"/>
      <c r="D404" s="171"/>
      <c r="E404" s="171"/>
      <c r="F404" s="171"/>
      <c r="G404" s="79">
        <f>G405+G406</f>
        <v>0</v>
      </c>
      <c r="H404" s="79">
        <f t="shared" ref="H404:V404" si="210">H405+H406</f>
        <v>0</v>
      </c>
      <c r="I404" s="79">
        <f t="shared" si="210"/>
        <v>0</v>
      </c>
      <c r="J404" s="79">
        <f t="shared" si="210"/>
        <v>0</v>
      </c>
      <c r="K404" s="79">
        <f t="shared" si="210"/>
        <v>0</v>
      </c>
      <c r="L404" s="134">
        <f t="shared" si="210"/>
        <v>0</v>
      </c>
      <c r="M404" s="132"/>
      <c r="N404" s="132"/>
      <c r="O404" s="132"/>
      <c r="P404" s="132"/>
      <c r="Q404" s="132">
        <f t="shared" si="210"/>
        <v>0</v>
      </c>
      <c r="R404" s="132"/>
      <c r="S404" s="132"/>
      <c r="T404" s="132"/>
      <c r="U404" s="132"/>
      <c r="V404" s="132">
        <f t="shared" si="210"/>
        <v>0</v>
      </c>
      <c r="W404" s="132">
        <f>W405+W406</f>
        <v>0</v>
      </c>
      <c r="X404" s="361"/>
      <c r="Y404" s="453"/>
    </row>
    <row r="405" spans="1:25" ht="27" hidden="1" customHeight="1">
      <c r="A405" s="500"/>
      <c r="B405" s="171" t="s">
        <v>10</v>
      </c>
      <c r="C405" s="171"/>
      <c r="D405" s="171"/>
      <c r="E405" s="171"/>
      <c r="F405" s="171"/>
      <c r="G405" s="79"/>
      <c r="H405" s="79"/>
      <c r="I405" s="79"/>
      <c r="J405" s="79"/>
      <c r="K405" s="79"/>
      <c r="L405" s="134"/>
      <c r="M405" s="132"/>
      <c r="N405" s="132"/>
      <c r="O405" s="132"/>
      <c r="P405" s="132"/>
      <c r="Q405" s="132">
        <f>T405+U405</f>
        <v>0</v>
      </c>
      <c r="R405" s="132"/>
      <c r="S405" s="132"/>
      <c r="T405" s="132"/>
      <c r="U405" s="132"/>
      <c r="V405" s="132"/>
      <c r="W405" s="132"/>
      <c r="X405" s="361"/>
      <c r="Y405" s="453"/>
    </row>
    <row r="406" spans="1:25" ht="24.95" hidden="1" customHeight="1">
      <c r="A406" s="500"/>
      <c r="B406" s="171" t="s">
        <v>463</v>
      </c>
      <c r="C406" s="171"/>
      <c r="D406" s="171"/>
      <c r="E406" s="171"/>
      <c r="F406" s="171"/>
      <c r="G406" s="79"/>
      <c r="H406" s="79"/>
      <c r="I406" s="79"/>
      <c r="J406" s="79"/>
      <c r="K406" s="79"/>
      <c r="L406" s="134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361"/>
      <c r="Y406" s="453"/>
    </row>
    <row r="407" spans="1:25" ht="0.6" hidden="1" customHeight="1">
      <c r="A407" s="478" t="s">
        <v>178</v>
      </c>
      <c r="B407" s="82" t="s">
        <v>89</v>
      </c>
      <c r="C407" s="167"/>
      <c r="D407" s="167"/>
      <c r="E407" s="167"/>
      <c r="F407" s="167"/>
      <c r="G407" s="80">
        <f>G411+G423+G415</f>
        <v>0.23</v>
      </c>
      <c r="H407" s="80">
        <f>H411+H423+H415</f>
        <v>0</v>
      </c>
      <c r="I407" s="80">
        <f>I411+I423+I415</f>
        <v>0</v>
      </c>
      <c r="J407" s="80">
        <f>J411+J423+J415</f>
        <v>0</v>
      </c>
      <c r="K407" s="80">
        <f>K411+K423+K415</f>
        <v>0.23</v>
      </c>
      <c r="L407" s="131">
        <f>L411+L423+L415+L419</f>
        <v>0</v>
      </c>
      <c r="M407" s="131"/>
      <c r="N407" s="131"/>
      <c r="O407" s="131"/>
      <c r="P407" s="131"/>
      <c r="Q407" s="131">
        <f>Q411+Q423+Q415</f>
        <v>0</v>
      </c>
      <c r="R407" s="131"/>
      <c r="S407" s="131"/>
      <c r="T407" s="131"/>
      <c r="U407" s="131"/>
      <c r="V407" s="131">
        <f>V411+V423+V415</f>
        <v>0</v>
      </c>
      <c r="W407" s="131"/>
      <c r="X407" s="361"/>
      <c r="Y407" s="338"/>
    </row>
    <row r="408" spans="1:25" ht="24.6" hidden="1" customHeight="1">
      <c r="A408" s="478"/>
      <c r="B408" s="82" t="s">
        <v>272</v>
      </c>
      <c r="C408" s="167"/>
      <c r="D408" s="167"/>
      <c r="E408" s="167"/>
      <c r="F408" s="167"/>
      <c r="G408" s="80">
        <f>G409+G410</f>
        <v>4787.9859999999999</v>
      </c>
      <c r="H408" s="80">
        <f t="shared" ref="H408:V408" si="211">H409+H410</f>
        <v>0</v>
      </c>
      <c r="I408" s="80">
        <f t="shared" si="211"/>
        <v>0</v>
      </c>
      <c r="J408" s="80">
        <f t="shared" si="211"/>
        <v>4787.9859999999999</v>
      </c>
      <c r="K408" s="80">
        <f t="shared" si="211"/>
        <v>0</v>
      </c>
      <c r="L408" s="131">
        <f t="shared" si="211"/>
        <v>336</v>
      </c>
      <c r="M408" s="131">
        <f t="shared" si="211"/>
        <v>0</v>
      </c>
      <c r="N408" s="131">
        <f t="shared" si="211"/>
        <v>0</v>
      </c>
      <c r="O408" s="131">
        <f t="shared" si="211"/>
        <v>0</v>
      </c>
      <c r="P408" s="131">
        <f t="shared" si="211"/>
        <v>336</v>
      </c>
      <c r="Q408" s="131">
        <f t="shared" si="211"/>
        <v>0</v>
      </c>
      <c r="R408" s="131"/>
      <c r="S408" s="131"/>
      <c r="T408" s="131"/>
      <c r="U408" s="131"/>
      <c r="V408" s="131">
        <f t="shared" si="211"/>
        <v>0</v>
      </c>
      <c r="W408" s="131"/>
      <c r="X408" s="361"/>
      <c r="Y408" s="338"/>
    </row>
    <row r="409" spans="1:25" ht="24.6" hidden="1" customHeight="1">
      <c r="A409" s="478"/>
      <c r="B409" s="82" t="s">
        <v>10</v>
      </c>
      <c r="C409" s="167"/>
      <c r="D409" s="167"/>
      <c r="E409" s="167"/>
      <c r="F409" s="167"/>
      <c r="G409" s="80">
        <f>G413+G425</f>
        <v>0</v>
      </c>
      <c r="H409" s="80">
        <f>H413+H425</f>
        <v>0</v>
      </c>
      <c r="I409" s="80">
        <f>I413+I425</f>
        <v>0</v>
      </c>
      <c r="J409" s="80">
        <f>J413+J425</f>
        <v>0</v>
      </c>
      <c r="K409" s="80">
        <f>K413+K425</f>
        <v>0</v>
      </c>
      <c r="L409" s="131">
        <f>L413+L425+L421</f>
        <v>336</v>
      </c>
      <c r="M409" s="131">
        <f>M413+M425+M421</f>
        <v>0</v>
      </c>
      <c r="N409" s="131">
        <f>N413+N425+N421</f>
        <v>0</v>
      </c>
      <c r="O409" s="131">
        <f>O413+O425+O421</f>
        <v>0</v>
      </c>
      <c r="P409" s="131">
        <f>P413+P425+P421</f>
        <v>336</v>
      </c>
      <c r="Q409" s="131">
        <f>Q413+Q425</f>
        <v>0</v>
      </c>
      <c r="R409" s="131"/>
      <c r="S409" s="131"/>
      <c r="T409" s="131"/>
      <c r="U409" s="131"/>
      <c r="V409" s="131">
        <f>V413+V425</f>
        <v>0</v>
      </c>
      <c r="W409" s="131"/>
      <c r="X409" s="361"/>
      <c r="Y409" s="338"/>
    </row>
    <row r="410" spans="1:25" ht="22.9" hidden="1" customHeight="1">
      <c r="A410" s="478"/>
      <c r="B410" s="82" t="s">
        <v>34</v>
      </c>
      <c r="C410" s="167"/>
      <c r="D410" s="167"/>
      <c r="E410" s="167"/>
      <c r="F410" s="167"/>
      <c r="G410" s="80">
        <f t="shared" ref="G410:L410" si="212">G414+G426+G418</f>
        <v>4787.9859999999999</v>
      </c>
      <c r="H410" s="80">
        <f t="shared" si="212"/>
        <v>0</v>
      </c>
      <c r="I410" s="80">
        <f t="shared" si="212"/>
        <v>0</v>
      </c>
      <c r="J410" s="80">
        <f t="shared" si="212"/>
        <v>4787.9859999999999</v>
      </c>
      <c r="K410" s="80">
        <f t="shared" si="212"/>
        <v>0</v>
      </c>
      <c r="L410" s="131">
        <f t="shared" si="212"/>
        <v>0</v>
      </c>
      <c r="M410" s="131"/>
      <c r="N410" s="131"/>
      <c r="O410" s="131"/>
      <c r="P410" s="131"/>
      <c r="Q410" s="131">
        <f>Q414+Q426+Q418</f>
        <v>0</v>
      </c>
      <c r="R410" s="131"/>
      <c r="S410" s="131"/>
      <c r="T410" s="131"/>
      <c r="U410" s="131"/>
      <c r="V410" s="131">
        <f>V414+V426+V418</f>
        <v>0</v>
      </c>
      <c r="W410" s="131"/>
      <c r="X410" s="361"/>
      <c r="Y410" s="338"/>
    </row>
    <row r="411" spans="1:25" ht="24.6" hidden="1" customHeight="1">
      <c r="A411" s="504" t="s">
        <v>237</v>
      </c>
      <c r="B411" s="171" t="s">
        <v>89</v>
      </c>
      <c r="C411" s="171"/>
      <c r="D411" s="171"/>
      <c r="E411" s="171"/>
      <c r="F411" s="171"/>
      <c r="G411" s="79">
        <f>SUM(H411:K411)</f>
        <v>0.23</v>
      </c>
      <c r="H411" s="79"/>
      <c r="I411" s="79"/>
      <c r="J411" s="79"/>
      <c r="K411" s="79">
        <v>0.23</v>
      </c>
      <c r="L411" s="134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361"/>
      <c r="Y411" s="453"/>
    </row>
    <row r="412" spans="1:25" ht="24.6" hidden="1" customHeight="1">
      <c r="A412" s="505"/>
      <c r="B412" s="171" t="s">
        <v>272</v>
      </c>
      <c r="C412" s="171"/>
      <c r="D412" s="171"/>
      <c r="E412" s="171"/>
      <c r="F412" s="171"/>
      <c r="G412" s="79">
        <f>G413+G414</f>
        <v>4787.9859999999999</v>
      </c>
      <c r="H412" s="79">
        <f t="shared" ref="H412:V412" si="213">H413+H414</f>
        <v>0</v>
      </c>
      <c r="I412" s="79">
        <f t="shared" si="213"/>
        <v>0</v>
      </c>
      <c r="J412" s="79">
        <f t="shared" si="213"/>
        <v>4787.9859999999999</v>
      </c>
      <c r="K412" s="79">
        <f t="shared" si="213"/>
        <v>0</v>
      </c>
      <c r="L412" s="134">
        <f t="shared" si="213"/>
        <v>0</v>
      </c>
      <c r="M412" s="132"/>
      <c r="N412" s="132"/>
      <c r="O412" s="132"/>
      <c r="P412" s="132"/>
      <c r="Q412" s="132">
        <f t="shared" si="213"/>
        <v>0</v>
      </c>
      <c r="R412" s="132"/>
      <c r="S412" s="132"/>
      <c r="T412" s="132"/>
      <c r="U412" s="132"/>
      <c r="V412" s="132">
        <f t="shared" si="213"/>
        <v>0</v>
      </c>
      <c r="W412" s="132"/>
      <c r="X412" s="361"/>
      <c r="Y412" s="453"/>
    </row>
    <row r="413" spans="1:25" ht="24.6" hidden="1" customHeight="1">
      <c r="A413" s="505"/>
      <c r="B413" s="171" t="s">
        <v>10</v>
      </c>
      <c r="C413" s="171"/>
      <c r="D413" s="171"/>
      <c r="E413" s="171"/>
      <c r="F413" s="171"/>
      <c r="G413" s="79">
        <f>SUM(H413:K413)</f>
        <v>0</v>
      </c>
      <c r="H413" s="79"/>
      <c r="I413" s="79"/>
      <c r="J413" s="79"/>
      <c r="K413" s="79"/>
      <c r="L413" s="134">
        <v>0</v>
      </c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361"/>
      <c r="Y413" s="453"/>
    </row>
    <row r="414" spans="1:25" ht="24.6" hidden="1" customHeight="1">
      <c r="A414" s="506"/>
      <c r="B414" s="171" t="s">
        <v>34</v>
      </c>
      <c r="C414" s="171"/>
      <c r="D414" s="171"/>
      <c r="E414" s="171"/>
      <c r="F414" s="171"/>
      <c r="G414" s="79">
        <f>SUM(H414:K414)</f>
        <v>4787.9859999999999</v>
      </c>
      <c r="H414" s="79"/>
      <c r="I414" s="79"/>
      <c r="J414" s="79">
        <v>4787.9859999999999</v>
      </c>
      <c r="K414" s="79"/>
      <c r="L414" s="134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361"/>
      <c r="Y414" s="453"/>
    </row>
    <row r="415" spans="1:25" ht="0.6" hidden="1" customHeight="1">
      <c r="A415" s="504" t="s">
        <v>314</v>
      </c>
      <c r="B415" s="167" t="s">
        <v>89</v>
      </c>
      <c r="C415" s="167"/>
      <c r="D415" s="167"/>
      <c r="E415" s="167"/>
      <c r="F415" s="167"/>
      <c r="G415" s="74"/>
      <c r="H415" s="74"/>
      <c r="I415" s="74"/>
      <c r="J415" s="74"/>
      <c r="K415" s="74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361"/>
      <c r="Y415" s="453" t="s">
        <v>318</v>
      </c>
    </row>
    <row r="416" spans="1:25" ht="0.6" hidden="1" customHeight="1">
      <c r="A416" s="505"/>
      <c r="B416" s="167" t="s">
        <v>272</v>
      </c>
      <c r="C416" s="167"/>
      <c r="D416" s="167"/>
      <c r="E416" s="167"/>
      <c r="F416" s="167"/>
      <c r="G416" s="74">
        <f>G417+G418</f>
        <v>0</v>
      </c>
      <c r="H416" s="74">
        <f t="shared" ref="H416:V416" si="214">H417+H418</f>
        <v>0</v>
      </c>
      <c r="I416" s="74">
        <f t="shared" si="214"/>
        <v>0</v>
      </c>
      <c r="J416" s="74">
        <f t="shared" si="214"/>
        <v>0</v>
      </c>
      <c r="K416" s="74">
        <f t="shared" si="214"/>
        <v>0</v>
      </c>
      <c r="L416" s="132">
        <f t="shared" si="214"/>
        <v>0</v>
      </c>
      <c r="M416" s="132"/>
      <c r="N416" s="132"/>
      <c r="O416" s="132"/>
      <c r="P416" s="132"/>
      <c r="Q416" s="132">
        <f>Q417+Q418</f>
        <v>0</v>
      </c>
      <c r="R416" s="132"/>
      <c r="S416" s="132"/>
      <c r="T416" s="132"/>
      <c r="U416" s="132"/>
      <c r="V416" s="132">
        <f t="shared" si="214"/>
        <v>0</v>
      </c>
      <c r="W416" s="132"/>
      <c r="X416" s="361"/>
      <c r="Y416" s="453"/>
    </row>
    <row r="417" spans="1:25" ht="24.6" hidden="1" customHeight="1">
      <c r="A417" s="505"/>
      <c r="B417" s="167" t="s">
        <v>10</v>
      </c>
      <c r="C417" s="167"/>
      <c r="D417" s="167"/>
      <c r="E417" s="167"/>
      <c r="F417" s="167"/>
      <c r="G417" s="74"/>
      <c r="H417" s="74"/>
      <c r="I417" s="74"/>
      <c r="J417" s="74"/>
      <c r="K417" s="74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361"/>
      <c r="Y417" s="453"/>
    </row>
    <row r="418" spans="1:25" ht="24.6" hidden="1" customHeight="1">
      <c r="A418" s="506"/>
      <c r="B418" s="167" t="s">
        <v>34</v>
      </c>
      <c r="C418" s="167"/>
      <c r="D418" s="167"/>
      <c r="E418" s="167"/>
      <c r="F418" s="167"/>
      <c r="G418" s="74"/>
      <c r="H418" s="74"/>
      <c r="I418" s="74"/>
      <c r="J418" s="74"/>
      <c r="K418" s="74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361"/>
      <c r="Y418" s="453"/>
    </row>
    <row r="419" spans="1:25" ht="24.6" hidden="1" customHeight="1">
      <c r="A419" s="504" t="s">
        <v>324</v>
      </c>
      <c r="B419" s="167" t="s">
        <v>89</v>
      </c>
      <c r="C419" s="167"/>
      <c r="D419" s="167"/>
      <c r="E419" s="167"/>
      <c r="F419" s="167"/>
      <c r="G419" s="74"/>
      <c r="H419" s="74"/>
      <c r="I419" s="74"/>
      <c r="J419" s="74"/>
      <c r="K419" s="74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361"/>
      <c r="Y419" s="453" t="s">
        <v>323</v>
      </c>
    </row>
    <row r="420" spans="1:25" ht="24.6" hidden="1" customHeight="1">
      <c r="A420" s="505"/>
      <c r="B420" s="167" t="s">
        <v>272</v>
      </c>
      <c r="C420" s="167"/>
      <c r="D420" s="167"/>
      <c r="E420" s="167"/>
      <c r="F420" s="167"/>
      <c r="G420" s="74">
        <f>G421+G422</f>
        <v>0</v>
      </c>
      <c r="H420" s="74">
        <f t="shared" ref="H420:P420" si="215">H421+H422</f>
        <v>0</v>
      </c>
      <c r="I420" s="74">
        <f t="shared" si="215"/>
        <v>0</v>
      </c>
      <c r="J420" s="74">
        <f t="shared" si="215"/>
        <v>0</v>
      </c>
      <c r="K420" s="74">
        <f t="shared" si="215"/>
        <v>0</v>
      </c>
      <c r="L420" s="132">
        <f t="shared" si="215"/>
        <v>336</v>
      </c>
      <c r="M420" s="132">
        <f t="shared" si="215"/>
        <v>0</v>
      </c>
      <c r="N420" s="132">
        <f t="shared" si="215"/>
        <v>0</v>
      </c>
      <c r="O420" s="132">
        <f t="shared" si="215"/>
        <v>0</v>
      </c>
      <c r="P420" s="132">
        <f t="shared" si="215"/>
        <v>336</v>
      </c>
      <c r="Q420" s="132">
        <f>Q421+Q422</f>
        <v>0</v>
      </c>
      <c r="R420" s="132"/>
      <c r="S420" s="132"/>
      <c r="T420" s="132"/>
      <c r="U420" s="132"/>
      <c r="V420" s="132">
        <f t="shared" ref="V420" si="216">V421+V422</f>
        <v>0</v>
      </c>
      <c r="W420" s="132"/>
      <c r="X420" s="361"/>
      <c r="Y420" s="453"/>
    </row>
    <row r="421" spans="1:25" ht="24.6" hidden="1" customHeight="1">
      <c r="A421" s="505"/>
      <c r="B421" s="167" t="s">
        <v>10</v>
      </c>
      <c r="C421" s="167"/>
      <c r="D421" s="167"/>
      <c r="E421" s="167"/>
      <c r="F421" s="167"/>
      <c r="G421" s="74"/>
      <c r="H421" s="74"/>
      <c r="I421" s="74"/>
      <c r="J421" s="74"/>
      <c r="K421" s="74"/>
      <c r="L421" s="132">
        <v>336</v>
      </c>
      <c r="M421" s="132"/>
      <c r="N421" s="132"/>
      <c r="O421" s="132"/>
      <c r="P421" s="132">
        <v>336</v>
      </c>
      <c r="Q421" s="132"/>
      <c r="R421" s="132"/>
      <c r="S421" s="132"/>
      <c r="T421" s="132"/>
      <c r="U421" s="132"/>
      <c r="V421" s="132"/>
      <c r="W421" s="132"/>
      <c r="X421" s="361"/>
      <c r="Y421" s="453"/>
    </row>
    <row r="422" spans="1:25" ht="24.6" hidden="1" customHeight="1">
      <c r="A422" s="506"/>
      <c r="B422" s="167" t="s">
        <v>34</v>
      </c>
      <c r="C422" s="167"/>
      <c r="D422" s="167"/>
      <c r="E422" s="167"/>
      <c r="F422" s="167"/>
      <c r="G422" s="74"/>
      <c r="H422" s="74"/>
      <c r="I422" s="74"/>
      <c r="J422" s="74"/>
      <c r="K422" s="74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361"/>
      <c r="Y422" s="453"/>
    </row>
    <row r="423" spans="1:25" ht="24.6" hidden="1" customHeight="1">
      <c r="A423" s="500" t="s">
        <v>257</v>
      </c>
      <c r="B423" s="167" t="s">
        <v>89</v>
      </c>
      <c r="C423" s="167"/>
      <c r="D423" s="167"/>
      <c r="E423" s="167"/>
      <c r="F423" s="167"/>
      <c r="G423" s="74"/>
      <c r="H423" s="74"/>
      <c r="I423" s="74"/>
      <c r="J423" s="74"/>
      <c r="K423" s="74"/>
      <c r="L423" s="132"/>
      <c r="M423" s="132"/>
      <c r="N423" s="132"/>
      <c r="O423" s="132"/>
      <c r="P423" s="132"/>
      <c r="Q423" s="132">
        <v>0</v>
      </c>
      <c r="R423" s="132"/>
      <c r="S423" s="132"/>
      <c r="T423" s="132"/>
      <c r="U423" s="132"/>
      <c r="V423" s="132">
        <v>0</v>
      </c>
      <c r="W423" s="132"/>
      <c r="X423" s="361"/>
      <c r="Y423" s="453" t="s">
        <v>252</v>
      </c>
    </row>
    <row r="424" spans="1:25" ht="31.15" hidden="1" customHeight="1">
      <c r="A424" s="500"/>
      <c r="B424" s="167" t="s">
        <v>272</v>
      </c>
      <c r="C424" s="167"/>
      <c r="D424" s="167"/>
      <c r="E424" s="167"/>
      <c r="F424" s="167"/>
      <c r="G424" s="74">
        <f>G425+G426</f>
        <v>0</v>
      </c>
      <c r="H424" s="74">
        <f t="shared" ref="H424:V424" si="217">H425+H426</f>
        <v>0</v>
      </c>
      <c r="I424" s="74">
        <f t="shared" si="217"/>
        <v>0</v>
      </c>
      <c r="J424" s="74">
        <f t="shared" si="217"/>
        <v>0</v>
      </c>
      <c r="K424" s="74">
        <f t="shared" si="217"/>
        <v>0</v>
      </c>
      <c r="L424" s="132">
        <f t="shared" si="217"/>
        <v>0</v>
      </c>
      <c r="M424" s="132"/>
      <c r="N424" s="132"/>
      <c r="O424" s="132"/>
      <c r="P424" s="132"/>
      <c r="Q424" s="132">
        <f t="shared" si="217"/>
        <v>0</v>
      </c>
      <c r="R424" s="132"/>
      <c r="S424" s="132"/>
      <c r="T424" s="132"/>
      <c r="U424" s="132"/>
      <c r="V424" s="132">
        <f t="shared" si="217"/>
        <v>0</v>
      </c>
      <c r="W424" s="132"/>
      <c r="X424" s="361"/>
      <c r="Y424" s="453"/>
    </row>
    <row r="425" spans="1:25" ht="27" hidden="1" customHeight="1">
      <c r="A425" s="500"/>
      <c r="B425" s="167" t="s">
        <v>10</v>
      </c>
      <c r="C425" s="167"/>
      <c r="D425" s="167"/>
      <c r="E425" s="167"/>
      <c r="F425" s="167"/>
      <c r="G425" s="74"/>
      <c r="H425" s="74"/>
      <c r="I425" s="74"/>
      <c r="J425" s="74"/>
      <c r="K425" s="74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361"/>
      <c r="Y425" s="453"/>
    </row>
    <row r="426" spans="1:25" ht="24.6" hidden="1" customHeight="1">
      <c r="A426" s="500"/>
      <c r="B426" s="167" t="s">
        <v>34</v>
      </c>
      <c r="C426" s="167"/>
      <c r="D426" s="167"/>
      <c r="E426" s="167"/>
      <c r="F426" s="167"/>
      <c r="G426" s="74"/>
      <c r="H426" s="74"/>
      <c r="I426" s="74"/>
      <c r="J426" s="74"/>
      <c r="K426" s="74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361"/>
      <c r="Y426" s="453"/>
    </row>
    <row r="427" spans="1:25" ht="24.95" customHeight="1">
      <c r="A427" s="489" t="s">
        <v>22</v>
      </c>
      <c r="B427" s="82" t="s">
        <v>272</v>
      </c>
      <c r="C427" s="82"/>
      <c r="D427" s="82"/>
      <c r="E427" s="82"/>
      <c r="F427" s="82"/>
      <c r="G427" s="80">
        <f>G428+G429</f>
        <v>25096.400000000001</v>
      </c>
      <c r="H427" s="80">
        <f t="shared" ref="H427:W427" si="218">H428+H429</f>
        <v>8024.41</v>
      </c>
      <c r="I427" s="80">
        <f t="shared" si="218"/>
        <v>2747.3</v>
      </c>
      <c r="J427" s="80">
        <f t="shared" si="218"/>
        <v>10603.4</v>
      </c>
      <c r="K427" s="80">
        <f t="shared" si="218"/>
        <v>3721.29</v>
      </c>
      <c r="L427" s="131">
        <f t="shared" si="218"/>
        <v>21664.120000000003</v>
      </c>
      <c r="M427" s="131">
        <f t="shared" si="218"/>
        <v>339.3</v>
      </c>
      <c r="N427" s="131">
        <f t="shared" si="218"/>
        <v>5471.42</v>
      </c>
      <c r="O427" s="131">
        <f t="shared" si="218"/>
        <v>328.3</v>
      </c>
      <c r="P427" s="131">
        <f t="shared" si="218"/>
        <v>15525.1</v>
      </c>
      <c r="Q427" s="131">
        <f t="shared" si="218"/>
        <v>23744.5</v>
      </c>
      <c r="R427" s="131">
        <f t="shared" si="218"/>
        <v>0</v>
      </c>
      <c r="S427" s="131">
        <f t="shared" si="218"/>
        <v>1000</v>
      </c>
      <c r="T427" s="131">
        <f t="shared" si="218"/>
        <v>9000</v>
      </c>
      <c r="U427" s="131">
        <f t="shared" si="218"/>
        <v>13744.5</v>
      </c>
      <c r="V427" s="131">
        <f t="shared" si="218"/>
        <v>29159.5</v>
      </c>
      <c r="W427" s="131">
        <f t="shared" si="218"/>
        <v>42620.5</v>
      </c>
      <c r="X427" s="361"/>
      <c r="Y427" s="490" t="s">
        <v>605</v>
      </c>
    </row>
    <row r="428" spans="1:25" ht="24.95" customHeight="1">
      <c r="A428" s="489"/>
      <c r="B428" s="82" t="s">
        <v>10</v>
      </c>
      <c r="C428" s="82"/>
      <c r="D428" s="82"/>
      <c r="E428" s="82"/>
      <c r="F428" s="82"/>
      <c r="G428" s="80">
        <f>SUM(H428:K428)</f>
        <v>17400</v>
      </c>
      <c r="H428" s="80">
        <v>8024.41</v>
      </c>
      <c r="I428" s="80">
        <f>2747.3</f>
        <v>2747.3</v>
      </c>
      <c r="J428" s="80">
        <v>2907</v>
      </c>
      <c r="K428" s="80">
        <f>5321.29-1600</f>
        <v>3721.29</v>
      </c>
      <c r="L428" s="131">
        <f>M428+N428+O428+P428</f>
        <v>6139.02</v>
      </c>
      <c r="M428" s="131">
        <v>339.3</v>
      </c>
      <c r="N428" s="131">
        <v>5471.42</v>
      </c>
      <c r="O428" s="131">
        <v>328.3</v>
      </c>
      <c r="P428" s="131">
        <v>0</v>
      </c>
      <c r="Q428" s="131">
        <f>S428+T428+U428</f>
        <v>23744.5</v>
      </c>
      <c r="R428" s="131"/>
      <c r="S428" s="131">
        <v>1000</v>
      </c>
      <c r="T428" s="131">
        <v>9000</v>
      </c>
      <c r="U428" s="131">
        <f>6444.5+5000+8000-7700+2000</f>
        <v>13744.5</v>
      </c>
      <c r="V428" s="131">
        <f>42620.5-13461</f>
        <v>29159.5</v>
      </c>
      <c r="W428" s="131">
        <v>42620.5</v>
      </c>
      <c r="X428" s="361"/>
      <c r="Y428" s="490"/>
    </row>
    <row r="429" spans="1:25" ht="66.75" customHeight="1">
      <c r="A429" s="489"/>
      <c r="B429" s="82" t="s">
        <v>463</v>
      </c>
      <c r="C429" s="82"/>
      <c r="D429" s="82"/>
      <c r="E429" s="82"/>
      <c r="F429" s="82"/>
      <c r="G429" s="80">
        <f>SUM(H429:K429)</f>
        <v>7696.4</v>
      </c>
      <c r="H429" s="80"/>
      <c r="I429" s="80"/>
      <c r="J429" s="80">
        <v>7696.4</v>
      </c>
      <c r="K429" s="80"/>
      <c r="L429" s="131">
        <f>15525.1</f>
        <v>15525.1</v>
      </c>
      <c r="M429" s="131"/>
      <c r="N429" s="131"/>
      <c r="O429" s="131"/>
      <c r="P429" s="131">
        <v>15525.1</v>
      </c>
      <c r="Q429" s="131"/>
      <c r="R429" s="131"/>
      <c r="S429" s="131"/>
      <c r="T429" s="131"/>
      <c r="U429" s="131"/>
      <c r="V429" s="131"/>
      <c r="W429" s="131"/>
      <c r="X429" s="361"/>
      <c r="Y429" s="490"/>
    </row>
    <row r="430" spans="1:25" ht="24.95" customHeight="1">
      <c r="A430" s="491" t="s">
        <v>649</v>
      </c>
      <c r="B430" s="82" t="s">
        <v>616</v>
      </c>
      <c r="C430" s="82"/>
      <c r="D430" s="82"/>
      <c r="E430" s="82"/>
      <c r="F430" s="82"/>
      <c r="G430" s="80"/>
      <c r="H430" s="80"/>
      <c r="I430" s="80"/>
      <c r="J430" s="80"/>
      <c r="K430" s="80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1"/>
      <c r="W430" s="131"/>
      <c r="X430" s="453" t="s">
        <v>514</v>
      </c>
      <c r="Y430" s="497" t="s">
        <v>680</v>
      </c>
    </row>
    <row r="431" spans="1:25" ht="24.95" customHeight="1">
      <c r="A431" s="492"/>
      <c r="B431" s="82" t="s">
        <v>24</v>
      </c>
      <c r="C431" s="82"/>
      <c r="D431" s="82"/>
      <c r="E431" s="82"/>
      <c r="F431" s="82"/>
      <c r="G431" s="80"/>
      <c r="H431" s="80"/>
      <c r="I431" s="80"/>
      <c r="J431" s="80"/>
      <c r="K431" s="80"/>
      <c r="L431" s="131" t="s">
        <v>327</v>
      </c>
      <c r="M431" s="131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453"/>
      <c r="Y431" s="498"/>
    </row>
    <row r="432" spans="1:25" ht="24.95" customHeight="1">
      <c r="A432" s="492"/>
      <c r="B432" s="82" t="s">
        <v>25</v>
      </c>
      <c r="C432" s="82"/>
      <c r="D432" s="82"/>
      <c r="E432" s="82"/>
      <c r="F432" s="82"/>
      <c r="G432" s="80"/>
      <c r="H432" s="80"/>
      <c r="I432" s="80"/>
      <c r="J432" s="80"/>
      <c r="K432" s="80"/>
      <c r="L432" s="131">
        <f>SUM(L434:L442)</f>
        <v>0</v>
      </c>
      <c r="M432" s="131">
        <f>SUM(M434:M442)</f>
        <v>0</v>
      </c>
      <c r="N432" s="131">
        <f>SUM(N434:N442)</f>
        <v>0</v>
      </c>
      <c r="O432" s="131">
        <f>SUM(O434:O442)</f>
        <v>0</v>
      </c>
      <c r="P432" s="131">
        <f>SUM(P434:P442)</f>
        <v>0</v>
      </c>
      <c r="Q432" s="131">
        <f>Q434+Q435+Q436</f>
        <v>1128700</v>
      </c>
      <c r="R432" s="131">
        <f t="shared" ref="R432:W432" si="219">R434+R435+R436</f>
        <v>0</v>
      </c>
      <c r="S432" s="131">
        <f t="shared" si="219"/>
        <v>224.50121999999999</v>
      </c>
      <c r="T432" s="131">
        <f t="shared" si="219"/>
        <v>1419.88761</v>
      </c>
      <c r="U432" s="131">
        <f t="shared" si="219"/>
        <v>1127055.6111699999</v>
      </c>
      <c r="V432" s="131">
        <f t="shared" si="219"/>
        <v>4502140</v>
      </c>
      <c r="W432" s="131">
        <f t="shared" si="219"/>
        <v>11000670</v>
      </c>
      <c r="X432" s="453"/>
      <c r="Y432" s="498"/>
    </row>
    <row r="433" spans="1:72" ht="24.95" customHeight="1">
      <c r="A433" s="492"/>
      <c r="B433" s="82" t="s">
        <v>9</v>
      </c>
      <c r="C433" s="82"/>
      <c r="D433" s="82"/>
      <c r="E433" s="82"/>
      <c r="F433" s="82"/>
      <c r="G433" s="80"/>
      <c r="H433" s="80"/>
      <c r="I433" s="80"/>
      <c r="J433" s="80"/>
      <c r="K433" s="80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453"/>
      <c r="Y433" s="498"/>
    </row>
    <row r="434" spans="1:72" ht="24.95" customHeight="1">
      <c r="A434" s="492"/>
      <c r="B434" s="82" t="s">
        <v>10</v>
      </c>
      <c r="C434" s="82"/>
      <c r="D434" s="82"/>
      <c r="E434" s="82"/>
      <c r="F434" s="82"/>
      <c r="G434" s="80"/>
      <c r="H434" s="80"/>
      <c r="I434" s="80"/>
      <c r="J434" s="80"/>
      <c r="K434" s="80"/>
      <c r="L434" s="132">
        <v>0</v>
      </c>
      <c r="M434" s="132"/>
      <c r="N434" s="132"/>
      <c r="O434" s="132"/>
      <c r="P434" s="132"/>
      <c r="Q434" s="131">
        <f>Q440</f>
        <v>648700</v>
      </c>
      <c r="R434" s="131">
        <f t="shared" ref="R434:W434" si="220">R440</f>
        <v>0</v>
      </c>
      <c r="S434" s="131">
        <f t="shared" si="220"/>
        <v>224.50121999999999</v>
      </c>
      <c r="T434" s="131">
        <f t="shared" si="220"/>
        <v>1419.88761</v>
      </c>
      <c r="U434" s="131">
        <f t="shared" si="220"/>
        <v>647055.61117000005</v>
      </c>
      <c r="V434" s="131">
        <f t="shared" si="220"/>
        <v>2147280</v>
      </c>
      <c r="W434" s="131">
        <f t="shared" si="220"/>
        <v>0</v>
      </c>
      <c r="X434" s="453"/>
      <c r="Y434" s="498"/>
    </row>
    <row r="435" spans="1:72" ht="24.95" customHeight="1">
      <c r="A435" s="492"/>
      <c r="B435" s="82" t="s">
        <v>493</v>
      </c>
      <c r="C435" s="82"/>
      <c r="D435" s="82"/>
      <c r="E435" s="82"/>
      <c r="F435" s="82"/>
      <c r="G435" s="80"/>
      <c r="H435" s="80"/>
      <c r="I435" s="80"/>
      <c r="J435" s="80"/>
      <c r="K435" s="80"/>
      <c r="L435" s="132">
        <v>0</v>
      </c>
      <c r="M435" s="132"/>
      <c r="N435" s="132"/>
      <c r="O435" s="132"/>
      <c r="P435" s="132"/>
      <c r="Q435" s="132">
        <f>Q441</f>
        <v>400000</v>
      </c>
      <c r="R435" s="132">
        <f t="shared" ref="R435:W435" si="221">R441</f>
        <v>0</v>
      </c>
      <c r="S435" s="132">
        <f t="shared" si="221"/>
        <v>0</v>
      </c>
      <c r="T435" s="132">
        <f t="shared" si="221"/>
        <v>0</v>
      </c>
      <c r="U435" s="132">
        <f t="shared" si="221"/>
        <v>400000</v>
      </c>
      <c r="V435" s="132">
        <f t="shared" si="221"/>
        <v>1789200</v>
      </c>
      <c r="W435" s="132">
        <f t="shared" si="221"/>
        <v>8358200</v>
      </c>
      <c r="X435" s="453"/>
      <c r="Y435" s="498"/>
    </row>
    <row r="436" spans="1:72" ht="24.95" customHeight="1">
      <c r="A436" s="492"/>
      <c r="B436" s="310" t="s">
        <v>484</v>
      </c>
      <c r="C436" s="310"/>
      <c r="D436" s="310"/>
      <c r="E436" s="310"/>
      <c r="F436" s="310"/>
      <c r="G436" s="311"/>
      <c r="H436" s="311"/>
      <c r="I436" s="311"/>
      <c r="J436" s="311"/>
      <c r="K436" s="311"/>
      <c r="L436" s="141"/>
      <c r="M436" s="141"/>
      <c r="N436" s="141"/>
      <c r="O436" s="141"/>
      <c r="P436" s="141"/>
      <c r="Q436" s="243">
        <f>Q442</f>
        <v>80000</v>
      </c>
      <c r="R436" s="243">
        <f t="shared" ref="R436:W436" si="222">R442</f>
        <v>0</v>
      </c>
      <c r="S436" s="243">
        <f t="shared" si="222"/>
        <v>0</v>
      </c>
      <c r="T436" s="243">
        <f t="shared" si="222"/>
        <v>0</v>
      </c>
      <c r="U436" s="243">
        <f t="shared" si="222"/>
        <v>80000</v>
      </c>
      <c r="V436" s="243">
        <f t="shared" si="222"/>
        <v>565660</v>
      </c>
      <c r="W436" s="243">
        <f t="shared" si="222"/>
        <v>2642470</v>
      </c>
      <c r="X436" s="453"/>
      <c r="Y436" s="498"/>
      <c r="Z436" s="249"/>
      <c r="AA436" s="249"/>
      <c r="AB436" s="249"/>
      <c r="AC436" s="249"/>
      <c r="AD436" s="249"/>
      <c r="AE436" s="249"/>
      <c r="AF436" s="249"/>
      <c r="AG436" s="249"/>
      <c r="AH436" s="249"/>
      <c r="AI436" s="249"/>
      <c r="AJ436" s="249"/>
      <c r="AK436" s="249"/>
      <c r="AL436" s="249"/>
      <c r="AM436" s="249"/>
      <c r="AN436" s="249"/>
      <c r="AO436" s="249"/>
      <c r="AP436" s="249"/>
      <c r="AQ436" s="249"/>
      <c r="AR436" s="249"/>
      <c r="AS436" s="249"/>
    </row>
    <row r="437" spans="1:72" s="71" customFormat="1" ht="40.5" customHeight="1">
      <c r="A437" s="491" t="s">
        <v>677</v>
      </c>
      <c r="B437" s="370" t="s">
        <v>679</v>
      </c>
      <c r="C437" s="82"/>
      <c r="D437" s="82"/>
      <c r="E437" s="82"/>
      <c r="F437" s="82"/>
      <c r="G437" s="80"/>
      <c r="H437" s="80"/>
      <c r="I437" s="80"/>
      <c r="J437" s="80"/>
      <c r="K437" s="80"/>
      <c r="L437" s="132"/>
      <c r="M437" s="132"/>
      <c r="N437" s="132"/>
      <c r="O437" s="132"/>
      <c r="P437" s="132"/>
      <c r="Q437" s="131">
        <v>1</v>
      </c>
      <c r="R437" s="131">
        <v>0</v>
      </c>
      <c r="S437" s="131">
        <v>0</v>
      </c>
      <c r="T437" s="131"/>
      <c r="U437" s="131">
        <v>1</v>
      </c>
      <c r="V437" s="131">
        <v>9</v>
      </c>
      <c r="W437" s="131">
        <v>29</v>
      </c>
      <c r="X437" s="453"/>
      <c r="Y437" s="498"/>
      <c r="Z437" s="249"/>
      <c r="AA437" s="249"/>
      <c r="AB437" s="249"/>
      <c r="AC437" s="249"/>
      <c r="AD437" s="249"/>
      <c r="AE437" s="249"/>
      <c r="AF437" s="249"/>
      <c r="AG437" s="249"/>
      <c r="AH437" s="249"/>
      <c r="AI437" s="249"/>
      <c r="AJ437" s="249"/>
      <c r="AK437" s="249"/>
      <c r="AL437" s="249"/>
      <c r="AM437" s="249"/>
      <c r="AN437" s="249"/>
      <c r="AO437" s="249"/>
      <c r="AP437" s="249"/>
      <c r="AQ437" s="249"/>
      <c r="AR437" s="249"/>
      <c r="AS437" s="249"/>
      <c r="AT437" s="249"/>
      <c r="AU437" s="249"/>
      <c r="AV437" s="249"/>
      <c r="AW437" s="249"/>
      <c r="AX437" s="249"/>
      <c r="AY437" s="249"/>
      <c r="AZ437" s="249"/>
      <c r="BA437" s="249"/>
      <c r="BB437" s="249"/>
      <c r="BC437" s="249"/>
      <c r="BD437" s="249"/>
      <c r="BE437" s="249"/>
      <c r="BF437" s="249"/>
      <c r="BG437" s="249"/>
      <c r="BH437" s="249"/>
      <c r="BI437" s="249"/>
      <c r="BJ437" s="249"/>
      <c r="BK437" s="249"/>
      <c r="BL437" s="249"/>
      <c r="BM437" s="249"/>
      <c r="BN437" s="249"/>
      <c r="BO437" s="249"/>
      <c r="BP437" s="249"/>
      <c r="BQ437" s="249"/>
      <c r="BR437" s="249"/>
      <c r="BS437" s="249"/>
      <c r="BT437" s="248"/>
    </row>
    <row r="438" spans="1:72" s="71" customFormat="1" ht="31.15" customHeight="1">
      <c r="A438" s="492"/>
      <c r="B438" s="82" t="s">
        <v>24</v>
      </c>
      <c r="C438" s="82"/>
      <c r="D438" s="82"/>
      <c r="E438" s="82"/>
      <c r="F438" s="82"/>
      <c r="G438" s="80"/>
      <c r="H438" s="80"/>
      <c r="I438" s="80"/>
      <c r="J438" s="80"/>
      <c r="K438" s="80"/>
      <c r="L438" s="132"/>
      <c r="M438" s="132"/>
      <c r="N438" s="132"/>
      <c r="O438" s="132"/>
      <c r="P438" s="132"/>
      <c r="Q438" s="131"/>
      <c r="R438" s="132"/>
      <c r="S438" s="132"/>
      <c r="T438" s="132"/>
      <c r="U438" s="132"/>
      <c r="V438" s="131"/>
      <c r="W438" s="132">
        <v>0</v>
      </c>
      <c r="X438" s="453"/>
      <c r="Y438" s="498"/>
      <c r="Z438" s="249"/>
      <c r="AA438" s="249"/>
      <c r="AB438" s="249"/>
      <c r="AC438" s="249"/>
      <c r="AD438" s="249"/>
      <c r="AE438" s="249"/>
      <c r="AF438" s="249"/>
      <c r="AG438" s="249"/>
      <c r="AH438" s="249"/>
      <c r="AI438" s="249"/>
      <c r="AJ438" s="249"/>
      <c r="AK438" s="249"/>
      <c r="AL438" s="249"/>
      <c r="AM438" s="249"/>
      <c r="AN438" s="249"/>
      <c r="AO438" s="249"/>
      <c r="AP438" s="249"/>
      <c r="AQ438" s="249"/>
      <c r="AR438" s="249"/>
      <c r="AS438" s="249"/>
      <c r="AT438" s="249"/>
      <c r="AU438" s="249"/>
      <c r="AV438" s="249"/>
      <c r="AW438" s="249"/>
      <c r="AX438" s="249"/>
      <c r="AY438" s="249"/>
      <c r="AZ438" s="249"/>
      <c r="BA438" s="249"/>
      <c r="BB438" s="249"/>
      <c r="BC438" s="249"/>
      <c r="BD438" s="249"/>
      <c r="BE438" s="249"/>
      <c r="BF438" s="249"/>
      <c r="BG438" s="249"/>
      <c r="BH438" s="249"/>
      <c r="BI438" s="249"/>
      <c r="BJ438" s="249"/>
      <c r="BK438" s="249"/>
      <c r="BL438" s="249"/>
      <c r="BM438" s="249"/>
      <c r="BN438" s="249"/>
      <c r="BO438" s="249"/>
      <c r="BP438" s="249"/>
      <c r="BQ438" s="249"/>
      <c r="BR438" s="249"/>
      <c r="BS438" s="249"/>
      <c r="BT438" s="248"/>
    </row>
    <row r="439" spans="1:72" s="249" customFormat="1" ht="31.15" customHeight="1">
      <c r="A439" s="492"/>
      <c r="B439" s="128" t="s">
        <v>272</v>
      </c>
      <c r="C439" s="128"/>
      <c r="D439" s="128"/>
      <c r="E439" s="128"/>
      <c r="F439" s="128"/>
      <c r="G439" s="142"/>
      <c r="H439" s="142"/>
      <c r="I439" s="142"/>
      <c r="J439" s="142"/>
      <c r="K439" s="142"/>
      <c r="L439" s="246"/>
      <c r="M439" s="246"/>
      <c r="N439" s="246"/>
      <c r="O439" s="246"/>
      <c r="P439" s="246"/>
      <c r="Q439" s="246">
        <f>SUM(Q440:Q442)</f>
        <v>1128700</v>
      </c>
      <c r="R439" s="246">
        <f t="shared" ref="R439:W439" si="223">SUM(R440:R442)</f>
        <v>0</v>
      </c>
      <c r="S439" s="246">
        <f t="shared" si="223"/>
        <v>224.50121999999999</v>
      </c>
      <c r="T439" s="246">
        <f t="shared" si="223"/>
        <v>1419.88761</v>
      </c>
      <c r="U439" s="246">
        <f t="shared" si="223"/>
        <v>1127055.6111699999</v>
      </c>
      <c r="V439" s="246">
        <f t="shared" si="223"/>
        <v>4502140</v>
      </c>
      <c r="W439" s="246">
        <f t="shared" si="223"/>
        <v>11000670</v>
      </c>
      <c r="X439" s="453"/>
      <c r="Y439" s="498"/>
    </row>
    <row r="440" spans="1:72" ht="29.25" customHeight="1">
      <c r="A440" s="492"/>
      <c r="B440" s="128" t="s">
        <v>10</v>
      </c>
      <c r="C440" s="128"/>
      <c r="D440" s="128"/>
      <c r="E440" s="128"/>
      <c r="F440" s="128"/>
      <c r="G440" s="142"/>
      <c r="H440" s="142"/>
      <c r="I440" s="142"/>
      <c r="J440" s="142"/>
      <c r="K440" s="142"/>
      <c r="L440" s="246"/>
      <c r="M440" s="246"/>
      <c r="N440" s="246"/>
      <c r="O440" s="246"/>
      <c r="P440" s="246"/>
      <c r="Q440" s="246">
        <v>648700</v>
      </c>
      <c r="R440" s="246">
        <v>0</v>
      </c>
      <c r="S440" s="246">
        <v>224.50121999999999</v>
      </c>
      <c r="T440" s="246">
        <v>1419.88761</v>
      </c>
      <c r="U440" s="246">
        <v>647055.61117000005</v>
      </c>
      <c r="V440" s="246">
        <v>2147280</v>
      </c>
      <c r="W440" s="246">
        <v>0</v>
      </c>
      <c r="X440" s="453"/>
      <c r="Y440" s="498"/>
    </row>
    <row r="441" spans="1:72" ht="21.75" customHeight="1">
      <c r="A441" s="492"/>
      <c r="B441" s="128" t="s">
        <v>493</v>
      </c>
      <c r="C441" s="128"/>
      <c r="D441" s="128"/>
      <c r="E441" s="128"/>
      <c r="F441" s="128"/>
      <c r="G441" s="142"/>
      <c r="H441" s="142"/>
      <c r="I441" s="142"/>
      <c r="J441" s="142"/>
      <c r="K441" s="142"/>
      <c r="L441" s="246"/>
      <c r="M441" s="246"/>
      <c r="N441" s="246"/>
      <c r="O441" s="246"/>
      <c r="P441" s="246"/>
      <c r="Q441" s="246">
        <f>U441</f>
        <v>400000</v>
      </c>
      <c r="R441" s="246"/>
      <c r="S441" s="246"/>
      <c r="T441" s="246"/>
      <c r="U441" s="246">
        <v>400000</v>
      </c>
      <c r="V441" s="246">
        <v>1789200</v>
      </c>
      <c r="W441" s="246">
        <v>8358200</v>
      </c>
      <c r="X441" s="453"/>
      <c r="Y441" s="498"/>
    </row>
    <row r="442" spans="1:72" ht="113.25" customHeight="1">
      <c r="A442" s="493"/>
      <c r="B442" s="128" t="s">
        <v>484</v>
      </c>
      <c r="C442" s="128"/>
      <c r="D442" s="128"/>
      <c r="E442" s="128"/>
      <c r="F442" s="128"/>
      <c r="G442" s="142"/>
      <c r="H442" s="142"/>
      <c r="I442" s="142"/>
      <c r="J442" s="142"/>
      <c r="K442" s="142"/>
      <c r="L442" s="246"/>
      <c r="M442" s="246"/>
      <c r="N442" s="246"/>
      <c r="O442" s="246"/>
      <c r="P442" s="246"/>
      <c r="Q442" s="246">
        <f>U442</f>
        <v>80000</v>
      </c>
      <c r="R442" s="246"/>
      <c r="S442" s="246"/>
      <c r="T442" s="246"/>
      <c r="U442" s="246">
        <v>80000</v>
      </c>
      <c r="V442" s="246">
        <v>565660</v>
      </c>
      <c r="W442" s="246">
        <v>2642470</v>
      </c>
      <c r="X442" s="453"/>
      <c r="Y442" s="499"/>
    </row>
    <row r="443" spans="1:72" ht="69.75" customHeight="1">
      <c r="A443" s="491" t="s">
        <v>676</v>
      </c>
      <c r="B443" s="365" t="s">
        <v>627</v>
      </c>
      <c r="C443" s="82"/>
      <c r="D443" s="82"/>
      <c r="E443" s="82"/>
      <c r="F443" s="82"/>
      <c r="G443" s="80"/>
      <c r="H443" s="80"/>
      <c r="I443" s="80"/>
      <c r="J443" s="80"/>
      <c r="K443" s="80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>
        <v>2</v>
      </c>
      <c r="W443" s="131">
        <v>1</v>
      </c>
      <c r="X443" s="494" t="s">
        <v>26</v>
      </c>
      <c r="Y443" s="494" t="s">
        <v>614</v>
      </c>
    </row>
    <row r="444" spans="1:72" ht="27" customHeight="1">
      <c r="A444" s="492"/>
      <c r="B444" s="360" t="s">
        <v>24</v>
      </c>
      <c r="C444" s="82"/>
      <c r="D444" s="82"/>
      <c r="E444" s="82"/>
      <c r="F444" s="82"/>
      <c r="G444" s="80"/>
      <c r="H444" s="80"/>
      <c r="I444" s="80"/>
      <c r="J444" s="80"/>
      <c r="K444" s="80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>
        <f>V445/V443</f>
        <v>21490.25</v>
      </c>
      <c r="W444" s="131">
        <f>W445/W443</f>
        <v>5804.8</v>
      </c>
      <c r="X444" s="495"/>
      <c r="Y444" s="495"/>
    </row>
    <row r="445" spans="1:72" ht="25.5" customHeight="1">
      <c r="A445" s="492"/>
      <c r="B445" s="82" t="s">
        <v>272</v>
      </c>
      <c r="C445" s="82"/>
      <c r="D445" s="82"/>
      <c r="E445" s="82"/>
      <c r="F445" s="82"/>
      <c r="G445" s="80"/>
      <c r="H445" s="80"/>
      <c r="I445" s="80"/>
      <c r="J445" s="80"/>
      <c r="K445" s="80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>
        <f>V446</f>
        <v>42980.5</v>
      </c>
      <c r="W445" s="131">
        <f>W446</f>
        <v>5804.8</v>
      </c>
      <c r="X445" s="495"/>
      <c r="Y445" s="495"/>
    </row>
    <row r="446" spans="1:72" ht="23.25" customHeight="1">
      <c r="A446" s="492"/>
      <c r="B446" s="82" t="s">
        <v>10</v>
      </c>
      <c r="C446" s="82"/>
      <c r="D446" s="82"/>
      <c r="E446" s="82"/>
      <c r="F446" s="82"/>
      <c r="G446" s="80"/>
      <c r="H446" s="80"/>
      <c r="I446" s="80"/>
      <c r="J446" s="80"/>
      <c r="K446" s="80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>
        <v>42980.5</v>
      </c>
      <c r="W446" s="131">
        <v>5804.8</v>
      </c>
      <c r="X446" s="495"/>
      <c r="Y446" s="495"/>
    </row>
    <row r="447" spans="1:72" ht="18" customHeight="1">
      <c r="A447" s="492"/>
      <c r="B447" s="82" t="s">
        <v>463</v>
      </c>
      <c r="C447" s="82"/>
      <c r="D447" s="82"/>
      <c r="E447" s="82"/>
      <c r="F447" s="82"/>
      <c r="G447" s="80"/>
      <c r="H447" s="80"/>
      <c r="I447" s="80"/>
      <c r="J447" s="80"/>
      <c r="K447" s="80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495"/>
      <c r="Y447" s="495"/>
    </row>
    <row r="448" spans="1:72" ht="24" customHeight="1">
      <c r="A448" s="493"/>
      <c r="B448" s="82" t="s">
        <v>484</v>
      </c>
      <c r="C448" s="82"/>
      <c r="D448" s="82"/>
      <c r="E448" s="82"/>
      <c r="F448" s="82"/>
      <c r="G448" s="80"/>
      <c r="H448" s="80"/>
      <c r="I448" s="80"/>
      <c r="J448" s="80"/>
      <c r="K448" s="80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496"/>
      <c r="Y448" s="496"/>
    </row>
    <row r="449" spans="1:71" ht="24.95" customHeight="1">
      <c r="A449" s="410" t="s">
        <v>224</v>
      </c>
      <c r="B449" s="82" t="s">
        <v>89</v>
      </c>
      <c r="C449" s="82"/>
      <c r="D449" s="82"/>
      <c r="E449" s="82"/>
      <c r="F449" s="82"/>
      <c r="G449" s="80">
        <f>K449</f>
        <v>20.032999999999998</v>
      </c>
      <c r="H449" s="80"/>
      <c r="I449" s="80"/>
      <c r="J449" s="80"/>
      <c r="K449" s="80">
        <f t="shared" ref="K449:P449" si="224">K457+K465+K475+K483+K493+K499+K507+K517+K531+K543+K557+K563+K569+K575+K585+K591+K599+K613+K619+K637+K643+K657+K667+K675+K687+K693+K701+K709+K719+K725</f>
        <v>20.032999999999998</v>
      </c>
      <c r="L449" s="131">
        <f t="shared" si="224"/>
        <v>17.094999999999999</v>
      </c>
      <c r="M449" s="131">
        <f t="shared" si="224"/>
        <v>9.8570000000000011</v>
      </c>
      <c r="N449" s="131">
        <f t="shared" si="224"/>
        <v>1.143</v>
      </c>
      <c r="O449" s="131">
        <f t="shared" si="224"/>
        <v>5.3950000000000005</v>
      </c>
      <c r="P449" s="131">
        <f t="shared" si="224"/>
        <v>0.7</v>
      </c>
      <c r="Q449" s="131">
        <f>Q499+Q507+Q517+Q531+Q543+Q557+Q575+Q563+Q599+Q613+Q619+Q657+Q675+Q687+Q693+Q709+Q719</f>
        <v>18.730999999999998</v>
      </c>
      <c r="R449" s="131">
        <f t="shared" ref="R449:U449" si="225">R499+R507+R517+R531+R543+R557+R575+R563+R599+R613+R619+R657+R675+R687+R693+R709+R719</f>
        <v>0</v>
      </c>
      <c r="S449" s="131">
        <f t="shared" si="225"/>
        <v>0</v>
      </c>
      <c r="T449" s="131">
        <f t="shared" si="225"/>
        <v>11.153</v>
      </c>
      <c r="U449" s="131">
        <f t="shared" si="225"/>
        <v>7.5299999999999994</v>
      </c>
      <c r="V449" s="131">
        <f>V465+V475+V499+V507+V517+V531+V543+V557+V563+V569+V575+V585+V591+V599+V613+V619+V637+V643+V657+V675+V687+V693+V701+V709+V725+V493</f>
        <v>7.36</v>
      </c>
      <c r="W449" s="131">
        <f>W465+W475+W499+W507+W517+W531+W543+W557+W563+W569+W575+W585+W591+W599+W613+W619+W637+W643+W657+W675+W687+W693+W701+W709+W725+W493+W719</f>
        <v>4.9000000000000004</v>
      </c>
      <c r="X449" s="453" t="s">
        <v>26</v>
      </c>
      <c r="Y449" s="453" t="s">
        <v>303</v>
      </c>
    </row>
    <row r="450" spans="1:71" ht="24.95" customHeight="1">
      <c r="A450" s="411"/>
      <c r="B450" s="82" t="s">
        <v>24</v>
      </c>
      <c r="C450" s="82"/>
      <c r="D450" s="82"/>
      <c r="E450" s="82"/>
      <c r="F450" s="82"/>
      <c r="G450" s="80">
        <f>G451/G449</f>
        <v>27147.006139869216</v>
      </c>
      <c r="H450" s="80"/>
      <c r="I450" s="80"/>
      <c r="J450" s="80"/>
      <c r="K450" s="80"/>
      <c r="L450" s="131">
        <f>L451/L449</f>
        <v>20250.032173150048</v>
      </c>
      <c r="M450" s="131"/>
      <c r="N450" s="131"/>
      <c r="O450" s="131"/>
      <c r="P450" s="131"/>
      <c r="Q450" s="131">
        <f>Q451/Q449</f>
        <v>46518.931756446538</v>
      </c>
      <c r="R450" s="131"/>
      <c r="S450" s="131"/>
      <c r="T450" s="131"/>
      <c r="U450" s="131"/>
      <c r="V450" s="131">
        <f t="shared" ref="V450:W450" si="226">V451/V449</f>
        <v>26359.891304347828</v>
      </c>
      <c r="W450" s="131">
        <f t="shared" si="226"/>
        <v>34114.244897959179</v>
      </c>
      <c r="X450" s="453"/>
      <c r="Y450" s="453"/>
    </row>
    <row r="451" spans="1:71" ht="24.95" customHeight="1">
      <c r="A451" s="411"/>
      <c r="B451" s="82" t="s">
        <v>25</v>
      </c>
      <c r="C451" s="82">
        <v>176</v>
      </c>
      <c r="D451" s="82" t="s">
        <v>15</v>
      </c>
      <c r="E451" s="82">
        <v>6100404</v>
      </c>
      <c r="F451" s="82">
        <v>243</v>
      </c>
      <c r="G451" s="80">
        <f>G453+G454</f>
        <v>543835.97399999993</v>
      </c>
      <c r="H451" s="80">
        <f>H453+H454</f>
        <v>265715.27399999998</v>
      </c>
      <c r="I451" s="80">
        <f>I453+I454</f>
        <v>98680.250000000015</v>
      </c>
      <c r="J451" s="80">
        <f>J453+J454</f>
        <v>177681.24999999997</v>
      </c>
      <c r="K451" s="80">
        <f>K453+K454</f>
        <v>1759.2</v>
      </c>
      <c r="L451" s="131">
        <f>L453</f>
        <v>346174.30000000005</v>
      </c>
      <c r="M451" s="131">
        <f t="shared" ref="M451:P451" si="227">M453</f>
        <v>183503.90000000002</v>
      </c>
      <c r="N451" s="131">
        <f t="shared" si="227"/>
        <v>8872</v>
      </c>
      <c r="O451" s="131">
        <f t="shared" si="227"/>
        <v>116629.4</v>
      </c>
      <c r="P451" s="131">
        <f t="shared" si="227"/>
        <v>37169</v>
      </c>
      <c r="Q451" s="131">
        <f>Q453+Q454</f>
        <v>871346.11073000007</v>
      </c>
      <c r="R451" s="131">
        <f t="shared" ref="R451:U451" si="228">R453+R454</f>
        <v>45965</v>
      </c>
      <c r="S451" s="131">
        <f t="shared" si="228"/>
        <v>25950</v>
      </c>
      <c r="T451" s="131">
        <f t="shared" si="228"/>
        <v>606258.9</v>
      </c>
      <c r="U451" s="131">
        <f t="shared" si="228"/>
        <v>193172.21073000002</v>
      </c>
      <c r="V451" s="131">
        <f t="shared" ref="V451:W451" si="229">V453+V454</f>
        <v>194008.80000000002</v>
      </c>
      <c r="W451" s="131">
        <f t="shared" si="229"/>
        <v>167159.79999999999</v>
      </c>
      <c r="X451" s="453"/>
      <c r="Y451" s="453"/>
    </row>
    <row r="452" spans="1:71" ht="24.95" customHeight="1">
      <c r="A452" s="411"/>
      <c r="B452" s="82" t="s">
        <v>9</v>
      </c>
      <c r="C452" s="82"/>
      <c r="D452" s="82"/>
      <c r="E452" s="82"/>
      <c r="F452" s="82"/>
      <c r="G452" s="80"/>
      <c r="H452" s="80"/>
      <c r="I452" s="80"/>
      <c r="J452" s="80"/>
      <c r="K452" s="80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453"/>
      <c r="Y452" s="453"/>
    </row>
    <row r="453" spans="1:71" ht="23.45" customHeight="1">
      <c r="A453" s="411"/>
      <c r="B453" s="82" t="s">
        <v>10</v>
      </c>
      <c r="C453" s="82">
        <v>176</v>
      </c>
      <c r="D453" s="82" t="s">
        <v>15</v>
      </c>
      <c r="E453" s="82">
        <v>6100404</v>
      </c>
      <c r="F453" s="82">
        <v>243</v>
      </c>
      <c r="G453" s="80">
        <f>SUM(H453:K453)</f>
        <v>498099.47399999999</v>
      </c>
      <c r="H453" s="80">
        <f>H458+H466+H476+H484+H500+H508+H519+H532+H544+H570+H576+H586+H592+H601+H614+H622+H638+H644+H658+H668+H678+H688+H694+H702+H710+H720+H726+H731+H732</f>
        <v>265715.27399999998</v>
      </c>
      <c r="I453" s="80">
        <f>I458+I466+I476+I484+I500+I508+I519+I532+I544+I570+I576+I586+I592+I601+I614+I622+I638+I644+I658+I668+I678+I688+I694+I702+I710+I720+I726+I731+I732</f>
        <v>77257.550000000017</v>
      </c>
      <c r="J453" s="80">
        <f>J458+J466+J476+J484+J500+J508+J519+J532+J544+J570+J576+J586+J592+J601+J614+J622+J638+J644+J658+J668+J678+J688+J694+J702+J710+J720+J726+J731+J732</f>
        <v>153367.44999999998</v>
      </c>
      <c r="K453" s="80">
        <f>K458+K466+K476+K484+K500+K508+K519+K532+K544+K570+K576+K586+K592+K601+K614+K622+K638+K644+K658+K668+K678+K688+K694+K702+K710+K720+K726+K731+K732</f>
        <v>1759.2</v>
      </c>
      <c r="L453" s="131">
        <f>L458+L466+L476+L484+L494+L500+L519+L532+L544+L558+L570+L576+L586+L592+L601+L614+L622+L638+L644+L658+L668+L678+L688+L694+L702+L710+L720+L726+L731+L732+L508+L564</f>
        <v>346174.30000000005</v>
      </c>
      <c r="M453" s="131">
        <f>M458+M466+M476+M484+M494+M500+M519+M532+M544+M558+M570+M576+M586+M592+M601+M614+M622+M638+M644+M658+M668+M678+M688+M694+M702+M710+M720+M726+M731+M732+M508+M564</f>
        <v>183503.90000000002</v>
      </c>
      <c r="N453" s="131">
        <f>N458+N466+N476+N484+N494+N500+N519+N532+N544+N558+N570+N576+N586+N592+N601+N614+N622+N638+N644+N658+N668+N678+N688+N694+N702+N710+N720+N726+N731+N732+N508+N564</f>
        <v>8872</v>
      </c>
      <c r="O453" s="131">
        <f>O458+O466+O476+O484+O494+O500+O519+O532+O544+O558+O570+O576+O586+O592+O601+O614+O622+O638+O644+O658+O668+O678+O688+O694+O702+O710+O720+O726+O731+O732+O508+O564</f>
        <v>116629.4</v>
      </c>
      <c r="P453" s="131">
        <f>P458+P466+P476+P484+P494+P500+P519+P532+P544+P558+P570+P576+P586+P592+P601+P614+P622+P638+P644+P658+P668+P678+P688+P694+P702+P710+P720+P726+P731+P732+P508+P564</f>
        <v>37169</v>
      </c>
      <c r="Q453" s="131">
        <f>Q500+Q508+Q519+Q544+Q558+Q564+Q576+Q601+Q614+Q621+Q658+Q676+Q688+Q694+Q710+Q720+Q731+Q532</f>
        <v>734496.11073000007</v>
      </c>
      <c r="R453" s="131">
        <f t="shared" ref="R453:U453" si="230">R500+R508+R519+R544+R558+R564+R576+R601+R614+R621+R658+R676+R688+R694+R710+R720+R731+R532</f>
        <v>45965</v>
      </c>
      <c r="S453" s="131">
        <f t="shared" si="230"/>
        <v>25950</v>
      </c>
      <c r="T453" s="131">
        <f t="shared" si="230"/>
        <v>484408.9</v>
      </c>
      <c r="U453" s="131">
        <f t="shared" si="230"/>
        <v>178172.21073000002</v>
      </c>
      <c r="V453" s="131">
        <f>V500+V508+V544+V564+V601+V676+V731+V592</f>
        <v>194008.80000000002</v>
      </c>
      <c r="W453" s="131">
        <f t="shared" ref="W453" si="231">W502+W508+W532+W544+W558+W564+W600+W614+W621+W658+W676+W688+W694+W710+W731</f>
        <v>167159.79999999999</v>
      </c>
      <c r="X453" s="453"/>
      <c r="Y453" s="453"/>
    </row>
    <row r="454" spans="1:71" s="55" customFormat="1" ht="24.6" customHeight="1">
      <c r="A454" s="411"/>
      <c r="B454" s="82" t="s">
        <v>427</v>
      </c>
      <c r="C454" s="82"/>
      <c r="D454" s="82"/>
      <c r="E454" s="82"/>
      <c r="F454" s="82"/>
      <c r="G454" s="80">
        <f>SUM(H454:K454)</f>
        <v>45736.5</v>
      </c>
      <c r="H454" s="80">
        <f>H520+H602</f>
        <v>0</v>
      </c>
      <c r="I454" s="80">
        <f>I520+I602</f>
        <v>21422.7</v>
      </c>
      <c r="J454" s="80">
        <f>J520+J602</f>
        <v>24313.8</v>
      </c>
      <c r="K454" s="80">
        <f>K520+K602</f>
        <v>0</v>
      </c>
      <c r="L454" s="131">
        <v>0</v>
      </c>
      <c r="M454" s="131"/>
      <c r="N454" s="131"/>
      <c r="O454" s="131"/>
      <c r="P454" s="131"/>
      <c r="Q454" s="131">
        <f>Q622</f>
        <v>136850</v>
      </c>
      <c r="R454" s="131">
        <f t="shared" ref="R454:U454" si="232">R622</f>
        <v>0</v>
      </c>
      <c r="S454" s="131">
        <f t="shared" si="232"/>
        <v>0</v>
      </c>
      <c r="T454" s="131">
        <f t="shared" si="232"/>
        <v>121850</v>
      </c>
      <c r="U454" s="131">
        <f t="shared" si="232"/>
        <v>15000</v>
      </c>
      <c r="V454" s="131">
        <f>V622+V678</f>
        <v>0</v>
      </c>
      <c r="W454" s="131">
        <f t="shared" ref="W454" si="233">W622</f>
        <v>0</v>
      </c>
      <c r="X454" s="453"/>
      <c r="Y454" s="453"/>
      <c r="AF454" s="55">
        <f>SUM(AF456:AF726)</f>
        <v>316.60000000000002</v>
      </c>
      <c r="AT454" s="150"/>
      <c r="AU454" s="150"/>
      <c r="AV454" s="150"/>
      <c r="AW454" s="150"/>
      <c r="AX454" s="150"/>
      <c r="AY454" s="150"/>
      <c r="AZ454" s="150"/>
      <c r="BA454" s="150"/>
      <c r="BB454" s="150"/>
      <c r="BC454" s="150"/>
      <c r="BD454" s="150"/>
      <c r="BE454" s="150"/>
      <c r="BF454" s="150"/>
      <c r="BG454" s="150"/>
      <c r="BH454" s="150"/>
      <c r="BI454" s="150"/>
      <c r="BJ454" s="150"/>
      <c r="BK454" s="150"/>
      <c r="BL454" s="150"/>
      <c r="BM454" s="150"/>
      <c r="BN454" s="150"/>
      <c r="BO454" s="150"/>
      <c r="BP454" s="150"/>
      <c r="BQ454" s="150"/>
      <c r="BR454" s="150"/>
      <c r="BS454" s="150"/>
    </row>
    <row r="455" spans="1:71" s="55" customFormat="1" ht="24.6" customHeight="1">
      <c r="A455" s="411"/>
      <c r="B455" s="82" t="s">
        <v>11</v>
      </c>
      <c r="C455" s="82"/>
      <c r="D455" s="82"/>
      <c r="E455" s="82"/>
      <c r="F455" s="82"/>
      <c r="G455" s="80">
        <v>0</v>
      </c>
      <c r="H455" s="80"/>
      <c r="I455" s="80"/>
      <c r="J455" s="80"/>
      <c r="K455" s="80"/>
      <c r="L455" s="131">
        <v>0</v>
      </c>
      <c r="M455" s="131"/>
      <c r="N455" s="131"/>
      <c r="O455" s="131"/>
      <c r="P455" s="131"/>
      <c r="Q455" s="131">
        <v>0</v>
      </c>
      <c r="R455" s="131"/>
      <c r="S455" s="131"/>
      <c r="T455" s="131"/>
      <c r="U455" s="131"/>
      <c r="V455" s="131"/>
      <c r="W455" s="131"/>
      <c r="X455" s="453"/>
      <c r="Y455" s="453"/>
      <c r="AT455" s="150"/>
      <c r="AU455" s="150"/>
      <c r="AV455" s="150"/>
      <c r="AW455" s="150"/>
      <c r="AX455" s="150"/>
      <c r="AY455" s="150"/>
      <c r="AZ455" s="150"/>
      <c r="BA455" s="150"/>
      <c r="BB455" s="150"/>
      <c r="BC455" s="150"/>
      <c r="BD455" s="150"/>
      <c r="BE455" s="150"/>
      <c r="BF455" s="150"/>
      <c r="BG455" s="150"/>
      <c r="BH455" s="150"/>
      <c r="BI455" s="150"/>
      <c r="BJ455" s="150"/>
      <c r="BK455" s="150"/>
      <c r="BL455" s="150"/>
      <c r="BM455" s="150"/>
      <c r="BN455" s="150"/>
      <c r="BO455" s="150"/>
      <c r="BP455" s="150"/>
      <c r="BQ455" s="150"/>
      <c r="BR455" s="150"/>
      <c r="BS455" s="150"/>
    </row>
    <row r="456" spans="1:71" ht="24.6" customHeight="1">
      <c r="A456" s="446"/>
      <c r="B456" s="82" t="s">
        <v>484</v>
      </c>
      <c r="C456" s="82"/>
      <c r="D456" s="82"/>
      <c r="E456" s="82"/>
      <c r="F456" s="82"/>
      <c r="G456" s="80">
        <v>0</v>
      </c>
      <c r="H456" s="80"/>
      <c r="I456" s="80"/>
      <c r="J456" s="80"/>
      <c r="K456" s="80"/>
      <c r="L456" s="131">
        <v>0</v>
      </c>
      <c r="M456" s="131"/>
      <c r="N456" s="131"/>
      <c r="O456" s="131"/>
      <c r="P456" s="131"/>
      <c r="Q456" s="131">
        <v>0</v>
      </c>
      <c r="R456" s="131"/>
      <c r="S456" s="131"/>
      <c r="T456" s="131"/>
      <c r="U456" s="131"/>
      <c r="V456" s="131"/>
      <c r="W456" s="131"/>
      <c r="X456" s="453"/>
      <c r="Y456" s="453"/>
    </row>
    <row r="457" spans="1:71" ht="24.6" hidden="1" customHeight="1">
      <c r="A457" s="461" t="s">
        <v>96</v>
      </c>
      <c r="B457" s="82" t="s">
        <v>89</v>
      </c>
      <c r="C457" s="82"/>
      <c r="D457" s="82"/>
      <c r="E457" s="82"/>
      <c r="F457" s="82"/>
      <c r="G457" s="80">
        <f>G459+G461+G463</f>
        <v>0.28000000000000003</v>
      </c>
      <c r="H457" s="80">
        <f t="shared" ref="H457:V458" si="234">H459+H461+H463</f>
        <v>0</v>
      </c>
      <c r="I457" s="80">
        <f t="shared" si="234"/>
        <v>0</v>
      </c>
      <c r="J457" s="80">
        <f t="shared" si="234"/>
        <v>0</v>
      </c>
      <c r="K457" s="80">
        <f t="shared" si="234"/>
        <v>0.28000000000000003</v>
      </c>
      <c r="L457" s="131">
        <f t="shared" si="234"/>
        <v>0</v>
      </c>
      <c r="M457" s="131"/>
      <c r="N457" s="131"/>
      <c r="O457" s="131"/>
      <c r="P457" s="131"/>
      <c r="Q457" s="131">
        <f t="shared" si="234"/>
        <v>0</v>
      </c>
      <c r="R457" s="131"/>
      <c r="S457" s="131"/>
      <c r="T457" s="131"/>
      <c r="U457" s="131"/>
      <c r="V457" s="131">
        <f t="shared" si="234"/>
        <v>0</v>
      </c>
      <c r="W457" s="131"/>
      <c r="X457" s="82"/>
      <c r="Y457" s="82"/>
    </row>
    <row r="458" spans="1:71" ht="24.6" hidden="1" customHeight="1">
      <c r="A458" s="461"/>
      <c r="B458" s="82" t="s">
        <v>284</v>
      </c>
      <c r="C458" s="82"/>
      <c r="D458" s="82"/>
      <c r="E458" s="82"/>
      <c r="F458" s="82"/>
      <c r="G458" s="80">
        <f>G460+G462+G464</f>
        <v>3550.5</v>
      </c>
      <c r="H458" s="80">
        <f t="shared" si="234"/>
        <v>0</v>
      </c>
      <c r="I458" s="80">
        <f t="shared" si="234"/>
        <v>996.5</v>
      </c>
      <c r="J458" s="80">
        <f t="shared" si="234"/>
        <v>2554</v>
      </c>
      <c r="K458" s="80">
        <f t="shared" si="234"/>
        <v>0</v>
      </c>
      <c r="L458" s="131">
        <f t="shared" si="234"/>
        <v>0</v>
      </c>
      <c r="M458" s="131"/>
      <c r="N458" s="131"/>
      <c r="O458" s="131"/>
      <c r="P458" s="131"/>
      <c r="Q458" s="131">
        <f t="shared" si="234"/>
        <v>0</v>
      </c>
      <c r="R458" s="131"/>
      <c r="S458" s="131"/>
      <c r="T458" s="131"/>
      <c r="U458" s="131"/>
      <c r="V458" s="131">
        <f t="shared" si="234"/>
        <v>0</v>
      </c>
      <c r="W458" s="131"/>
      <c r="X458" s="82"/>
      <c r="Y458" s="82"/>
    </row>
    <row r="459" spans="1:71" ht="24.6" hidden="1" customHeight="1">
      <c r="A459" s="462" t="s">
        <v>109</v>
      </c>
      <c r="B459" s="167" t="s">
        <v>89</v>
      </c>
      <c r="C459" s="167">
        <v>176</v>
      </c>
      <c r="D459" s="167" t="s">
        <v>15</v>
      </c>
      <c r="E459" s="167">
        <v>6100404</v>
      </c>
      <c r="F459" s="167">
        <v>243</v>
      </c>
      <c r="G459" s="74">
        <f>SUM(H459:K459)</f>
        <v>0.28000000000000003</v>
      </c>
      <c r="H459" s="74"/>
      <c r="I459" s="74"/>
      <c r="J459" s="74"/>
      <c r="K459" s="74">
        <v>0.28000000000000003</v>
      </c>
      <c r="L459" s="132">
        <v>0</v>
      </c>
      <c r="M459" s="132"/>
      <c r="N459" s="132"/>
      <c r="O459" s="132"/>
      <c r="P459" s="132"/>
      <c r="Q459" s="132">
        <v>0</v>
      </c>
      <c r="R459" s="132"/>
      <c r="S459" s="132"/>
      <c r="T459" s="132"/>
      <c r="U459" s="132"/>
      <c r="V459" s="132"/>
      <c r="W459" s="132"/>
      <c r="X459" s="167"/>
      <c r="Y459" s="453" t="s">
        <v>92</v>
      </c>
    </row>
    <row r="460" spans="1:71" ht="24.6" hidden="1" customHeight="1">
      <c r="A460" s="462"/>
      <c r="B460" s="167" t="s">
        <v>284</v>
      </c>
      <c r="C460" s="167"/>
      <c r="D460" s="167"/>
      <c r="E460" s="167"/>
      <c r="F460" s="167"/>
      <c r="G460" s="74">
        <f>SUM(H460:K460)</f>
        <v>3550.5</v>
      </c>
      <c r="H460" s="74"/>
      <c r="I460" s="74">
        <v>996.5</v>
      </c>
      <c r="J460" s="74">
        <f>3726.2-K460-I460-175.7</f>
        <v>2554</v>
      </c>
      <c r="K460" s="74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67"/>
      <c r="Y460" s="453"/>
    </row>
    <row r="461" spans="1:71" ht="24.6" hidden="1" customHeight="1">
      <c r="A461" s="176" t="s">
        <v>239</v>
      </c>
      <c r="B461" s="167" t="s">
        <v>89</v>
      </c>
      <c r="C461" s="167">
        <v>176</v>
      </c>
      <c r="D461" s="167" t="s">
        <v>15</v>
      </c>
      <c r="E461" s="167">
        <v>6100404</v>
      </c>
      <c r="F461" s="167">
        <v>243</v>
      </c>
      <c r="G461" s="74">
        <v>0</v>
      </c>
      <c r="H461" s="74">
        <v>0</v>
      </c>
      <c r="I461" s="74">
        <v>0</v>
      </c>
      <c r="J461" s="74">
        <v>0</v>
      </c>
      <c r="K461" s="74">
        <v>0</v>
      </c>
      <c r="L461" s="132">
        <v>0</v>
      </c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67"/>
      <c r="Y461" s="338" t="s">
        <v>35</v>
      </c>
    </row>
    <row r="462" spans="1:71" s="55" customFormat="1" ht="24.6" hidden="1" customHeight="1">
      <c r="A462" s="176"/>
      <c r="B462" s="167" t="s">
        <v>284</v>
      </c>
      <c r="C462" s="167"/>
      <c r="D462" s="167"/>
      <c r="E462" s="167"/>
      <c r="F462" s="167"/>
      <c r="G462" s="74"/>
      <c r="H462" s="74"/>
      <c r="I462" s="74"/>
      <c r="J462" s="74"/>
      <c r="K462" s="74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67"/>
      <c r="Y462" s="338"/>
      <c r="AT462" s="150"/>
      <c r="AU462" s="150"/>
      <c r="AV462" s="150"/>
      <c r="AW462" s="150"/>
      <c r="AX462" s="150"/>
      <c r="AY462" s="150"/>
      <c r="AZ462" s="150"/>
      <c r="BA462" s="150"/>
      <c r="BB462" s="150"/>
      <c r="BC462" s="150"/>
      <c r="BD462" s="150"/>
      <c r="BE462" s="150"/>
      <c r="BF462" s="150"/>
      <c r="BG462" s="150"/>
      <c r="BH462" s="150"/>
      <c r="BI462" s="150"/>
      <c r="BJ462" s="150"/>
      <c r="BK462" s="150"/>
      <c r="BL462" s="150"/>
      <c r="BM462" s="150"/>
      <c r="BN462" s="150"/>
      <c r="BO462" s="150"/>
      <c r="BP462" s="150"/>
      <c r="BQ462" s="150"/>
      <c r="BR462" s="150"/>
      <c r="BS462" s="150"/>
    </row>
    <row r="463" spans="1:71" s="55" customFormat="1" ht="43.9" hidden="1" customHeight="1">
      <c r="A463" s="455" t="s">
        <v>110</v>
      </c>
      <c r="B463" s="167" t="s">
        <v>89</v>
      </c>
      <c r="C463" s="167">
        <v>176</v>
      </c>
      <c r="D463" s="167" t="s">
        <v>15</v>
      </c>
      <c r="E463" s="167">
        <v>6100404</v>
      </c>
      <c r="F463" s="167">
        <v>243</v>
      </c>
      <c r="G463" s="74">
        <v>0</v>
      </c>
      <c r="H463" s="74">
        <v>0</v>
      </c>
      <c r="I463" s="74">
        <v>0</v>
      </c>
      <c r="J463" s="74">
        <v>0</v>
      </c>
      <c r="K463" s="74">
        <v>0</v>
      </c>
      <c r="L463" s="132"/>
      <c r="M463" s="132"/>
      <c r="N463" s="132"/>
      <c r="O463" s="132"/>
      <c r="P463" s="132"/>
      <c r="Q463" s="132">
        <v>0</v>
      </c>
      <c r="R463" s="132"/>
      <c r="S463" s="132"/>
      <c r="T463" s="132"/>
      <c r="U463" s="132"/>
      <c r="V463" s="132"/>
      <c r="W463" s="132"/>
      <c r="X463" s="167"/>
      <c r="Y463" s="453" t="s">
        <v>31</v>
      </c>
      <c r="AT463" s="150"/>
      <c r="AU463" s="150"/>
      <c r="AV463" s="150"/>
      <c r="AW463" s="150"/>
      <c r="AX463" s="150"/>
      <c r="AY463" s="150"/>
      <c r="AZ463" s="150"/>
      <c r="BA463" s="150"/>
      <c r="BB463" s="150"/>
      <c r="BC463" s="150"/>
      <c r="BD463" s="150"/>
      <c r="BE463" s="150"/>
      <c r="BF463" s="150"/>
      <c r="BG463" s="150"/>
      <c r="BH463" s="150"/>
      <c r="BI463" s="150"/>
      <c r="BJ463" s="150"/>
      <c r="BK463" s="150"/>
      <c r="BL463" s="150"/>
      <c r="BM463" s="150"/>
      <c r="BN463" s="150"/>
      <c r="BO463" s="150"/>
      <c r="BP463" s="150"/>
      <c r="BQ463" s="150"/>
      <c r="BR463" s="150"/>
      <c r="BS463" s="150"/>
    </row>
    <row r="464" spans="1:71" ht="24.6" hidden="1" customHeight="1">
      <c r="A464" s="455"/>
      <c r="B464" s="167" t="s">
        <v>284</v>
      </c>
      <c r="C464" s="167"/>
      <c r="D464" s="167"/>
      <c r="E464" s="167"/>
      <c r="F464" s="167"/>
      <c r="G464" s="74"/>
      <c r="H464" s="74"/>
      <c r="I464" s="74"/>
      <c r="J464" s="74"/>
      <c r="K464" s="74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67"/>
      <c r="Y464" s="453"/>
    </row>
    <row r="465" spans="1:71" ht="24" hidden="1" customHeight="1">
      <c r="A465" s="175" t="s">
        <v>117</v>
      </c>
      <c r="B465" s="82" t="s">
        <v>89</v>
      </c>
      <c r="C465" s="82"/>
      <c r="D465" s="82"/>
      <c r="E465" s="82"/>
      <c r="F465" s="82"/>
      <c r="G465" s="80">
        <f>G469+G471+G473</f>
        <v>0</v>
      </c>
      <c r="H465" s="80">
        <f t="shared" ref="H465:P466" si="235">H469+H471+H473</f>
        <v>0</v>
      </c>
      <c r="I465" s="80">
        <f t="shared" si="235"/>
        <v>0</v>
      </c>
      <c r="J465" s="80">
        <f t="shared" si="235"/>
        <v>0</v>
      </c>
      <c r="K465" s="80">
        <f t="shared" si="235"/>
        <v>0</v>
      </c>
      <c r="L465" s="131">
        <f t="shared" si="235"/>
        <v>1.2</v>
      </c>
      <c r="M465" s="131">
        <f t="shared" si="235"/>
        <v>1.2</v>
      </c>
      <c r="N465" s="131"/>
      <c r="O465" s="131"/>
      <c r="P465" s="131"/>
      <c r="Q465" s="131">
        <f>Q467+Q469</f>
        <v>0</v>
      </c>
      <c r="R465" s="131"/>
      <c r="S465" s="131"/>
      <c r="T465" s="131"/>
      <c r="U465" s="131"/>
      <c r="V465" s="131">
        <f t="shared" ref="V465:W465" si="236">V467+V469</f>
        <v>0</v>
      </c>
      <c r="W465" s="131">
        <f t="shared" si="236"/>
        <v>0</v>
      </c>
      <c r="X465" s="167"/>
      <c r="Y465" s="82"/>
    </row>
    <row r="466" spans="1:71" ht="41.25" hidden="1" customHeight="1">
      <c r="A466" s="166"/>
      <c r="B466" s="82" t="s">
        <v>284</v>
      </c>
      <c r="C466" s="82"/>
      <c r="D466" s="82"/>
      <c r="E466" s="82"/>
      <c r="F466" s="82"/>
      <c r="G466" s="80">
        <f>G470+G472+G474</f>
        <v>0</v>
      </c>
      <c r="H466" s="80">
        <f t="shared" si="235"/>
        <v>0</v>
      </c>
      <c r="I466" s="80">
        <f t="shared" si="235"/>
        <v>0</v>
      </c>
      <c r="J466" s="80">
        <f t="shared" si="235"/>
        <v>0</v>
      </c>
      <c r="K466" s="80">
        <f t="shared" si="235"/>
        <v>0</v>
      </c>
      <c r="L466" s="131">
        <f t="shared" si="235"/>
        <v>40874.1</v>
      </c>
      <c r="M466" s="131">
        <f t="shared" si="235"/>
        <v>40874.1</v>
      </c>
      <c r="N466" s="131">
        <f t="shared" si="235"/>
        <v>0</v>
      </c>
      <c r="O466" s="131">
        <f t="shared" si="235"/>
        <v>0</v>
      </c>
      <c r="P466" s="131">
        <f t="shared" si="235"/>
        <v>0</v>
      </c>
      <c r="Q466" s="131">
        <f>Q468+Q470</f>
        <v>0</v>
      </c>
      <c r="R466" s="131"/>
      <c r="S466" s="131"/>
      <c r="T466" s="131"/>
      <c r="U466" s="131"/>
      <c r="V466" s="131">
        <f t="shared" ref="V466:W466" si="237">V468+V470</f>
        <v>0</v>
      </c>
      <c r="W466" s="131">
        <f t="shared" si="237"/>
        <v>0</v>
      </c>
      <c r="X466" s="167"/>
      <c r="Y466" s="82"/>
    </row>
    <row r="467" spans="1:71" ht="24.6" hidden="1" customHeight="1">
      <c r="A467" s="451" t="s">
        <v>158</v>
      </c>
      <c r="B467" s="167" t="s">
        <v>89</v>
      </c>
      <c r="C467" s="82"/>
      <c r="D467" s="82"/>
      <c r="E467" s="82"/>
      <c r="F467" s="82"/>
      <c r="G467" s="80"/>
      <c r="H467" s="80"/>
      <c r="I467" s="80"/>
      <c r="J467" s="80"/>
      <c r="K467" s="80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2"/>
      <c r="X467" s="167"/>
      <c r="Y467" s="453" t="s">
        <v>418</v>
      </c>
    </row>
    <row r="468" spans="1:71" ht="24.6" hidden="1" customHeight="1">
      <c r="A468" s="452"/>
      <c r="B468" s="167" t="s">
        <v>284</v>
      </c>
      <c r="C468" s="82"/>
      <c r="D468" s="82"/>
      <c r="E468" s="82"/>
      <c r="F468" s="82"/>
      <c r="G468" s="80"/>
      <c r="H468" s="80"/>
      <c r="I468" s="80"/>
      <c r="J468" s="80"/>
      <c r="K468" s="80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2"/>
      <c r="X468" s="167"/>
      <c r="Y468" s="453"/>
    </row>
    <row r="469" spans="1:71" ht="24.6" hidden="1" customHeight="1">
      <c r="A469" s="462" t="s">
        <v>111</v>
      </c>
      <c r="B469" s="167" t="s">
        <v>89</v>
      </c>
      <c r="C469" s="167">
        <v>176</v>
      </c>
      <c r="D469" s="167" t="s">
        <v>15</v>
      </c>
      <c r="E469" s="167">
        <v>6100404</v>
      </c>
      <c r="F469" s="167">
        <v>243</v>
      </c>
      <c r="G469" s="74">
        <v>0</v>
      </c>
      <c r="H469" s="74">
        <v>0</v>
      </c>
      <c r="I469" s="74">
        <v>0</v>
      </c>
      <c r="J469" s="74">
        <v>0</v>
      </c>
      <c r="K469" s="74">
        <v>0</v>
      </c>
      <c r="L469" s="132">
        <v>1.2</v>
      </c>
      <c r="M469" s="132">
        <v>1.2</v>
      </c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67"/>
      <c r="Y469" s="453" t="s">
        <v>470</v>
      </c>
    </row>
    <row r="470" spans="1:71" ht="22.15" hidden="1" customHeight="1">
      <c r="A470" s="462"/>
      <c r="B470" s="167" t="s">
        <v>284</v>
      </c>
      <c r="C470" s="167"/>
      <c r="D470" s="167"/>
      <c r="E470" s="167"/>
      <c r="F470" s="167"/>
      <c r="G470" s="74"/>
      <c r="H470" s="74"/>
      <c r="I470" s="74"/>
      <c r="J470" s="74"/>
      <c r="K470" s="74"/>
      <c r="L470" s="132">
        <f>41037.5-163.4</f>
        <v>40874.1</v>
      </c>
      <c r="M470" s="132">
        <f>41037.5-163.4</f>
        <v>40874.1</v>
      </c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67"/>
      <c r="Y470" s="453"/>
    </row>
    <row r="471" spans="1:71" ht="24.6" hidden="1" customHeight="1">
      <c r="A471" s="455" t="s">
        <v>110</v>
      </c>
      <c r="B471" s="167" t="s">
        <v>89</v>
      </c>
      <c r="C471" s="167">
        <v>176</v>
      </c>
      <c r="D471" s="167" t="s">
        <v>15</v>
      </c>
      <c r="E471" s="167">
        <v>6100404</v>
      </c>
      <c r="F471" s="167">
        <v>243</v>
      </c>
      <c r="G471" s="74">
        <v>0</v>
      </c>
      <c r="H471" s="74">
        <v>0</v>
      </c>
      <c r="I471" s="74">
        <v>0</v>
      </c>
      <c r="J471" s="74">
        <v>0</v>
      </c>
      <c r="K471" s="74">
        <v>0</v>
      </c>
      <c r="L471" s="132">
        <v>0</v>
      </c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67"/>
      <c r="Y471" s="453" t="s">
        <v>31</v>
      </c>
    </row>
    <row r="472" spans="1:71" s="55" customFormat="1" ht="24.6" hidden="1" customHeight="1">
      <c r="A472" s="455"/>
      <c r="B472" s="167" t="s">
        <v>284</v>
      </c>
      <c r="C472" s="167"/>
      <c r="D472" s="167"/>
      <c r="E472" s="167"/>
      <c r="F472" s="167"/>
      <c r="G472" s="74"/>
      <c r="H472" s="74"/>
      <c r="I472" s="74"/>
      <c r="J472" s="74"/>
      <c r="K472" s="74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67"/>
      <c r="Y472" s="453"/>
      <c r="AT472" s="150"/>
      <c r="AU472" s="150"/>
      <c r="AV472" s="150"/>
      <c r="AW472" s="150"/>
      <c r="AX472" s="150"/>
      <c r="AY472" s="150"/>
      <c r="AZ472" s="150"/>
      <c r="BA472" s="150"/>
      <c r="BB472" s="150"/>
      <c r="BC472" s="150"/>
      <c r="BD472" s="150"/>
      <c r="BE472" s="150"/>
      <c r="BF472" s="150"/>
      <c r="BG472" s="150"/>
      <c r="BH472" s="150"/>
      <c r="BI472" s="150"/>
      <c r="BJ472" s="150"/>
      <c r="BK472" s="150"/>
      <c r="BL472" s="150"/>
      <c r="BM472" s="150"/>
      <c r="BN472" s="150"/>
      <c r="BO472" s="150"/>
      <c r="BP472" s="150"/>
      <c r="BQ472" s="150"/>
      <c r="BR472" s="150"/>
      <c r="BS472" s="150"/>
    </row>
    <row r="473" spans="1:71" s="55" customFormat="1" ht="24.6" hidden="1" customHeight="1">
      <c r="A473" s="455" t="s">
        <v>158</v>
      </c>
      <c r="B473" s="167" t="s">
        <v>89</v>
      </c>
      <c r="C473" s="167"/>
      <c r="D473" s="167"/>
      <c r="E473" s="167"/>
      <c r="F473" s="167"/>
      <c r="G473" s="74"/>
      <c r="H473" s="74"/>
      <c r="I473" s="74"/>
      <c r="J473" s="74"/>
      <c r="K473" s="74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67"/>
      <c r="Y473" s="453" t="s">
        <v>35</v>
      </c>
      <c r="AT473" s="150"/>
      <c r="AU473" s="150"/>
      <c r="AV473" s="150"/>
      <c r="AW473" s="150"/>
      <c r="AX473" s="150"/>
      <c r="AY473" s="150"/>
      <c r="AZ473" s="150"/>
      <c r="BA473" s="150"/>
      <c r="BB473" s="150"/>
      <c r="BC473" s="150"/>
      <c r="BD473" s="150"/>
      <c r="BE473" s="150"/>
      <c r="BF473" s="150"/>
      <c r="BG473" s="150"/>
      <c r="BH473" s="150"/>
      <c r="BI473" s="150"/>
      <c r="BJ473" s="150"/>
      <c r="BK473" s="150"/>
      <c r="BL473" s="150"/>
      <c r="BM473" s="150"/>
      <c r="BN473" s="150"/>
      <c r="BO473" s="150"/>
      <c r="BP473" s="150"/>
      <c r="BQ473" s="150"/>
      <c r="BR473" s="150"/>
      <c r="BS473" s="150"/>
    </row>
    <row r="474" spans="1:71" ht="24.6" hidden="1" customHeight="1">
      <c r="A474" s="455"/>
      <c r="B474" s="167" t="s">
        <v>284</v>
      </c>
      <c r="C474" s="167"/>
      <c r="D474" s="167"/>
      <c r="E474" s="167"/>
      <c r="F474" s="167"/>
      <c r="G474" s="74"/>
      <c r="H474" s="74"/>
      <c r="I474" s="74"/>
      <c r="J474" s="74"/>
      <c r="K474" s="74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67"/>
      <c r="Y474" s="453"/>
    </row>
    <row r="475" spans="1:71" ht="24.95" hidden="1" customHeight="1">
      <c r="A475" s="461" t="s">
        <v>97</v>
      </c>
      <c r="B475" s="82" t="s">
        <v>89</v>
      </c>
      <c r="C475" s="82"/>
      <c r="D475" s="82"/>
      <c r="E475" s="82"/>
      <c r="F475" s="82"/>
      <c r="G475" s="80">
        <f>G477+G479+G481</f>
        <v>0</v>
      </c>
      <c r="H475" s="80">
        <f t="shared" ref="H475:W476" si="238">H477+H479+H481</f>
        <v>0</v>
      </c>
      <c r="I475" s="80">
        <f t="shared" si="238"/>
        <v>0</v>
      </c>
      <c r="J475" s="80">
        <f t="shared" si="238"/>
        <v>0</v>
      </c>
      <c r="K475" s="80">
        <f t="shared" si="238"/>
        <v>0</v>
      </c>
      <c r="L475" s="131">
        <f>L477+L479+L481</f>
        <v>1.143</v>
      </c>
      <c r="M475" s="131">
        <f t="shared" ref="M475:N475" si="239">M477+M479+M481</f>
        <v>0</v>
      </c>
      <c r="N475" s="131">
        <f t="shared" si="239"/>
        <v>1.143</v>
      </c>
      <c r="O475" s="131"/>
      <c r="P475" s="131"/>
      <c r="Q475" s="131">
        <f t="shared" si="238"/>
        <v>0</v>
      </c>
      <c r="R475" s="131"/>
      <c r="S475" s="131"/>
      <c r="T475" s="131"/>
      <c r="U475" s="131"/>
      <c r="V475" s="131">
        <f t="shared" si="238"/>
        <v>0</v>
      </c>
      <c r="W475" s="131">
        <f t="shared" si="238"/>
        <v>0</v>
      </c>
      <c r="X475" s="167"/>
      <c r="Y475" s="82"/>
    </row>
    <row r="476" spans="1:71" ht="24.6" hidden="1" customHeight="1">
      <c r="A476" s="461"/>
      <c r="B476" s="82" t="s">
        <v>284</v>
      </c>
      <c r="C476" s="82"/>
      <c r="D476" s="82"/>
      <c r="E476" s="82"/>
      <c r="F476" s="82"/>
      <c r="G476" s="80">
        <f>G478+G480+G482</f>
        <v>0</v>
      </c>
      <c r="H476" s="80">
        <f t="shared" si="238"/>
        <v>0</v>
      </c>
      <c r="I476" s="80">
        <f t="shared" si="238"/>
        <v>0</v>
      </c>
      <c r="J476" s="80">
        <f t="shared" si="238"/>
        <v>0</v>
      </c>
      <c r="K476" s="80">
        <f t="shared" si="238"/>
        <v>0</v>
      </c>
      <c r="L476" s="131">
        <f t="shared" si="238"/>
        <v>28017.5</v>
      </c>
      <c r="M476" s="131">
        <f t="shared" si="238"/>
        <v>19145.5</v>
      </c>
      <c r="N476" s="131">
        <f t="shared" si="238"/>
        <v>8872</v>
      </c>
      <c r="O476" s="131">
        <f t="shared" si="238"/>
        <v>0</v>
      </c>
      <c r="P476" s="131">
        <f t="shared" si="238"/>
        <v>0</v>
      </c>
      <c r="Q476" s="131">
        <f t="shared" si="238"/>
        <v>0</v>
      </c>
      <c r="R476" s="131"/>
      <c r="S476" s="131"/>
      <c r="T476" s="131"/>
      <c r="U476" s="131"/>
      <c r="V476" s="131">
        <f t="shared" si="238"/>
        <v>0</v>
      </c>
      <c r="W476" s="131">
        <f t="shared" si="238"/>
        <v>0</v>
      </c>
      <c r="X476" s="167"/>
      <c r="Y476" s="82"/>
    </row>
    <row r="477" spans="1:71" ht="25.15" hidden="1" customHeight="1">
      <c r="A477" s="486" t="s">
        <v>112</v>
      </c>
      <c r="B477" s="167" t="s">
        <v>89</v>
      </c>
      <c r="C477" s="167">
        <v>176</v>
      </c>
      <c r="D477" s="167" t="s">
        <v>15</v>
      </c>
      <c r="E477" s="167">
        <v>6100404</v>
      </c>
      <c r="F477" s="167">
        <v>243</v>
      </c>
      <c r="G477" s="74">
        <v>0</v>
      </c>
      <c r="H477" s="74">
        <v>0</v>
      </c>
      <c r="I477" s="74">
        <v>0</v>
      </c>
      <c r="J477" s="74">
        <v>0</v>
      </c>
      <c r="K477" s="74">
        <v>0</v>
      </c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67"/>
      <c r="Y477" s="453" t="s">
        <v>343</v>
      </c>
    </row>
    <row r="478" spans="1:71" ht="23.45" hidden="1" customHeight="1">
      <c r="A478" s="486"/>
      <c r="B478" s="167" t="s">
        <v>284</v>
      </c>
      <c r="C478" s="167"/>
      <c r="D478" s="167"/>
      <c r="E478" s="167"/>
      <c r="F478" s="167"/>
      <c r="G478" s="74"/>
      <c r="H478" s="74"/>
      <c r="I478" s="74"/>
      <c r="J478" s="74"/>
      <c r="K478" s="74"/>
      <c r="L478" s="132">
        <f>4706.7-61.2</f>
        <v>4645.5</v>
      </c>
      <c r="M478" s="132">
        <v>4645.5</v>
      </c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67"/>
      <c r="Y478" s="453"/>
    </row>
    <row r="479" spans="1:71" ht="25.15" hidden="1" customHeight="1">
      <c r="A479" s="455" t="s">
        <v>113</v>
      </c>
      <c r="B479" s="167" t="s">
        <v>89</v>
      </c>
      <c r="C479" s="167">
        <v>176</v>
      </c>
      <c r="D479" s="167" t="s">
        <v>15</v>
      </c>
      <c r="E479" s="167">
        <v>6100404</v>
      </c>
      <c r="F479" s="167">
        <v>243</v>
      </c>
      <c r="G479" s="74">
        <f>SUM(H479:K479)</f>
        <v>0</v>
      </c>
      <c r="H479" s="74">
        <v>0</v>
      </c>
      <c r="I479" s="74">
        <v>0</v>
      </c>
      <c r="J479" s="74">
        <v>0</v>
      </c>
      <c r="K479" s="74">
        <v>0</v>
      </c>
      <c r="L479" s="132">
        <v>1.143</v>
      </c>
      <c r="M479" s="132"/>
      <c r="N479" s="132">
        <v>1.143</v>
      </c>
      <c r="O479" s="132"/>
      <c r="P479" s="132"/>
      <c r="Q479" s="132"/>
      <c r="R479" s="132"/>
      <c r="S479" s="132"/>
      <c r="T479" s="132"/>
      <c r="U479" s="132"/>
      <c r="V479" s="132"/>
      <c r="W479" s="132"/>
      <c r="X479" s="167"/>
      <c r="Y479" s="453" t="s">
        <v>240</v>
      </c>
    </row>
    <row r="480" spans="1:71" s="55" customFormat="1" ht="24.6" hidden="1" customHeight="1">
      <c r="A480" s="455"/>
      <c r="B480" s="167" t="s">
        <v>284</v>
      </c>
      <c r="C480" s="167"/>
      <c r="D480" s="167"/>
      <c r="E480" s="167"/>
      <c r="F480" s="167"/>
      <c r="G480" s="74"/>
      <c r="H480" s="74"/>
      <c r="I480" s="74"/>
      <c r="J480" s="74"/>
      <c r="K480" s="74"/>
      <c r="L480" s="132">
        <f>M480+N480</f>
        <v>23372</v>
      </c>
      <c r="M480" s="132">
        <v>14500</v>
      </c>
      <c r="N480" s="132">
        <f>5495+3377</f>
        <v>8872</v>
      </c>
      <c r="O480" s="132"/>
      <c r="P480" s="132"/>
      <c r="Q480" s="132">
        <v>0</v>
      </c>
      <c r="R480" s="132"/>
      <c r="S480" s="132"/>
      <c r="T480" s="132"/>
      <c r="U480" s="132"/>
      <c r="V480" s="132"/>
      <c r="W480" s="132"/>
      <c r="X480" s="167"/>
      <c r="Y480" s="453"/>
      <c r="AT480" s="150"/>
      <c r="AU480" s="150"/>
      <c r="AV480" s="150"/>
      <c r="AW480" s="150"/>
      <c r="AX480" s="150"/>
      <c r="AY480" s="150"/>
      <c r="AZ480" s="150"/>
      <c r="BA480" s="150"/>
      <c r="BB480" s="150"/>
      <c r="BC480" s="150"/>
      <c r="BD480" s="150"/>
      <c r="BE480" s="150"/>
      <c r="BF480" s="150"/>
      <c r="BG480" s="150"/>
      <c r="BH480" s="150"/>
      <c r="BI480" s="150"/>
      <c r="BJ480" s="150"/>
      <c r="BK480" s="150"/>
      <c r="BL480" s="150"/>
      <c r="BM480" s="150"/>
      <c r="BN480" s="150"/>
      <c r="BO480" s="150"/>
      <c r="BP480" s="150"/>
      <c r="BQ480" s="150"/>
      <c r="BR480" s="150"/>
      <c r="BS480" s="150"/>
    </row>
    <row r="481" spans="1:71" s="55" customFormat="1" ht="24.6" hidden="1" customHeight="1">
      <c r="A481" s="172" t="s">
        <v>287</v>
      </c>
      <c r="B481" s="167" t="s">
        <v>89</v>
      </c>
      <c r="C481" s="167"/>
      <c r="D481" s="167"/>
      <c r="E481" s="167"/>
      <c r="F481" s="167"/>
      <c r="G481" s="74"/>
      <c r="H481" s="74"/>
      <c r="I481" s="74"/>
      <c r="J481" s="74"/>
      <c r="K481" s="74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67"/>
      <c r="Y481" s="338"/>
      <c r="AT481" s="150"/>
      <c r="AU481" s="150"/>
      <c r="AV481" s="150"/>
      <c r="AW481" s="150"/>
      <c r="AX481" s="150"/>
      <c r="AY481" s="150"/>
      <c r="AZ481" s="150"/>
      <c r="BA481" s="150"/>
      <c r="BB481" s="150"/>
      <c r="BC481" s="150"/>
      <c r="BD481" s="150"/>
      <c r="BE481" s="150"/>
      <c r="BF481" s="150"/>
      <c r="BG481" s="150"/>
      <c r="BH481" s="150"/>
      <c r="BI481" s="150"/>
      <c r="BJ481" s="150"/>
      <c r="BK481" s="150"/>
      <c r="BL481" s="150"/>
      <c r="BM481" s="150"/>
      <c r="BN481" s="150"/>
      <c r="BO481" s="150"/>
      <c r="BP481" s="150"/>
      <c r="BQ481" s="150"/>
      <c r="BR481" s="150"/>
      <c r="BS481" s="150"/>
    </row>
    <row r="482" spans="1:71" ht="24.6" hidden="1" customHeight="1">
      <c r="A482" s="172"/>
      <c r="B482" s="167" t="s">
        <v>284</v>
      </c>
      <c r="C482" s="167"/>
      <c r="D482" s="167"/>
      <c r="E482" s="167"/>
      <c r="F482" s="167"/>
      <c r="G482" s="74"/>
      <c r="H482" s="74"/>
      <c r="I482" s="74"/>
      <c r="J482" s="74"/>
      <c r="K482" s="74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67"/>
      <c r="Y482" s="338" t="s">
        <v>35</v>
      </c>
    </row>
    <row r="483" spans="1:71" ht="0.6" hidden="1" customHeight="1">
      <c r="A483" s="461" t="s">
        <v>98</v>
      </c>
      <c r="B483" s="82" t="s">
        <v>89</v>
      </c>
      <c r="C483" s="82"/>
      <c r="D483" s="82"/>
      <c r="E483" s="82"/>
      <c r="F483" s="82"/>
      <c r="G483" s="80">
        <f>G485+G487+G489</f>
        <v>1.65</v>
      </c>
      <c r="H483" s="80">
        <f t="shared" ref="H483:V484" si="240">H485+H487+H489</f>
        <v>0</v>
      </c>
      <c r="I483" s="80">
        <f t="shared" si="240"/>
        <v>0</v>
      </c>
      <c r="J483" s="80">
        <f t="shared" si="240"/>
        <v>0</v>
      </c>
      <c r="K483" s="80">
        <f t="shared" si="240"/>
        <v>1.65</v>
      </c>
      <c r="L483" s="131">
        <f t="shared" si="240"/>
        <v>1</v>
      </c>
      <c r="M483" s="131">
        <v>1</v>
      </c>
      <c r="N483" s="131"/>
      <c r="O483" s="131"/>
      <c r="P483" s="131"/>
      <c r="Q483" s="131">
        <f t="shared" si="240"/>
        <v>0</v>
      </c>
      <c r="R483" s="131"/>
      <c r="S483" s="131"/>
      <c r="T483" s="131"/>
      <c r="U483" s="131"/>
      <c r="V483" s="131">
        <f t="shared" si="240"/>
        <v>0</v>
      </c>
      <c r="W483" s="131"/>
      <c r="X483" s="167"/>
      <c r="Y483" s="82"/>
    </row>
    <row r="484" spans="1:71" ht="0.6" customHeight="1">
      <c r="A484" s="461"/>
      <c r="B484" s="82" t="s">
        <v>284</v>
      </c>
      <c r="C484" s="82"/>
      <c r="D484" s="82"/>
      <c r="E484" s="82"/>
      <c r="F484" s="82"/>
      <c r="G484" s="80">
        <f>G486+G488+G490</f>
        <v>23381.899999999998</v>
      </c>
      <c r="H484" s="80">
        <f t="shared" si="240"/>
        <v>0</v>
      </c>
      <c r="I484" s="80">
        <f t="shared" si="240"/>
        <v>4477.5</v>
      </c>
      <c r="J484" s="80">
        <f t="shared" si="240"/>
        <v>18904.399999999998</v>
      </c>
      <c r="K484" s="80">
        <f t="shared" si="240"/>
        <v>0</v>
      </c>
      <c r="L484" s="131">
        <f>L486+L488+L490</f>
        <v>19623</v>
      </c>
      <c r="M484" s="131">
        <f t="shared" ref="M484:P484" si="241">M486+M488+M490</f>
        <v>19623</v>
      </c>
      <c r="N484" s="131">
        <f t="shared" si="241"/>
        <v>0</v>
      </c>
      <c r="O484" s="131">
        <f t="shared" si="241"/>
        <v>0</v>
      </c>
      <c r="P484" s="131">
        <f t="shared" si="241"/>
        <v>0</v>
      </c>
      <c r="Q484" s="131">
        <f t="shared" si="240"/>
        <v>0</v>
      </c>
      <c r="R484" s="131"/>
      <c r="S484" s="131"/>
      <c r="T484" s="131"/>
      <c r="U484" s="131"/>
      <c r="V484" s="131">
        <f t="shared" si="240"/>
        <v>0</v>
      </c>
      <c r="W484" s="131"/>
      <c r="X484" s="167"/>
      <c r="Y484" s="82"/>
    </row>
    <row r="485" spans="1:71" ht="24.6" hidden="1" customHeight="1">
      <c r="A485" s="455" t="s">
        <v>114</v>
      </c>
      <c r="B485" s="167" t="s">
        <v>89</v>
      </c>
      <c r="C485" s="167">
        <v>176</v>
      </c>
      <c r="D485" s="167" t="s">
        <v>15</v>
      </c>
      <c r="E485" s="167">
        <v>6100404</v>
      </c>
      <c r="F485" s="167">
        <v>243</v>
      </c>
      <c r="G485" s="74">
        <v>0</v>
      </c>
      <c r="H485" s="74">
        <v>0</v>
      </c>
      <c r="I485" s="74">
        <v>0</v>
      </c>
      <c r="J485" s="74">
        <v>0</v>
      </c>
      <c r="K485" s="74">
        <v>0</v>
      </c>
      <c r="L485" s="132">
        <v>1</v>
      </c>
      <c r="M485" s="132">
        <v>1</v>
      </c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67"/>
      <c r="Y485" s="453" t="s">
        <v>35</v>
      </c>
    </row>
    <row r="486" spans="1:71" ht="21.6" hidden="1" customHeight="1">
      <c r="A486" s="455"/>
      <c r="B486" s="167" t="s">
        <v>284</v>
      </c>
      <c r="C486" s="167"/>
      <c r="D486" s="167"/>
      <c r="E486" s="167"/>
      <c r="F486" s="167"/>
      <c r="G486" s="74"/>
      <c r="H486" s="74"/>
      <c r="I486" s="74"/>
      <c r="J486" s="74"/>
      <c r="K486" s="74"/>
      <c r="L486" s="132">
        <f>20565.9-942.9</f>
        <v>19623</v>
      </c>
      <c r="M486" s="132">
        <v>19623</v>
      </c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67"/>
      <c r="Y486" s="453"/>
    </row>
    <row r="487" spans="1:71" ht="24.6" hidden="1" customHeight="1">
      <c r="A487" s="172" t="s">
        <v>116</v>
      </c>
      <c r="B487" s="167" t="s">
        <v>89</v>
      </c>
      <c r="C487" s="167">
        <v>176</v>
      </c>
      <c r="D487" s="167" t="s">
        <v>15</v>
      </c>
      <c r="E487" s="167">
        <v>6100404</v>
      </c>
      <c r="F487" s="167">
        <v>243</v>
      </c>
      <c r="G487" s="74">
        <v>0</v>
      </c>
      <c r="H487" s="74">
        <v>0</v>
      </c>
      <c r="I487" s="74">
        <v>0</v>
      </c>
      <c r="J487" s="74">
        <v>0</v>
      </c>
      <c r="K487" s="74">
        <v>0</v>
      </c>
      <c r="L487" s="132">
        <v>0</v>
      </c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67"/>
      <c r="Y487" s="338" t="s">
        <v>35</v>
      </c>
    </row>
    <row r="488" spans="1:71" ht="24.6" hidden="1" customHeight="1">
      <c r="A488" s="172"/>
      <c r="B488" s="167" t="s">
        <v>284</v>
      </c>
      <c r="C488" s="167"/>
      <c r="D488" s="167"/>
      <c r="E488" s="167"/>
      <c r="F488" s="167"/>
      <c r="G488" s="74"/>
      <c r="H488" s="74"/>
      <c r="I488" s="74"/>
      <c r="J488" s="74"/>
      <c r="K488" s="74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67"/>
      <c r="Y488" s="338"/>
    </row>
    <row r="489" spans="1:71" ht="24.6" hidden="1" customHeight="1">
      <c r="A489" s="172" t="s">
        <v>115</v>
      </c>
      <c r="B489" s="167" t="s">
        <v>89</v>
      </c>
      <c r="C489" s="167">
        <v>176</v>
      </c>
      <c r="D489" s="167" t="s">
        <v>15</v>
      </c>
      <c r="E489" s="167">
        <v>6100404</v>
      </c>
      <c r="F489" s="167">
        <v>243</v>
      </c>
      <c r="G489" s="74">
        <f>SUM(H489:K489)</f>
        <v>1.65</v>
      </c>
      <c r="H489" s="74"/>
      <c r="I489" s="74"/>
      <c r="J489" s="74"/>
      <c r="K489" s="74">
        <v>1.65</v>
      </c>
      <c r="L489" s="132">
        <v>0</v>
      </c>
      <c r="M489" s="132"/>
      <c r="N489" s="132"/>
      <c r="O489" s="132"/>
      <c r="P489" s="132"/>
      <c r="Q489" s="132">
        <v>0</v>
      </c>
      <c r="R489" s="132"/>
      <c r="S489" s="132"/>
      <c r="T489" s="132"/>
      <c r="U489" s="132"/>
      <c r="V489" s="132"/>
      <c r="W489" s="132"/>
      <c r="X489" s="167"/>
      <c r="Y489" s="453" t="s">
        <v>264</v>
      </c>
    </row>
    <row r="490" spans="1:71" s="55" customFormat="1" ht="24.6" hidden="1" customHeight="1">
      <c r="A490" s="172"/>
      <c r="B490" s="167" t="s">
        <v>284</v>
      </c>
      <c r="C490" s="167"/>
      <c r="D490" s="167"/>
      <c r="E490" s="167"/>
      <c r="F490" s="167"/>
      <c r="G490" s="74">
        <f>SUM(H490:K490)</f>
        <v>23381.899999999998</v>
      </c>
      <c r="H490" s="74">
        <v>0</v>
      </c>
      <c r="I490" s="74">
        <v>4477.5</v>
      </c>
      <c r="J490" s="74">
        <f>19889.1-984.7</f>
        <v>18904.399999999998</v>
      </c>
      <c r="K490" s="74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67"/>
      <c r="Y490" s="453"/>
      <c r="AT490" s="150"/>
      <c r="AU490" s="150"/>
      <c r="AV490" s="150"/>
      <c r="AW490" s="150"/>
      <c r="AX490" s="150"/>
      <c r="AY490" s="150"/>
      <c r="AZ490" s="150"/>
      <c r="BA490" s="150"/>
      <c r="BB490" s="150"/>
      <c r="BC490" s="150"/>
      <c r="BD490" s="150"/>
      <c r="BE490" s="150"/>
      <c r="BF490" s="150"/>
      <c r="BG490" s="150"/>
      <c r="BH490" s="150"/>
      <c r="BI490" s="150"/>
      <c r="BJ490" s="150"/>
      <c r="BK490" s="150"/>
      <c r="BL490" s="150"/>
      <c r="BM490" s="150"/>
      <c r="BN490" s="150"/>
      <c r="BO490" s="150"/>
      <c r="BP490" s="150"/>
      <c r="BQ490" s="150"/>
      <c r="BR490" s="150"/>
      <c r="BS490" s="150"/>
    </row>
    <row r="491" spans="1:71" s="55" customFormat="1" ht="24.6" hidden="1" customHeight="1">
      <c r="A491" s="176" t="s">
        <v>112</v>
      </c>
      <c r="B491" s="167" t="s">
        <v>89</v>
      </c>
      <c r="C491" s="167">
        <v>176</v>
      </c>
      <c r="D491" s="167" t="s">
        <v>15</v>
      </c>
      <c r="E491" s="167">
        <v>6100404</v>
      </c>
      <c r="F491" s="167">
        <v>243</v>
      </c>
      <c r="G491" s="74">
        <v>0</v>
      </c>
      <c r="H491" s="74">
        <v>0</v>
      </c>
      <c r="I491" s="74">
        <v>0</v>
      </c>
      <c r="J491" s="74">
        <v>0</v>
      </c>
      <c r="K491" s="74">
        <v>0</v>
      </c>
      <c r="L491" s="132">
        <v>0</v>
      </c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67"/>
      <c r="Y491" s="338" t="s">
        <v>31</v>
      </c>
      <c r="AT491" s="150"/>
      <c r="AU491" s="150"/>
      <c r="AV491" s="150"/>
      <c r="AW491" s="150"/>
      <c r="AX491" s="150"/>
      <c r="AY491" s="150"/>
      <c r="AZ491" s="150"/>
      <c r="BA491" s="150"/>
      <c r="BB491" s="150"/>
      <c r="BC491" s="150"/>
      <c r="BD491" s="150"/>
      <c r="BE491" s="150"/>
      <c r="BF491" s="150"/>
      <c r="BG491" s="150"/>
      <c r="BH491" s="150"/>
      <c r="BI491" s="150"/>
      <c r="BJ491" s="150"/>
      <c r="BK491" s="150"/>
      <c r="BL491" s="150"/>
      <c r="BM491" s="150"/>
      <c r="BN491" s="150"/>
      <c r="BO491" s="150"/>
      <c r="BP491" s="150"/>
      <c r="BQ491" s="150"/>
      <c r="BR491" s="150"/>
      <c r="BS491" s="150"/>
    </row>
    <row r="492" spans="1:71" ht="24.6" hidden="1" customHeight="1">
      <c r="A492" s="176"/>
      <c r="B492" s="167" t="s">
        <v>284</v>
      </c>
      <c r="C492" s="167"/>
      <c r="D492" s="167"/>
      <c r="E492" s="167"/>
      <c r="F492" s="167"/>
      <c r="G492" s="74"/>
      <c r="H492" s="74"/>
      <c r="I492" s="74"/>
      <c r="J492" s="74"/>
      <c r="K492" s="74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67"/>
      <c r="Y492" s="338"/>
    </row>
    <row r="493" spans="1:71" ht="31.9" hidden="1" customHeight="1">
      <c r="A493" s="488" t="s">
        <v>99</v>
      </c>
      <c r="B493" s="82" t="s">
        <v>89</v>
      </c>
      <c r="C493" s="82"/>
      <c r="D493" s="82"/>
      <c r="E493" s="82"/>
      <c r="F493" s="82"/>
      <c r="G493" s="80">
        <f>G495</f>
        <v>0</v>
      </c>
      <c r="H493" s="80">
        <f t="shared" ref="H493:Q494" si="242">H495</f>
        <v>0</v>
      </c>
      <c r="I493" s="80">
        <f t="shared" si="242"/>
        <v>0</v>
      </c>
      <c r="J493" s="80">
        <f t="shared" si="242"/>
        <v>0</v>
      </c>
      <c r="K493" s="80">
        <f t="shared" si="242"/>
        <v>0</v>
      </c>
      <c r="L493" s="131">
        <f t="shared" si="242"/>
        <v>0</v>
      </c>
      <c r="M493" s="131"/>
      <c r="N493" s="131"/>
      <c r="O493" s="131"/>
      <c r="P493" s="131"/>
      <c r="Q493" s="131">
        <f t="shared" si="242"/>
        <v>0</v>
      </c>
      <c r="R493" s="131"/>
      <c r="S493" s="131"/>
      <c r="T493" s="131"/>
      <c r="U493" s="131"/>
      <c r="V493" s="131">
        <f>V497</f>
        <v>0</v>
      </c>
      <c r="W493" s="131">
        <f t="shared" ref="W493:X493" si="243">W497</f>
        <v>0</v>
      </c>
      <c r="X493" s="131">
        <f t="shared" si="243"/>
        <v>0</v>
      </c>
      <c r="Y493" s="82"/>
    </row>
    <row r="494" spans="1:71" ht="26.45" hidden="1" customHeight="1">
      <c r="A494" s="488"/>
      <c r="B494" s="82" t="s">
        <v>284</v>
      </c>
      <c r="C494" s="82"/>
      <c r="D494" s="82"/>
      <c r="E494" s="82"/>
      <c r="F494" s="82"/>
      <c r="G494" s="80">
        <f>G496</f>
        <v>0</v>
      </c>
      <c r="H494" s="80">
        <f t="shared" si="242"/>
        <v>0</v>
      </c>
      <c r="I494" s="80">
        <f t="shared" si="242"/>
        <v>0</v>
      </c>
      <c r="J494" s="80">
        <f t="shared" si="242"/>
        <v>0</v>
      </c>
      <c r="K494" s="80">
        <f t="shared" si="242"/>
        <v>0</v>
      </c>
      <c r="L494" s="131">
        <f t="shared" si="242"/>
        <v>0</v>
      </c>
      <c r="M494" s="131"/>
      <c r="N494" s="131"/>
      <c r="O494" s="131"/>
      <c r="P494" s="131"/>
      <c r="Q494" s="131">
        <f t="shared" si="242"/>
        <v>0</v>
      </c>
      <c r="R494" s="131"/>
      <c r="S494" s="131"/>
      <c r="T494" s="131"/>
      <c r="U494" s="131"/>
      <c r="V494" s="131">
        <f>V498</f>
        <v>0</v>
      </c>
      <c r="W494" s="131">
        <f t="shared" ref="W494:X494" si="244">W498</f>
        <v>0</v>
      </c>
      <c r="X494" s="131">
        <f t="shared" si="244"/>
        <v>0</v>
      </c>
      <c r="Y494" s="82"/>
    </row>
    <row r="495" spans="1:71" ht="28.15" hidden="1" customHeight="1">
      <c r="A495" s="455" t="s">
        <v>288</v>
      </c>
      <c r="B495" s="167" t="s">
        <v>89</v>
      </c>
      <c r="C495" s="167">
        <v>176</v>
      </c>
      <c r="D495" s="167" t="s">
        <v>15</v>
      </c>
      <c r="E495" s="167">
        <v>6100404</v>
      </c>
      <c r="F495" s="167">
        <v>243</v>
      </c>
      <c r="G495" s="74">
        <v>0</v>
      </c>
      <c r="H495" s="74">
        <v>0</v>
      </c>
      <c r="I495" s="74">
        <v>0</v>
      </c>
      <c r="J495" s="74">
        <v>0</v>
      </c>
      <c r="K495" s="74">
        <v>0</v>
      </c>
      <c r="L495" s="132">
        <v>0</v>
      </c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67"/>
      <c r="Y495" s="453" t="s">
        <v>35</v>
      </c>
    </row>
    <row r="496" spans="1:71" s="55" customFormat="1" ht="28.15" hidden="1" customHeight="1">
      <c r="A496" s="455"/>
      <c r="B496" s="167" t="s">
        <v>284</v>
      </c>
      <c r="C496" s="167"/>
      <c r="D496" s="167"/>
      <c r="E496" s="167"/>
      <c r="F496" s="167"/>
      <c r="G496" s="74"/>
      <c r="H496" s="74"/>
      <c r="I496" s="74"/>
      <c r="J496" s="74"/>
      <c r="K496" s="74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>
        <f>18324.4-18324.4</f>
        <v>0</v>
      </c>
      <c r="W496" s="132"/>
      <c r="X496" s="167"/>
      <c r="Y496" s="453"/>
      <c r="AT496" s="150"/>
      <c r="AU496" s="150"/>
      <c r="AV496" s="150"/>
      <c r="AW496" s="150"/>
      <c r="AX496" s="150"/>
      <c r="AY496" s="150"/>
      <c r="AZ496" s="150"/>
      <c r="BA496" s="150"/>
      <c r="BB496" s="150"/>
      <c r="BC496" s="150"/>
      <c r="BD496" s="150"/>
      <c r="BE496" s="150"/>
      <c r="BF496" s="150"/>
      <c r="BG496" s="150"/>
      <c r="BH496" s="150"/>
      <c r="BI496" s="150"/>
      <c r="BJ496" s="150"/>
      <c r="BK496" s="150"/>
      <c r="BL496" s="150"/>
      <c r="BM496" s="150"/>
      <c r="BN496" s="150"/>
      <c r="BO496" s="150"/>
      <c r="BP496" s="150"/>
      <c r="BQ496" s="150"/>
      <c r="BR496" s="150"/>
      <c r="BS496" s="150"/>
    </row>
    <row r="497" spans="1:71" s="55" customFormat="1" ht="28.15" hidden="1" customHeight="1">
      <c r="A497" s="455" t="s">
        <v>403</v>
      </c>
      <c r="B497" s="167" t="s">
        <v>89</v>
      </c>
      <c r="C497" s="167">
        <v>176</v>
      </c>
      <c r="D497" s="167" t="s">
        <v>15</v>
      </c>
      <c r="E497" s="167">
        <v>6100404</v>
      </c>
      <c r="F497" s="167">
        <v>243</v>
      </c>
      <c r="G497" s="74">
        <v>0</v>
      </c>
      <c r="H497" s="74">
        <v>0</v>
      </c>
      <c r="I497" s="74">
        <v>0</v>
      </c>
      <c r="J497" s="74">
        <v>0</v>
      </c>
      <c r="K497" s="74">
        <v>0</v>
      </c>
      <c r="L497" s="132"/>
      <c r="M497" s="132"/>
      <c r="N497" s="132"/>
      <c r="O497" s="132"/>
      <c r="P497" s="132"/>
      <c r="Q497" s="132">
        <v>0</v>
      </c>
      <c r="R497" s="132"/>
      <c r="S497" s="132"/>
      <c r="T497" s="132"/>
      <c r="U497" s="132"/>
      <c r="V497" s="132"/>
      <c r="W497" s="132"/>
      <c r="X497" s="167"/>
      <c r="Y497" s="453" t="s">
        <v>471</v>
      </c>
      <c r="AT497" s="150"/>
      <c r="AU497" s="150"/>
      <c r="AV497" s="150"/>
      <c r="AW497" s="150"/>
      <c r="AX497" s="150"/>
      <c r="AY497" s="150"/>
      <c r="AZ497" s="150"/>
      <c r="BA497" s="150"/>
      <c r="BB497" s="150"/>
      <c r="BC497" s="150"/>
      <c r="BD497" s="150"/>
      <c r="BE497" s="150"/>
      <c r="BF497" s="150"/>
      <c r="BG497" s="150"/>
      <c r="BH497" s="150"/>
      <c r="BI497" s="150"/>
      <c r="BJ497" s="150"/>
      <c r="BK497" s="150"/>
      <c r="BL497" s="150"/>
      <c r="BM497" s="150"/>
      <c r="BN497" s="150"/>
      <c r="BO497" s="150"/>
      <c r="BP497" s="150"/>
      <c r="BQ497" s="150"/>
      <c r="BR497" s="150"/>
      <c r="BS497" s="150"/>
    </row>
    <row r="498" spans="1:71" ht="24" hidden="1" customHeight="1">
      <c r="A498" s="455"/>
      <c r="B498" s="167" t="s">
        <v>284</v>
      </c>
      <c r="C498" s="167"/>
      <c r="D498" s="167"/>
      <c r="E498" s="167"/>
      <c r="F498" s="167"/>
      <c r="G498" s="74"/>
      <c r="H498" s="74"/>
      <c r="I498" s="74"/>
      <c r="J498" s="74"/>
      <c r="K498" s="74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67"/>
      <c r="Y498" s="453"/>
    </row>
    <row r="499" spans="1:71" ht="24.95" customHeight="1">
      <c r="A499" s="461" t="s">
        <v>118</v>
      </c>
      <c r="B499" s="82" t="s">
        <v>89</v>
      </c>
      <c r="C499" s="82"/>
      <c r="D499" s="82"/>
      <c r="E499" s="82"/>
      <c r="F499" s="82"/>
      <c r="G499" s="80">
        <f>G501+G503+G505</f>
        <v>0</v>
      </c>
      <c r="H499" s="80">
        <f t="shared" ref="H499:W500" si="245">H501+H503+H505</f>
        <v>0</v>
      </c>
      <c r="I499" s="80">
        <f t="shared" si="245"/>
        <v>0</v>
      </c>
      <c r="J499" s="80">
        <f t="shared" si="245"/>
        <v>0</v>
      </c>
      <c r="K499" s="80">
        <f t="shared" si="245"/>
        <v>0</v>
      </c>
      <c r="L499" s="131">
        <f t="shared" si="245"/>
        <v>0</v>
      </c>
      <c r="M499" s="131"/>
      <c r="N499" s="131"/>
      <c r="O499" s="131"/>
      <c r="P499" s="131"/>
      <c r="Q499" s="131">
        <f t="shared" si="245"/>
        <v>1</v>
      </c>
      <c r="R499" s="131"/>
      <c r="S499" s="131"/>
      <c r="T499" s="131">
        <f>T505</f>
        <v>1</v>
      </c>
      <c r="U499" s="131"/>
      <c r="V499" s="131">
        <f t="shared" si="245"/>
        <v>4.16</v>
      </c>
      <c r="W499" s="131">
        <f t="shared" si="245"/>
        <v>0</v>
      </c>
      <c r="X499" s="167"/>
      <c r="Y499" s="82"/>
    </row>
    <row r="500" spans="1:71" ht="37.5" customHeight="1">
      <c r="A500" s="461"/>
      <c r="B500" s="82" t="s">
        <v>284</v>
      </c>
      <c r="C500" s="82"/>
      <c r="D500" s="82"/>
      <c r="E500" s="82"/>
      <c r="F500" s="82"/>
      <c r="G500" s="80">
        <f>G502+G504+G506</f>
        <v>19579.5</v>
      </c>
      <c r="H500" s="80">
        <f t="shared" si="245"/>
        <v>19579.5</v>
      </c>
      <c r="I500" s="80">
        <f t="shared" si="245"/>
        <v>0</v>
      </c>
      <c r="J500" s="80">
        <f t="shared" si="245"/>
        <v>0</v>
      </c>
      <c r="K500" s="80">
        <f t="shared" si="245"/>
        <v>0</v>
      </c>
      <c r="L500" s="131">
        <f t="shared" si="245"/>
        <v>3956.3</v>
      </c>
      <c r="M500" s="131">
        <f t="shared" si="245"/>
        <v>3956.3</v>
      </c>
      <c r="N500" s="131"/>
      <c r="O500" s="131"/>
      <c r="P500" s="131"/>
      <c r="Q500" s="131">
        <f t="shared" si="245"/>
        <v>54200</v>
      </c>
      <c r="R500" s="131">
        <f t="shared" si="245"/>
        <v>0</v>
      </c>
      <c r="S500" s="131">
        <f t="shared" si="245"/>
        <v>0</v>
      </c>
      <c r="T500" s="131">
        <f t="shared" si="245"/>
        <v>54200</v>
      </c>
      <c r="U500" s="131">
        <f t="shared" si="245"/>
        <v>0</v>
      </c>
      <c r="V500" s="131">
        <f t="shared" si="245"/>
        <v>85491</v>
      </c>
      <c r="W500" s="131">
        <f t="shared" si="245"/>
        <v>0</v>
      </c>
      <c r="X500" s="167"/>
      <c r="Y500" s="82"/>
    </row>
    <row r="501" spans="1:71" ht="24.95" customHeight="1">
      <c r="A501" s="455" t="s">
        <v>403</v>
      </c>
      <c r="B501" s="167" t="s">
        <v>89</v>
      </c>
      <c r="C501" s="167">
        <v>176</v>
      </c>
      <c r="D501" s="167" t="s">
        <v>15</v>
      </c>
      <c r="E501" s="167">
        <v>6100404</v>
      </c>
      <c r="F501" s="167">
        <v>243</v>
      </c>
      <c r="G501" s="74"/>
      <c r="H501" s="74"/>
      <c r="I501" s="74"/>
      <c r="J501" s="74">
        <v>0</v>
      </c>
      <c r="K501" s="74"/>
      <c r="L501" s="132">
        <v>0</v>
      </c>
      <c r="M501" s="132"/>
      <c r="N501" s="132"/>
      <c r="O501" s="132"/>
      <c r="P501" s="132"/>
      <c r="Q501" s="132">
        <v>0</v>
      </c>
      <c r="R501" s="132"/>
      <c r="S501" s="132"/>
      <c r="T501" s="132"/>
      <c r="U501" s="132"/>
      <c r="V501" s="132">
        <v>4.16</v>
      </c>
      <c r="W501" s="132"/>
      <c r="X501" s="167"/>
      <c r="Y501" s="453" t="s">
        <v>548</v>
      </c>
    </row>
    <row r="502" spans="1:71" ht="25.5" customHeight="1">
      <c r="A502" s="455"/>
      <c r="B502" s="167" t="s">
        <v>284</v>
      </c>
      <c r="C502" s="167"/>
      <c r="D502" s="167"/>
      <c r="E502" s="167"/>
      <c r="F502" s="167"/>
      <c r="G502" s="74">
        <f>SUM(H502:K502)</f>
        <v>19579.5</v>
      </c>
      <c r="H502" s="74">
        <v>19579.5</v>
      </c>
      <c r="I502" s="74"/>
      <c r="J502" s="74"/>
      <c r="K502" s="74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>
        <v>85491</v>
      </c>
      <c r="W502" s="132"/>
      <c r="X502" s="167"/>
      <c r="Y502" s="453"/>
    </row>
    <row r="503" spans="1:71" ht="20.25" hidden="1" customHeight="1">
      <c r="A503" s="486" t="s">
        <v>112</v>
      </c>
      <c r="B503" s="167" t="s">
        <v>89</v>
      </c>
      <c r="C503" s="167">
        <v>176</v>
      </c>
      <c r="D503" s="167" t="s">
        <v>15</v>
      </c>
      <c r="E503" s="167">
        <v>6100404</v>
      </c>
      <c r="F503" s="167">
        <v>243</v>
      </c>
      <c r="G503" s="74"/>
      <c r="H503" s="74">
        <v>0</v>
      </c>
      <c r="I503" s="74">
        <v>0</v>
      </c>
      <c r="J503" s="74"/>
      <c r="K503" s="74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67"/>
      <c r="Y503" s="453" t="s">
        <v>343</v>
      </c>
    </row>
    <row r="504" spans="1:71" s="55" customFormat="1" ht="22.9" hidden="1" customHeight="1">
      <c r="A504" s="486"/>
      <c r="B504" s="167" t="s">
        <v>284</v>
      </c>
      <c r="C504" s="167"/>
      <c r="D504" s="167"/>
      <c r="E504" s="167"/>
      <c r="F504" s="167"/>
      <c r="G504" s="74"/>
      <c r="H504" s="74"/>
      <c r="I504" s="74"/>
      <c r="J504" s="74"/>
      <c r="K504" s="74"/>
      <c r="L504" s="132">
        <f>4017.4-61.1</f>
        <v>3956.3</v>
      </c>
      <c r="M504" s="132">
        <v>3956.3</v>
      </c>
      <c r="N504" s="132"/>
      <c r="O504" s="132"/>
      <c r="P504" s="132"/>
      <c r="Q504" s="132">
        <f>T504</f>
        <v>0</v>
      </c>
      <c r="R504" s="132"/>
      <c r="S504" s="132"/>
      <c r="T504" s="132"/>
      <c r="U504" s="132"/>
      <c r="V504" s="132"/>
      <c r="W504" s="132"/>
      <c r="X504" s="167"/>
      <c r="Y504" s="453"/>
      <c r="AT504" s="150"/>
      <c r="AU504" s="150"/>
      <c r="AV504" s="150"/>
      <c r="AW504" s="150"/>
      <c r="AX504" s="150"/>
      <c r="AY504" s="150"/>
      <c r="AZ504" s="150"/>
      <c r="BA504" s="150"/>
      <c r="BB504" s="150"/>
      <c r="BC504" s="150"/>
      <c r="BD504" s="150"/>
      <c r="BE504" s="150"/>
      <c r="BF504" s="150"/>
      <c r="BG504" s="150"/>
      <c r="BH504" s="150"/>
      <c r="BI504" s="150"/>
      <c r="BJ504" s="150"/>
      <c r="BK504" s="150"/>
      <c r="BL504" s="150"/>
      <c r="BM504" s="150"/>
      <c r="BN504" s="150"/>
      <c r="BO504" s="150"/>
      <c r="BP504" s="150"/>
      <c r="BQ504" s="150"/>
      <c r="BR504" s="150"/>
      <c r="BS504" s="150"/>
    </row>
    <row r="505" spans="1:71" s="55" customFormat="1" ht="23.45" customHeight="1">
      <c r="A505" s="451" t="s">
        <v>370</v>
      </c>
      <c r="B505" s="167" t="s">
        <v>89</v>
      </c>
      <c r="C505" s="167">
        <v>176</v>
      </c>
      <c r="D505" s="167" t="s">
        <v>15</v>
      </c>
      <c r="E505" s="167">
        <v>6100404</v>
      </c>
      <c r="F505" s="167">
        <v>243</v>
      </c>
      <c r="G505" s="74">
        <v>0</v>
      </c>
      <c r="H505" s="74">
        <v>0</v>
      </c>
      <c r="I505" s="74">
        <v>0</v>
      </c>
      <c r="J505" s="74">
        <v>0</v>
      </c>
      <c r="K505" s="74">
        <v>0</v>
      </c>
      <c r="L505" s="132"/>
      <c r="M505" s="132"/>
      <c r="N505" s="132"/>
      <c r="O505" s="132"/>
      <c r="P505" s="132"/>
      <c r="Q505" s="132">
        <f>T505</f>
        <v>1</v>
      </c>
      <c r="R505" s="132"/>
      <c r="S505" s="132"/>
      <c r="T505" s="132">
        <v>1</v>
      </c>
      <c r="U505" s="132"/>
      <c r="V505" s="132"/>
      <c r="W505" s="132"/>
      <c r="X505" s="167"/>
      <c r="Y505" s="453" t="s">
        <v>372</v>
      </c>
      <c r="AT505" s="150"/>
      <c r="AU505" s="150"/>
      <c r="AV505" s="150"/>
      <c r="AW505" s="150"/>
      <c r="AX505" s="150"/>
      <c r="AY505" s="150"/>
      <c r="AZ505" s="150"/>
      <c r="BA505" s="150"/>
      <c r="BB505" s="150"/>
      <c r="BC505" s="150"/>
      <c r="BD505" s="150"/>
      <c r="BE505" s="150"/>
      <c r="BF505" s="150"/>
      <c r="BG505" s="150"/>
      <c r="BH505" s="150"/>
      <c r="BI505" s="150"/>
      <c r="BJ505" s="150"/>
      <c r="BK505" s="150"/>
      <c r="BL505" s="150"/>
      <c r="BM505" s="150"/>
      <c r="BN505" s="150"/>
      <c r="BO505" s="150"/>
      <c r="BP505" s="150"/>
      <c r="BQ505" s="150"/>
      <c r="BR505" s="150"/>
      <c r="BS505" s="150"/>
    </row>
    <row r="506" spans="1:71" ht="23.45" customHeight="1">
      <c r="A506" s="452"/>
      <c r="B506" s="167" t="s">
        <v>284</v>
      </c>
      <c r="C506" s="167"/>
      <c r="D506" s="167"/>
      <c r="E506" s="167"/>
      <c r="F506" s="167"/>
      <c r="G506" s="74"/>
      <c r="H506" s="74"/>
      <c r="I506" s="74"/>
      <c r="J506" s="74"/>
      <c r="K506" s="74"/>
      <c r="L506" s="132"/>
      <c r="M506" s="132"/>
      <c r="N506" s="132"/>
      <c r="O506" s="132"/>
      <c r="P506" s="132"/>
      <c r="Q506" s="132">
        <f>T506</f>
        <v>54200</v>
      </c>
      <c r="R506" s="132"/>
      <c r="S506" s="132"/>
      <c r="T506" s="132">
        <v>54200</v>
      </c>
      <c r="U506" s="132"/>
      <c r="V506" s="132"/>
      <c r="W506" s="132"/>
      <c r="X506" s="167"/>
      <c r="Y506" s="453"/>
    </row>
    <row r="507" spans="1:71" ht="24.95" customHeight="1">
      <c r="A507" s="461" t="s">
        <v>100</v>
      </c>
      <c r="B507" s="82" t="s">
        <v>89</v>
      </c>
      <c r="C507" s="82"/>
      <c r="D507" s="82"/>
      <c r="E507" s="82"/>
      <c r="F507" s="82"/>
      <c r="G507" s="80">
        <f t="shared" ref="G507:L508" si="246">G509+G513</f>
        <v>0</v>
      </c>
      <c r="H507" s="80">
        <f t="shared" si="246"/>
        <v>0</v>
      </c>
      <c r="I507" s="80">
        <f t="shared" si="246"/>
        <v>0</v>
      </c>
      <c r="J507" s="80">
        <f t="shared" si="246"/>
        <v>0</v>
      </c>
      <c r="K507" s="80">
        <f t="shared" si="246"/>
        <v>0</v>
      </c>
      <c r="L507" s="131">
        <f t="shared" si="246"/>
        <v>0</v>
      </c>
      <c r="M507" s="131"/>
      <c r="N507" s="131"/>
      <c r="O507" s="131"/>
      <c r="P507" s="131"/>
      <c r="Q507" s="131">
        <f>Q509+Q515</f>
        <v>0.8</v>
      </c>
      <c r="R507" s="131">
        <f t="shared" ref="R507:U507" si="247">R509+R515</f>
        <v>0</v>
      </c>
      <c r="S507" s="131">
        <f t="shared" si="247"/>
        <v>0</v>
      </c>
      <c r="T507" s="131">
        <f t="shared" si="247"/>
        <v>0</v>
      </c>
      <c r="U507" s="131">
        <f t="shared" si="247"/>
        <v>0.8</v>
      </c>
      <c r="V507" s="131">
        <f t="shared" ref="V507:W507" si="248">V509+V511+V513</f>
        <v>0</v>
      </c>
      <c r="W507" s="131">
        <f t="shared" si="248"/>
        <v>0</v>
      </c>
      <c r="X507" s="167"/>
      <c r="Y507" s="82"/>
    </row>
    <row r="508" spans="1:71" ht="24.95" customHeight="1">
      <c r="A508" s="461"/>
      <c r="B508" s="82" t="s">
        <v>284</v>
      </c>
      <c r="C508" s="82"/>
      <c r="D508" s="82"/>
      <c r="E508" s="82"/>
      <c r="F508" s="82"/>
      <c r="G508" s="80">
        <f t="shared" si="246"/>
        <v>0</v>
      </c>
      <c r="H508" s="80">
        <f t="shared" si="246"/>
        <v>0</v>
      </c>
      <c r="I508" s="80">
        <f t="shared" si="246"/>
        <v>0</v>
      </c>
      <c r="J508" s="80">
        <f t="shared" si="246"/>
        <v>0</v>
      </c>
      <c r="K508" s="80">
        <f t="shared" si="246"/>
        <v>0</v>
      </c>
      <c r="L508" s="131">
        <f t="shared" si="246"/>
        <v>0</v>
      </c>
      <c r="M508" s="131"/>
      <c r="N508" s="131"/>
      <c r="O508" s="131"/>
      <c r="P508" s="131"/>
      <c r="Q508" s="131">
        <f>Q510+Q514+Q516</f>
        <v>100677</v>
      </c>
      <c r="R508" s="131">
        <f t="shared" ref="R508:U508" si="249">R510+R514+R516</f>
        <v>39000</v>
      </c>
      <c r="S508" s="131">
        <f t="shared" si="249"/>
        <v>16000</v>
      </c>
      <c r="T508" s="131">
        <f t="shared" si="249"/>
        <v>44177</v>
      </c>
      <c r="U508" s="131">
        <f t="shared" si="249"/>
        <v>1500</v>
      </c>
      <c r="V508" s="131">
        <f>V512</f>
        <v>14000</v>
      </c>
      <c r="W508" s="131">
        <f>W510+W514</f>
        <v>0</v>
      </c>
      <c r="X508" s="167"/>
      <c r="Y508" s="82"/>
      <c r="AF508" s="54">
        <v>121.8</v>
      </c>
    </row>
    <row r="509" spans="1:71" ht="24" hidden="1" customHeight="1">
      <c r="A509" s="455" t="s">
        <v>119</v>
      </c>
      <c r="B509" s="167" t="s">
        <v>89</v>
      </c>
      <c r="C509" s="167">
        <v>176</v>
      </c>
      <c r="D509" s="167" t="s">
        <v>15</v>
      </c>
      <c r="E509" s="167">
        <v>6100404</v>
      </c>
      <c r="F509" s="167">
        <v>243</v>
      </c>
      <c r="G509" s="74">
        <v>0</v>
      </c>
      <c r="H509" s="74">
        <v>0</v>
      </c>
      <c r="I509" s="74">
        <v>0</v>
      </c>
      <c r="J509" s="74">
        <v>0</v>
      </c>
      <c r="K509" s="74">
        <v>0</v>
      </c>
      <c r="L509" s="132">
        <v>0</v>
      </c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67"/>
      <c r="Y509" s="453" t="s">
        <v>371</v>
      </c>
    </row>
    <row r="510" spans="1:71" ht="24.6" hidden="1" customHeight="1">
      <c r="A510" s="455"/>
      <c r="B510" s="167" t="s">
        <v>284</v>
      </c>
      <c r="C510" s="167"/>
      <c r="D510" s="167"/>
      <c r="E510" s="167"/>
      <c r="F510" s="167"/>
      <c r="G510" s="74"/>
      <c r="H510" s="74"/>
      <c r="I510" s="74"/>
      <c r="J510" s="74"/>
      <c r="K510" s="74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>
        <f>15882.9-15882.9</f>
        <v>0</v>
      </c>
      <c r="W510" s="132"/>
      <c r="X510" s="167"/>
      <c r="Y510" s="453"/>
    </row>
    <row r="511" spans="1:71" ht="24.6" customHeight="1">
      <c r="A511" s="451" t="s">
        <v>378</v>
      </c>
      <c r="B511" s="167" t="s">
        <v>89</v>
      </c>
      <c r="C511" s="167"/>
      <c r="D511" s="167"/>
      <c r="E511" s="167"/>
      <c r="F511" s="167"/>
      <c r="G511" s="74"/>
      <c r="H511" s="74"/>
      <c r="I511" s="74"/>
      <c r="J511" s="74"/>
      <c r="K511" s="74"/>
      <c r="L511" s="132"/>
      <c r="M511" s="132"/>
      <c r="N511" s="132"/>
      <c r="O511" s="132"/>
      <c r="P511" s="132"/>
      <c r="Q511" s="132">
        <f>U511</f>
        <v>0</v>
      </c>
      <c r="R511" s="132"/>
      <c r="S511" s="132"/>
      <c r="T511" s="132"/>
      <c r="U511" s="132"/>
      <c r="V511" s="132"/>
      <c r="W511" s="132"/>
      <c r="X511" s="167"/>
      <c r="Y511" s="453" t="s">
        <v>378</v>
      </c>
    </row>
    <row r="512" spans="1:71" ht="24.6" customHeight="1">
      <c r="A512" s="452"/>
      <c r="B512" s="167" t="s">
        <v>284</v>
      </c>
      <c r="C512" s="167"/>
      <c r="D512" s="167"/>
      <c r="E512" s="167"/>
      <c r="F512" s="167"/>
      <c r="G512" s="74"/>
      <c r="H512" s="74"/>
      <c r="I512" s="74"/>
      <c r="J512" s="74"/>
      <c r="K512" s="74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>
        <v>14000</v>
      </c>
      <c r="W512" s="132"/>
      <c r="X512" s="167"/>
      <c r="Y512" s="453"/>
    </row>
    <row r="513" spans="1:71" ht="24.6" customHeight="1">
      <c r="A513" s="455" t="s">
        <v>196</v>
      </c>
      <c r="B513" s="167" t="s">
        <v>89</v>
      </c>
      <c r="C513" s="167">
        <v>176</v>
      </c>
      <c r="D513" s="167" t="s">
        <v>15</v>
      </c>
      <c r="E513" s="167">
        <v>6100404</v>
      </c>
      <c r="F513" s="167">
        <v>243</v>
      </c>
      <c r="G513" s="74">
        <v>0</v>
      </c>
      <c r="H513" s="74">
        <v>0</v>
      </c>
      <c r="I513" s="74">
        <v>0</v>
      </c>
      <c r="J513" s="74">
        <v>0</v>
      </c>
      <c r="K513" s="74">
        <v>0</v>
      </c>
      <c r="L513" s="132">
        <v>0</v>
      </c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336"/>
      <c r="Y513" s="453" t="s">
        <v>591</v>
      </c>
    </row>
    <row r="514" spans="1:71" s="55" customFormat="1" ht="24" customHeight="1">
      <c r="A514" s="455"/>
      <c r="B514" s="167" t="s">
        <v>284</v>
      </c>
      <c r="C514" s="167"/>
      <c r="D514" s="167"/>
      <c r="E514" s="167"/>
      <c r="F514" s="167"/>
      <c r="G514" s="74"/>
      <c r="H514" s="74"/>
      <c r="I514" s="74"/>
      <c r="J514" s="74"/>
      <c r="K514" s="74"/>
      <c r="L514" s="132"/>
      <c r="M514" s="132"/>
      <c r="N514" s="132"/>
      <c r="O514" s="132"/>
      <c r="P514" s="132"/>
      <c r="Q514" s="132">
        <f>R514+S514+T514</f>
        <v>63577</v>
      </c>
      <c r="R514" s="132">
        <v>39000</v>
      </c>
      <c r="S514" s="132">
        <v>16000</v>
      </c>
      <c r="T514" s="132">
        <f>10715.5-59-2079.5</f>
        <v>8577</v>
      </c>
      <c r="U514" s="132"/>
      <c r="V514" s="132"/>
      <c r="W514" s="132"/>
      <c r="X514" s="336"/>
      <c r="Y514" s="453"/>
      <c r="AT514" s="150"/>
      <c r="AU514" s="150"/>
      <c r="AV514" s="150"/>
      <c r="AW514" s="150"/>
      <c r="AX514" s="150"/>
      <c r="AY514" s="150"/>
      <c r="AZ514" s="150"/>
      <c r="BA514" s="150"/>
      <c r="BB514" s="150"/>
      <c r="BC514" s="150"/>
      <c r="BD514" s="150"/>
      <c r="BE514" s="150"/>
      <c r="BF514" s="150"/>
      <c r="BG514" s="150"/>
      <c r="BH514" s="150"/>
      <c r="BI514" s="150"/>
      <c r="BJ514" s="150"/>
      <c r="BK514" s="150"/>
      <c r="BL514" s="150"/>
      <c r="BM514" s="150"/>
      <c r="BN514" s="150"/>
      <c r="BO514" s="150"/>
      <c r="BP514" s="150"/>
      <c r="BQ514" s="150"/>
      <c r="BR514" s="150"/>
      <c r="BS514" s="150"/>
    </row>
    <row r="515" spans="1:71" s="55" customFormat="1" ht="24.6" customHeight="1">
      <c r="A515" s="451" t="s">
        <v>531</v>
      </c>
      <c r="B515" s="167" t="s">
        <v>89</v>
      </c>
      <c r="C515" s="167">
        <v>176</v>
      </c>
      <c r="D515" s="167" t="s">
        <v>15</v>
      </c>
      <c r="E515" s="167">
        <v>6100404</v>
      </c>
      <c r="F515" s="167">
        <v>243</v>
      </c>
      <c r="G515" s="74">
        <f>SUM(H515:K515)</f>
        <v>0</v>
      </c>
      <c r="H515" s="74">
        <v>0</v>
      </c>
      <c r="I515" s="74">
        <v>0</v>
      </c>
      <c r="J515" s="74">
        <v>0</v>
      </c>
      <c r="K515" s="74">
        <v>0</v>
      </c>
      <c r="L515" s="132">
        <v>0</v>
      </c>
      <c r="M515" s="132"/>
      <c r="N515" s="132"/>
      <c r="O515" s="132"/>
      <c r="P515" s="132"/>
      <c r="Q515" s="132">
        <f>R515+S515+T515+U515</f>
        <v>0.8</v>
      </c>
      <c r="R515" s="132"/>
      <c r="S515" s="132"/>
      <c r="T515" s="132"/>
      <c r="U515" s="132">
        <v>0.8</v>
      </c>
      <c r="V515" s="132"/>
      <c r="W515" s="132"/>
      <c r="X515" s="167"/>
      <c r="Y515" s="453" t="s">
        <v>266</v>
      </c>
      <c r="AT515" s="150"/>
      <c r="AU515" s="150"/>
      <c r="AV515" s="150"/>
      <c r="AW515" s="150"/>
      <c r="AX515" s="150"/>
      <c r="AY515" s="150"/>
      <c r="AZ515" s="150"/>
      <c r="BA515" s="150"/>
      <c r="BB515" s="150"/>
      <c r="BC515" s="150"/>
      <c r="BD515" s="150"/>
      <c r="BE515" s="150"/>
      <c r="BF515" s="150"/>
      <c r="BG515" s="150"/>
      <c r="BH515" s="150"/>
      <c r="BI515" s="150"/>
      <c r="BJ515" s="150"/>
      <c r="BK515" s="150"/>
      <c r="BL515" s="150"/>
      <c r="BM515" s="150"/>
      <c r="BN515" s="150"/>
      <c r="BO515" s="150"/>
      <c r="BP515" s="150"/>
      <c r="BQ515" s="150"/>
      <c r="BR515" s="150"/>
      <c r="BS515" s="150"/>
    </row>
    <row r="516" spans="1:71" s="55" customFormat="1" ht="24.6" customHeight="1">
      <c r="A516" s="452"/>
      <c r="B516" s="167" t="s">
        <v>284</v>
      </c>
      <c r="C516" s="167"/>
      <c r="D516" s="167"/>
      <c r="E516" s="167"/>
      <c r="F516" s="167"/>
      <c r="G516" s="74"/>
      <c r="H516" s="74"/>
      <c r="I516" s="74"/>
      <c r="J516" s="74"/>
      <c r="K516" s="74"/>
      <c r="L516" s="132"/>
      <c r="M516" s="132"/>
      <c r="N516" s="132"/>
      <c r="O516" s="132"/>
      <c r="P516" s="132"/>
      <c r="Q516" s="132">
        <f>R516+S516+T516+U516</f>
        <v>37100</v>
      </c>
      <c r="R516" s="132"/>
      <c r="S516" s="132"/>
      <c r="T516" s="132">
        <f>40000-4400</f>
        <v>35600</v>
      </c>
      <c r="U516" s="132">
        <v>1500</v>
      </c>
      <c r="V516" s="132"/>
      <c r="W516" s="132"/>
      <c r="X516" s="167"/>
      <c r="Y516" s="453"/>
      <c r="AT516" s="150"/>
      <c r="AU516" s="150"/>
      <c r="AV516" s="150"/>
      <c r="AW516" s="150"/>
      <c r="AX516" s="150"/>
      <c r="AY516" s="150"/>
      <c r="AZ516" s="150"/>
      <c r="BA516" s="150"/>
      <c r="BB516" s="150"/>
      <c r="BC516" s="150"/>
      <c r="BD516" s="150"/>
      <c r="BE516" s="150"/>
      <c r="BF516" s="150"/>
      <c r="BG516" s="150"/>
      <c r="BH516" s="150"/>
      <c r="BI516" s="150"/>
      <c r="BJ516" s="150"/>
      <c r="BK516" s="150"/>
      <c r="BL516" s="150"/>
      <c r="BM516" s="150"/>
      <c r="BN516" s="150"/>
      <c r="BO516" s="150"/>
      <c r="BP516" s="150"/>
      <c r="BQ516" s="150"/>
      <c r="BR516" s="150"/>
      <c r="BS516" s="150"/>
    </row>
    <row r="517" spans="1:71" s="55" customFormat="1" ht="22.15" customHeight="1">
      <c r="A517" s="487" t="s">
        <v>121</v>
      </c>
      <c r="B517" s="82" t="s">
        <v>89</v>
      </c>
      <c r="C517" s="82"/>
      <c r="D517" s="82"/>
      <c r="E517" s="82"/>
      <c r="F517" s="82"/>
      <c r="G517" s="80">
        <f>G521+G529</f>
        <v>2.5</v>
      </c>
      <c r="H517" s="80">
        <f t="shared" ref="H517:V517" si="250">H521+H529</f>
        <v>0</v>
      </c>
      <c r="I517" s="80">
        <f t="shared" si="250"/>
        <v>0</v>
      </c>
      <c r="J517" s="80">
        <f t="shared" si="250"/>
        <v>0</v>
      </c>
      <c r="K517" s="80">
        <f t="shared" si="250"/>
        <v>2.5</v>
      </c>
      <c r="L517" s="131">
        <f t="shared" si="250"/>
        <v>0</v>
      </c>
      <c r="M517" s="131"/>
      <c r="N517" s="131"/>
      <c r="O517" s="131"/>
      <c r="P517" s="131"/>
      <c r="Q517" s="131">
        <f>Q521+Q529+Q527</f>
        <v>0.5</v>
      </c>
      <c r="R517" s="131">
        <f t="shared" ref="R517:T517" si="251">R521+R529+R527</f>
        <v>0</v>
      </c>
      <c r="S517" s="131">
        <f t="shared" si="251"/>
        <v>0</v>
      </c>
      <c r="T517" s="131">
        <f t="shared" si="251"/>
        <v>0.5</v>
      </c>
      <c r="U517" s="131"/>
      <c r="V517" s="131">
        <f t="shared" si="250"/>
        <v>0</v>
      </c>
      <c r="W517" s="131"/>
      <c r="X517" s="167"/>
      <c r="Y517" s="82"/>
      <c r="AT517" s="150"/>
      <c r="AU517" s="150"/>
      <c r="AV517" s="150"/>
      <c r="AW517" s="150"/>
      <c r="AX517" s="150"/>
      <c r="AY517" s="150"/>
      <c r="AZ517" s="150"/>
      <c r="BA517" s="150"/>
      <c r="BB517" s="150"/>
      <c r="BC517" s="150"/>
      <c r="BD517" s="150"/>
      <c r="BE517" s="150"/>
      <c r="BF517" s="150"/>
      <c r="BG517" s="150"/>
      <c r="BH517" s="150"/>
      <c r="BI517" s="150"/>
      <c r="BJ517" s="150"/>
      <c r="BK517" s="150"/>
      <c r="BL517" s="150"/>
      <c r="BM517" s="150"/>
      <c r="BN517" s="150"/>
      <c r="BO517" s="150"/>
      <c r="BP517" s="150"/>
      <c r="BQ517" s="150"/>
      <c r="BR517" s="150"/>
      <c r="BS517" s="150"/>
    </row>
    <row r="518" spans="1:71" ht="24.6" customHeight="1">
      <c r="A518" s="487"/>
      <c r="B518" s="82" t="s">
        <v>284</v>
      </c>
      <c r="C518" s="82"/>
      <c r="D518" s="82"/>
      <c r="E518" s="82"/>
      <c r="F518" s="82"/>
      <c r="G518" s="80">
        <f>G519+G520</f>
        <v>72197.8</v>
      </c>
      <c r="H518" s="80">
        <f t="shared" ref="H518:V518" si="252">H519+H520</f>
        <v>0</v>
      </c>
      <c r="I518" s="80">
        <f t="shared" si="252"/>
        <v>6000</v>
      </c>
      <c r="J518" s="80">
        <f t="shared" si="252"/>
        <v>64438.600000000006</v>
      </c>
      <c r="K518" s="80">
        <f t="shared" si="252"/>
        <v>1759.2</v>
      </c>
      <c r="L518" s="131">
        <f t="shared" si="252"/>
        <v>0</v>
      </c>
      <c r="M518" s="131"/>
      <c r="N518" s="131"/>
      <c r="O518" s="131"/>
      <c r="P518" s="131"/>
      <c r="Q518" s="131">
        <f t="shared" si="252"/>
        <v>13466.6</v>
      </c>
      <c r="R518" s="131">
        <f t="shared" si="252"/>
        <v>0</v>
      </c>
      <c r="S518" s="131">
        <f t="shared" si="252"/>
        <v>0</v>
      </c>
      <c r="T518" s="131">
        <f t="shared" si="252"/>
        <v>13466.6</v>
      </c>
      <c r="U518" s="131"/>
      <c r="V518" s="131">
        <f t="shared" si="252"/>
        <v>0</v>
      </c>
      <c r="W518" s="131"/>
      <c r="X518" s="167"/>
      <c r="Y518" s="82"/>
    </row>
    <row r="519" spans="1:71" ht="24.6" customHeight="1">
      <c r="A519" s="487"/>
      <c r="B519" s="82" t="s">
        <v>285</v>
      </c>
      <c r="C519" s="82"/>
      <c r="D519" s="82"/>
      <c r="E519" s="82"/>
      <c r="F519" s="82"/>
      <c r="G519" s="80">
        <f>G523+G530</f>
        <v>41884</v>
      </c>
      <c r="H519" s="80">
        <f t="shared" ref="H519:V519" si="253">H523+H530</f>
        <v>0</v>
      </c>
      <c r="I519" s="80">
        <f t="shared" si="253"/>
        <v>0</v>
      </c>
      <c r="J519" s="80">
        <f t="shared" si="253"/>
        <v>40124.800000000003</v>
      </c>
      <c r="K519" s="80">
        <f t="shared" si="253"/>
        <v>1759.2</v>
      </c>
      <c r="L519" s="131">
        <f t="shared" si="253"/>
        <v>0</v>
      </c>
      <c r="M519" s="131"/>
      <c r="N519" s="131"/>
      <c r="O519" s="131"/>
      <c r="P519" s="131"/>
      <c r="Q519" s="131">
        <f>Q523+Q530+Q528</f>
        <v>13466.6</v>
      </c>
      <c r="R519" s="131">
        <f t="shared" ref="R519:T519" si="254">R523+R530+R528</f>
        <v>0</v>
      </c>
      <c r="S519" s="131">
        <f t="shared" si="254"/>
        <v>0</v>
      </c>
      <c r="T519" s="131">
        <f t="shared" si="254"/>
        <v>13466.6</v>
      </c>
      <c r="U519" s="131"/>
      <c r="V519" s="131">
        <f t="shared" si="253"/>
        <v>0</v>
      </c>
      <c r="W519" s="131"/>
      <c r="X519" s="167"/>
      <c r="Y519" s="82"/>
    </row>
    <row r="520" spans="1:71" ht="24" customHeight="1">
      <c r="A520" s="487"/>
      <c r="B520" s="82" t="s">
        <v>286</v>
      </c>
      <c r="C520" s="82"/>
      <c r="D520" s="82"/>
      <c r="E520" s="82"/>
      <c r="F520" s="82"/>
      <c r="G520" s="80">
        <f>G524</f>
        <v>30313.8</v>
      </c>
      <c r="H520" s="80">
        <f t="shared" ref="H520:V520" si="255">H524</f>
        <v>0</v>
      </c>
      <c r="I520" s="80">
        <f t="shared" si="255"/>
        <v>6000</v>
      </c>
      <c r="J520" s="80">
        <f t="shared" si="255"/>
        <v>24313.8</v>
      </c>
      <c r="K520" s="80">
        <f t="shared" si="255"/>
        <v>0</v>
      </c>
      <c r="L520" s="131">
        <f t="shared" si="255"/>
        <v>0</v>
      </c>
      <c r="M520" s="131"/>
      <c r="N520" s="131"/>
      <c r="O520" s="131"/>
      <c r="P520" s="131"/>
      <c r="Q520" s="131">
        <f t="shared" si="255"/>
        <v>0</v>
      </c>
      <c r="R520" s="131"/>
      <c r="S520" s="131"/>
      <c r="T520" s="131"/>
      <c r="U520" s="131"/>
      <c r="V520" s="131">
        <f t="shared" si="255"/>
        <v>0</v>
      </c>
      <c r="W520" s="131"/>
      <c r="X520" s="167"/>
      <c r="Y520" s="82"/>
    </row>
    <row r="521" spans="1:71" ht="24.6" hidden="1" customHeight="1">
      <c r="A521" s="455" t="s">
        <v>120</v>
      </c>
      <c r="B521" s="167" t="s">
        <v>89</v>
      </c>
      <c r="C521" s="167">
        <v>176</v>
      </c>
      <c r="D521" s="167" t="s">
        <v>15</v>
      </c>
      <c r="E521" s="167">
        <v>6100404</v>
      </c>
      <c r="F521" s="167">
        <v>243</v>
      </c>
      <c r="G521" s="74">
        <f>SUM(H521:K521)</f>
        <v>2.5</v>
      </c>
      <c r="H521" s="74"/>
      <c r="I521" s="74"/>
      <c r="J521" s="74"/>
      <c r="K521" s="74">
        <v>2.5</v>
      </c>
      <c r="L521" s="132">
        <v>0</v>
      </c>
      <c r="M521" s="132"/>
      <c r="N521" s="132"/>
      <c r="O521" s="132"/>
      <c r="P521" s="132"/>
      <c r="Q521" s="132">
        <v>0</v>
      </c>
      <c r="R521" s="132"/>
      <c r="S521" s="132"/>
      <c r="T521" s="132"/>
      <c r="U521" s="132"/>
      <c r="V521" s="132"/>
      <c r="W521" s="132"/>
      <c r="X521" s="167"/>
      <c r="Y521" s="453" t="s">
        <v>36</v>
      </c>
    </row>
    <row r="522" spans="1:71" ht="24.6" hidden="1" customHeight="1">
      <c r="A522" s="455"/>
      <c r="B522" s="167" t="s">
        <v>272</v>
      </c>
      <c r="C522" s="167"/>
      <c r="D522" s="167"/>
      <c r="E522" s="167"/>
      <c r="F522" s="167"/>
      <c r="G522" s="74">
        <f>G523+G524</f>
        <v>72197.8</v>
      </c>
      <c r="H522" s="74">
        <f t="shared" ref="H522:V522" si="256">H523+H524</f>
        <v>0</v>
      </c>
      <c r="I522" s="74">
        <f t="shared" si="256"/>
        <v>6000</v>
      </c>
      <c r="J522" s="74">
        <f t="shared" si="256"/>
        <v>64438.600000000006</v>
      </c>
      <c r="K522" s="74">
        <f t="shared" si="256"/>
        <v>1759.2</v>
      </c>
      <c r="L522" s="132">
        <f t="shared" si="256"/>
        <v>0</v>
      </c>
      <c r="M522" s="132"/>
      <c r="N522" s="132"/>
      <c r="O522" s="132"/>
      <c r="P522" s="132"/>
      <c r="Q522" s="132">
        <f t="shared" si="256"/>
        <v>0</v>
      </c>
      <c r="R522" s="132"/>
      <c r="S522" s="132"/>
      <c r="T522" s="132"/>
      <c r="U522" s="132"/>
      <c r="V522" s="132">
        <f t="shared" si="256"/>
        <v>0</v>
      </c>
      <c r="W522" s="132"/>
      <c r="X522" s="167"/>
      <c r="Y522" s="453"/>
    </row>
    <row r="523" spans="1:71" ht="24.6" hidden="1" customHeight="1">
      <c r="A523" s="455"/>
      <c r="B523" s="167" t="s">
        <v>285</v>
      </c>
      <c r="C523" s="167"/>
      <c r="D523" s="167"/>
      <c r="E523" s="167"/>
      <c r="F523" s="167"/>
      <c r="G523" s="74">
        <f>SUM(H523:K523)</f>
        <v>41884</v>
      </c>
      <c r="H523" s="74"/>
      <c r="I523" s="74"/>
      <c r="J523" s="74">
        <v>40124.800000000003</v>
      </c>
      <c r="K523" s="74">
        <f>3584.5-1825.3</f>
        <v>1759.2</v>
      </c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67"/>
      <c r="Y523" s="453"/>
    </row>
    <row r="524" spans="1:71" ht="24" hidden="1" customHeight="1">
      <c r="A524" s="455"/>
      <c r="B524" s="167" t="s">
        <v>286</v>
      </c>
      <c r="C524" s="167"/>
      <c r="D524" s="167"/>
      <c r="E524" s="167"/>
      <c r="F524" s="167"/>
      <c r="G524" s="74">
        <f>SUM(H524:K524)</f>
        <v>30313.8</v>
      </c>
      <c r="H524" s="74"/>
      <c r="I524" s="74">
        <v>6000</v>
      </c>
      <c r="J524" s="74">
        <v>24313.8</v>
      </c>
      <c r="K524" s="74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67"/>
      <c r="Y524" s="453"/>
    </row>
    <row r="525" spans="1:71" ht="24.6" hidden="1" customHeight="1">
      <c r="A525" s="481" t="s">
        <v>122</v>
      </c>
      <c r="B525" s="167" t="s">
        <v>89</v>
      </c>
      <c r="C525" s="167">
        <v>176</v>
      </c>
      <c r="D525" s="167" t="s">
        <v>15</v>
      </c>
      <c r="E525" s="167">
        <v>6100404</v>
      </c>
      <c r="F525" s="167">
        <v>243</v>
      </c>
      <c r="G525" s="74">
        <v>0</v>
      </c>
      <c r="H525" s="74">
        <v>0</v>
      </c>
      <c r="I525" s="74">
        <v>0</v>
      </c>
      <c r="J525" s="74">
        <v>0</v>
      </c>
      <c r="K525" s="74">
        <v>0</v>
      </c>
      <c r="L525" s="132">
        <v>0</v>
      </c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67"/>
      <c r="Y525" s="453" t="s">
        <v>37</v>
      </c>
    </row>
    <row r="526" spans="1:71" ht="24.6" hidden="1" customHeight="1">
      <c r="A526" s="481"/>
      <c r="B526" s="167" t="s">
        <v>284</v>
      </c>
      <c r="C526" s="167"/>
      <c r="D526" s="167"/>
      <c r="E526" s="167"/>
      <c r="F526" s="167"/>
      <c r="G526" s="74"/>
      <c r="H526" s="74"/>
      <c r="I526" s="74"/>
      <c r="J526" s="74"/>
      <c r="K526" s="74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67"/>
      <c r="Y526" s="453"/>
    </row>
    <row r="527" spans="1:71" ht="23.45" customHeight="1">
      <c r="A527" s="481" t="s">
        <v>395</v>
      </c>
      <c r="B527" s="167" t="s">
        <v>89</v>
      </c>
      <c r="C527" s="167">
        <v>176</v>
      </c>
      <c r="D527" s="167" t="s">
        <v>15</v>
      </c>
      <c r="E527" s="167">
        <v>6100404</v>
      </c>
      <c r="F527" s="167">
        <v>243</v>
      </c>
      <c r="G527" s="74">
        <v>0</v>
      </c>
      <c r="H527" s="74">
        <v>0</v>
      </c>
      <c r="I527" s="74">
        <v>0</v>
      </c>
      <c r="J527" s="74">
        <v>0</v>
      </c>
      <c r="K527" s="74">
        <v>0</v>
      </c>
      <c r="L527" s="132"/>
      <c r="M527" s="132"/>
      <c r="N527" s="132"/>
      <c r="O527" s="132"/>
      <c r="P527" s="132"/>
      <c r="Q527" s="132">
        <f>T527</f>
        <v>0.5</v>
      </c>
      <c r="R527" s="132"/>
      <c r="S527" s="132"/>
      <c r="T527" s="132">
        <v>0.5</v>
      </c>
      <c r="U527" s="132"/>
      <c r="V527" s="132"/>
      <c r="W527" s="132"/>
      <c r="X527" s="167"/>
      <c r="Y527" s="453" t="s">
        <v>331</v>
      </c>
    </row>
    <row r="528" spans="1:71" s="55" customFormat="1" ht="24.6" customHeight="1">
      <c r="A528" s="481"/>
      <c r="B528" s="167" t="s">
        <v>284</v>
      </c>
      <c r="C528" s="167"/>
      <c r="D528" s="167"/>
      <c r="E528" s="167"/>
      <c r="F528" s="167"/>
      <c r="G528" s="74"/>
      <c r="H528" s="74"/>
      <c r="I528" s="74"/>
      <c r="J528" s="74"/>
      <c r="K528" s="74"/>
      <c r="L528" s="132"/>
      <c r="M528" s="132"/>
      <c r="N528" s="132"/>
      <c r="O528" s="132"/>
      <c r="P528" s="132"/>
      <c r="Q528" s="132">
        <f>T528</f>
        <v>13466.6</v>
      </c>
      <c r="R528" s="132"/>
      <c r="S528" s="132"/>
      <c r="T528" s="132">
        <f>25000-10874.5-658.9</f>
        <v>13466.6</v>
      </c>
      <c r="U528" s="132"/>
      <c r="V528" s="132"/>
      <c r="W528" s="132"/>
      <c r="X528" s="167"/>
      <c r="Y528" s="453"/>
      <c r="AT528" s="150"/>
      <c r="AU528" s="150"/>
      <c r="AV528" s="150"/>
      <c r="AW528" s="150"/>
      <c r="AX528" s="150"/>
      <c r="AY528" s="150"/>
      <c r="AZ528" s="150"/>
      <c r="BA528" s="150"/>
      <c r="BB528" s="150"/>
      <c r="BC528" s="150"/>
      <c r="BD528" s="150"/>
      <c r="BE528" s="150"/>
      <c r="BF528" s="150"/>
      <c r="BG528" s="150"/>
      <c r="BH528" s="150"/>
      <c r="BI528" s="150"/>
      <c r="BJ528" s="150"/>
      <c r="BK528" s="150"/>
      <c r="BL528" s="150"/>
      <c r="BM528" s="150"/>
      <c r="BN528" s="150"/>
      <c r="BO528" s="150"/>
      <c r="BP528" s="150"/>
      <c r="BQ528" s="150"/>
      <c r="BR528" s="150"/>
      <c r="BS528" s="150"/>
    </row>
    <row r="529" spans="1:71" s="55" customFormat="1" ht="24.6" hidden="1" customHeight="1">
      <c r="A529" s="481" t="s">
        <v>112</v>
      </c>
      <c r="B529" s="167" t="s">
        <v>89</v>
      </c>
      <c r="C529" s="167">
        <v>176</v>
      </c>
      <c r="D529" s="167" t="s">
        <v>15</v>
      </c>
      <c r="E529" s="167">
        <v>6100404</v>
      </c>
      <c r="F529" s="167">
        <v>243</v>
      </c>
      <c r="G529" s="74">
        <v>0</v>
      </c>
      <c r="H529" s="74">
        <v>0</v>
      </c>
      <c r="I529" s="74">
        <v>0</v>
      </c>
      <c r="J529" s="74">
        <v>0</v>
      </c>
      <c r="K529" s="74">
        <v>0</v>
      </c>
      <c r="L529" s="132">
        <v>0</v>
      </c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67"/>
      <c r="Y529" s="453" t="s">
        <v>112</v>
      </c>
      <c r="AT529" s="150"/>
      <c r="AU529" s="150"/>
      <c r="AV529" s="150"/>
      <c r="AW529" s="150"/>
      <c r="AX529" s="150"/>
      <c r="AY529" s="150"/>
      <c r="AZ529" s="150"/>
      <c r="BA529" s="150"/>
      <c r="BB529" s="150"/>
      <c r="BC529" s="150"/>
      <c r="BD529" s="150"/>
      <c r="BE529" s="150"/>
      <c r="BF529" s="150"/>
      <c r="BG529" s="150"/>
      <c r="BH529" s="150"/>
      <c r="BI529" s="150"/>
      <c r="BJ529" s="150"/>
      <c r="BK529" s="150"/>
      <c r="BL529" s="150"/>
      <c r="BM529" s="150"/>
      <c r="BN529" s="150"/>
      <c r="BO529" s="150"/>
      <c r="BP529" s="150"/>
      <c r="BQ529" s="150"/>
      <c r="BR529" s="150"/>
      <c r="BS529" s="150"/>
    </row>
    <row r="530" spans="1:71" ht="24.6" hidden="1" customHeight="1">
      <c r="A530" s="481"/>
      <c r="B530" s="167" t="s">
        <v>284</v>
      </c>
      <c r="C530" s="167"/>
      <c r="D530" s="167"/>
      <c r="E530" s="167"/>
      <c r="F530" s="167"/>
      <c r="G530" s="74"/>
      <c r="H530" s="74"/>
      <c r="I530" s="74"/>
      <c r="J530" s="74"/>
      <c r="K530" s="74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67"/>
      <c r="Y530" s="453"/>
    </row>
    <row r="531" spans="1:71" ht="24.6" customHeight="1">
      <c r="A531" s="461" t="s">
        <v>126</v>
      </c>
      <c r="B531" s="82" t="s">
        <v>89</v>
      </c>
      <c r="C531" s="82"/>
      <c r="D531" s="82"/>
      <c r="E531" s="82"/>
      <c r="F531" s="82"/>
      <c r="G531" s="80">
        <f>G533+G539</f>
        <v>4.91</v>
      </c>
      <c r="H531" s="80">
        <f t="shared" ref="H531:L532" si="257">H533+H539</f>
        <v>0</v>
      </c>
      <c r="I531" s="80">
        <f t="shared" si="257"/>
        <v>0</v>
      </c>
      <c r="J531" s="80">
        <f t="shared" si="257"/>
        <v>0</v>
      </c>
      <c r="K531" s="80">
        <f t="shared" si="257"/>
        <v>4.91</v>
      </c>
      <c r="L531" s="131">
        <f t="shared" si="257"/>
        <v>0</v>
      </c>
      <c r="M531" s="131"/>
      <c r="N531" s="131"/>
      <c r="O531" s="131"/>
      <c r="P531" s="131"/>
      <c r="Q531" s="131">
        <f>Q533+Q535</f>
        <v>2.0699999999999998</v>
      </c>
      <c r="R531" s="131">
        <f t="shared" ref="R531:U531" si="258">R533+R535</f>
        <v>0</v>
      </c>
      <c r="S531" s="131">
        <f t="shared" si="258"/>
        <v>0</v>
      </c>
      <c r="T531" s="131">
        <f t="shared" si="258"/>
        <v>2.0699999999999998</v>
      </c>
      <c r="U531" s="131">
        <f t="shared" si="258"/>
        <v>0</v>
      </c>
      <c r="V531" s="131">
        <f t="shared" ref="V531:W531" si="259">V533+V535</f>
        <v>0</v>
      </c>
      <c r="W531" s="131">
        <f t="shared" si="259"/>
        <v>0</v>
      </c>
      <c r="X531" s="167"/>
      <c r="Y531" s="82"/>
    </row>
    <row r="532" spans="1:71" ht="24.6" customHeight="1">
      <c r="A532" s="461"/>
      <c r="B532" s="82" t="s">
        <v>284</v>
      </c>
      <c r="C532" s="82"/>
      <c r="D532" s="82"/>
      <c r="E532" s="82"/>
      <c r="F532" s="82"/>
      <c r="G532" s="80">
        <f>G534+G540</f>
        <v>24060.2</v>
      </c>
      <c r="H532" s="80">
        <f t="shared" si="257"/>
        <v>0</v>
      </c>
      <c r="I532" s="80">
        <f t="shared" si="257"/>
        <v>20037.2</v>
      </c>
      <c r="J532" s="80">
        <f t="shared" si="257"/>
        <v>4023</v>
      </c>
      <c r="K532" s="80">
        <f t="shared" si="257"/>
        <v>0</v>
      </c>
      <c r="L532" s="131">
        <f t="shared" si="257"/>
        <v>0</v>
      </c>
      <c r="M532" s="131"/>
      <c r="N532" s="131"/>
      <c r="O532" s="131"/>
      <c r="P532" s="131"/>
      <c r="Q532" s="131">
        <f>Q534+Q540+Q536</f>
        <v>88110.8</v>
      </c>
      <c r="R532" s="131">
        <f t="shared" ref="R532:U532" si="260">R534+R540+R536</f>
        <v>0</v>
      </c>
      <c r="S532" s="131">
        <f t="shared" si="260"/>
        <v>0</v>
      </c>
      <c r="T532" s="131">
        <f t="shared" si="260"/>
        <v>88110.8</v>
      </c>
      <c r="U532" s="131">
        <f t="shared" si="260"/>
        <v>0</v>
      </c>
      <c r="V532" s="131">
        <f t="shared" ref="V532:W532" si="261">V534+V540+V536</f>
        <v>0</v>
      </c>
      <c r="W532" s="131">
        <f t="shared" si="261"/>
        <v>0</v>
      </c>
      <c r="X532" s="167"/>
      <c r="Y532" s="82"/>
    </row>
    <row r="533" spans="1:71" ht="22.9" customHeight="1">
      <c r="A533" s="455" t="s">
        <v>112</v>
      </c>
      <c r="B533" s="167" t="s">
        <v>89</v>
      </c>
      <c r="C533" s="167">
        <v>176</v>
      </c>
      <c r="D533" s="167" t="s">
        <v>15</v>
      </c>
      <c r="E533" s="167">
        <v>6100404</v>
      </c>
      <c r="F533" s="167">
        <v>243</v>
      </c>
      <c r="G533" s="74">
        <v>0</v>
      </c>
      <c r="H533" s="74">
        <v>0</v>
      </c>
      <c r="I533" s="74">
        <v>0</v>
      </c>
      <c r="J533" s="74">
        <v>0</v>
      </c>
      <c r="K533" s="74">
        <v>0</v>
      </c>
      <c r="L533" s="132">
        <v>0</v>
      </c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67"/>
      <c r="Y533" s="453" t="s">
        <v>112</v>
      </c>
    </row>
    <row r="534" spans="1:71" ht="24.6" customHeight="1">
      <c r="A534" s="455"/>
      <c r="B534" s="167" t="s">
        <v>284</v>
      </c>
      <c r="C534" s="167"/>
      <c r="D534" s="167"/>
      <c r="E534" s="167"/>
      <c r="F534" s="167"/>
      <c r="G534" s="74"/>
      <c r="H534" s="74"/>
      <c r="I534" s="74"/>
      <c r="J534" s="74"/>
      <c r="K534" s="74"/>
      <c r="L534" s="132"/>
      <c r="M534" s="132"/>
      <c r="N534" s="132"/>
      <c r="O534" s="132"/>
      <c r="P534" s="132"/>
      <c r="Q534" s="132">
        <f>T534</f>
        <v>2917.6</v>
      </c>
      <c r="R534" s="132"/>
      <c r="S534" s="132"/>
      <c r="T534" s="132">
        <f>6815.7-3898.1</f>
        <v>2917.6</v>
      </c>
      <c r="U534" s="132"/>
      <c r="V534" s="132"/>
      <c r="W534" s="132"/>
      <c r="X534" s="167"/>
      <c r="Y534" s="453"/>
    </row>
    <row r="535" spans="1:71" ht="24.6" customHeight="1">
      <c r="A535" s="451" t="s">
        <v>581</v>
      </c>
      <c r="B535" s="167" t="s">
        <v>89</v>
      </c>
      <c r="C535" s="167">
        <v>176</v>
      </c>
      <c r="D535" s="167" t="s">
        <v>15</v>
      </c>
      <c r="E535" s="167">
        <v>6100404</v>
      </c>
      <c r="F535" s="167">
        <v>243</v>
      </c>
      <c r="G535" s="74">
        <v>0</v>
      </c>
      <c r="H535" s="74">
        <v>0</v>
      </c>
      <c r="I535" s="74">
        <v>0</v>
      </c>
      <c r="J535" s="74">
        <v>0</v>
      </c>
      <c r="K535" s="74">
        <v>0</v>
      </c>
      <c r="L535" s="132"/>
      <c r="M535" s="132"/>
      <c r="N535" s="132"/>
      <c r="O535" s="132"/>
      <c r="P535" s="132"/>
      <c r="Q535" s="132">
        <f>T535</f>
        <v>2.0699999999999998</v>
      </c>
      <c r="R535" s="132"/>
      <c r="S535" s="132"/>
      <c r="T535" s="132">
        <v>2.0699999999999998</v>
      </c>
      <c r="U535" s="132"/>
      <c r="V535" s="255"/>
      <c r="W535" s="161"/>
      <c r="X535" s="167"/>
      <c r="Y535" s="453" t="s">
        <v>532</v>
      </c>
    </row>
    <row r="536" spans="1:71" ht="23.45" customHeight="1">
      <c r="A536" s="452"/>
      <c r="B536" s="167" t="s">
        <v>284</v>
      </c>
      <c r="C536" s="167"/>
      <c r="D536" s="167"/>
      <c r="E536" s="167"/>
      <c r="F536" s="167"/>
      <c r="G536" s="74"/>
      <c r="H536" s="74"/>
      <c r="I536" s="74"/>
      <c r="J536" s="74"/>
      <c r="K536" s="74"/>
      <c r="L536" s="132"/>
      <c r="M536" s="132"/>
      <c r="N536" s="132"/>
      <c r="O536" s="132"/>
      <c r="P536" s="132"/>
      <c r="Q536" s="132">
        <f>T536</f>
        <v>85193.2</v>
      </c>
      <c r="R536" s="132"/>
      <c r="S536" s="132"/>
      <c r="T536" s="132">
        <f>88000-2806.8</f>
        <v>85193.2</v>
      </c>
      <c r="U536" s="132"/>
      <c r="V536" s="132"/>
      <c r="W536" s="132"/>
      <c r="X536" s="167"/>
      <c r="Y536" s="453"/>
    </row>
    <row r="537" spans="1:71" ht="24.6" hidden="1" customHeight="1">
      <c r="A537" s="172" t="s">
        <v>197</v>
      </c>
      <c r="B537" s="167" t="s">
        <v>89</v>
      </c>
      <c r="C537" s="167">
        <v>176</v>
      </c>
      <c r="D537" s="167" t="s">
        <v>15</v>
      </c>
      <c r="E537" s="167">
        <v>6100404</v>
      </c>
      <c r="F537" s="167">
        <v>243</v>
      </c>
      <c r="G537" s="74">
        <v>0</v>
      </c>
      <c r="H537" s="74">
        <v>0</v>
      </c>
      <c r="I537" s="74">
        <v>0</v>
      </c>
      <c r="J537" s="74">
        <v>0</v>
      </c>
      <c r="K537" s="74">
        <v>0</v>
      </c>
      <c r="L537" s="132">
        <v>0</v>
      </c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67"/>
      <c r="Y537" s="338" t="s">
        <v>35</v>
      </c>
    </row>
    <row r="538" spans="1:71" ht="24.6" hidden="1" customHeight="1">
      <c r="A538" s="172"/>
      <c r="B538" s="167" t="s">
        <v>284</v>
      </c>
      <c r="C538" s="167"/>
      <c r="D538" s="167"/>
      <c r="E538" s="167"/>
      <c r="F538" s="167"/>
      <c r="G538" s="74"/>
      <c r="H538" s="74"/>
      <c r="I538" s="74"/>
      <c r="J538" s="74"/>
      <c r="K538" s="74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67"/>
      <c r="Y538" s="338"/>
    </row>
    <row r="539" spans="1:71" ht="0.6" hidden="1" customHeight="1">
      <c r="A539" s="172" t="s">
        <v>203</v>
      </c>
      <c r="B539" s="167" t="s">
        <v>89</v>
      </c>
      <c r="C539" s="167">
        <v>176</v>
      </c>
      <c r="D539" s="167" t="s">
        <v>15</v>
      </c>
      <c r="E539" s="167">
        <v>6100404</v>
      </c>
      <c r="F539" s="167">
        <v>243</v>
      </c>
      <c r="G539" s="74">
        <f>SUM(H539:K539)</f>
        <v>4.91</v>
      </c>
      <c r="H539" s="74"/>
      <c r="I539" s="74"/>
      <c r="J539" s="74"/>
      <c r="K539" s="74">
        <v>4.91</v>
      </c>
      <c r="L539" s="132">
        <v>0</v>
      </c>
      <c r="M539" s="132"/>
      <c r="N539" s="132"/>
      <c r="O539" s="132"/>
      <c r="P539" s="132"/>
      <c r="Q539" s="132">
        <v>0</v>
      </c>
      <c r="R539" s="132"/>
      <c r="S539" s="132"/>
      <c r="T539" s="132"/>
      <c r="U539" s="132"/>
      <c r="V539" s="132"/>
      <c r="W539" s="132"/>
      <c r="X539" s="167"/>
      <c r="Y539" s="453" t="s">
        <v>265</v>
      </c>
    </row>
    <row r="540" spans="1:71" s="55" customFormat="1" ht="24.6" hidden="1" customHeight="1">
      <c r="A540" s="172"/>
      <c r="B540" s="167" t="s">
        <v>284</v>
      </c>
      <c r="C540" s="167"/>
      <c r="D540" s="167"/>
      <c r="E540" s="167"/>
      <c r="F540" s="167"/>
      <c r="G540" s="74">
        <f>SUM(H540:K540)</f>
        <v>24060.2</v>
      </c>
      <c r="H540" s="74"/>
      <c r="I540" s="74">
        <v>20037.2</v>
      </c>
      <c r="J540" s="74">
        <f>24060.2-I540</f>
        <v>4023</v>
      </c>
      <c r="K540" s="74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67"/>
      <c r="Y540" s="453"/>
      <c r="AT540" s="150"/>
      <c r="AU540" s="150"/>
      <c r="AV540" s="150"/>
      <c r="AW540" s="150"/>
      <c r="AX540" s="150"/>
      <c r="AY540" s="150"/>
      <c r="AZ540" s="150"/>
      <c r="BA540" s="150"/>
      <c r="BB540" s="150"/>
      <c r="BC540" s="150"/>
      <c r="BD540" s="150"/>
      <c r="BE540" s="150"/>
      <c r="BF540" s="150"/>
      <c r="BG540" s="150"/>
      <c r="BH540" s="150"/>
      <c r="BI540" s="150"/>
      <c r="BJ540" s="150"/>
      <c r="BK540" s="150"/>
      <c r="BL540" s="150"/>
      <c r="BM540" s="150"/>
      <c r="BN540" s="150"/>
      <c r="BO540" s="150"/>
      <c r="BP540" s="150"/>
      <c r="BQ540" s="150"/>
      <c r="BR540" s="150"/>
      <c r="BS540" s="150"/>
    </row>
    <row r="541" spans="1:71" s="55" customFormat="1" ht="24.6" hidden="1" customHeight="1">
      <c r="A541" s="172" t="s">
        <v>198</v>
      </c>
      <c r="B541" s="167" t="s">
        <v>89</v>
      </c>
      <c r="C541" s="167">
        <v>176</v>
      </c>
      <c r="D541" s="167" t="s">
        <v>15</v>
      </c>
      <c r="E541" s="167">
        <v>6100404</v>
      </c>
      <c r="F541" s="167">
        <v>243</v>
      </c>
      <c r="G541" s="74"/>
      <c r="H541" s="74"/>
      <c r="I541" s="74">
        <v>0</v>
      </c>
      <c r="J541" s="74">
        <v>0</v>
      </c>
      <c r="K541" s="74">
        <v>0</v>
      </c>
      <c r="L541" s="132">
        <v>0</v>
      </c>
      <c r="M541" s="132"/>
      <c r="N541" s="132"/>
      <c r="O541" s="132"/>
      <c r="P541" s="132"/>
      <c r="Q541" s="132">
        <v>0</v>
      </c>
      <c r="R541" s="132"/>
      <c r="S541" s="132"/>
      <c r="T541" s="132"/>
      <c r="U541" s="132"/>
      <c r="V541" s="132"/>
      <c r="W541" s="132"/>
      <c r="X541" s="167"/>
      <c r="Y541" s="338" t="s">
        <v>31</v>
      </c>
      <c r="AT541" s="150"/>
      <c r="AU541" s="150"/>
      <c r="AV541" s="150"/>
      <c r="AW541" s="150"/>
      <c r="AX541" s="150"/>
      <c r="AY541" s="150"/>
      <c r="AZ541" s="150"/>
      <c r="BA541" s="150"/>
      <c r="BB541" s="150"/>
      <c r="BC541" s="150"/>
      <c r="BD541" s="150"/>
      <c r="BE541" s="150"/>
      <c r="BF541" s="150"/>
      <c r="BG541" s="150"/>
      <c r="BH541" s="150"/>
      <c r="BI541" s="150"/>
      <c r="BJ541" s="150"/>
      <c r="BK541" s="150"/>
      <c r="BL541" s="150"/>
      <c r="BM541" s="150"/>
      <c r="BN541" s="150"/>
      <c r="BO541" s="150"/>
      <c r="BP541" s="150"/>
      <c r="BQ541" s="150"/>
      <c r="BR541" s="150"/>
      <c r="BS541" s="150"/>
    </row>
    <row r="542" spans="1:71" ht="24.6" hidden="1" customHeight="1">
      <c r="A542" s="172"/>
      <c r="B542" s="167" t="s">
        <v>284</v>
      </c>
      <c r="C542" s="167"/>
      <c r="D542" s="167"/>
      <c r="E542" s="167"/>
      <c r="F542" s="167"/>
      <c r="G542" s="74"/>
      <c r="H542" s="74"/>
      <c r="I542" s="74"/>
      <c r="J542" s="74"/>
      <c r="K542" s="74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67"/>
      <c r="Y542" s="338"/>
      <c r="AF542" s="54">
        <v>34.700000000000003</v>
      </c>
    </row>
    <row r="543" spans="1:71" ht="24.95" customHeight="1">
      <c r="A543" s="461" t="s">
        <v>124</v>
      </c>
      <c r="B543" s="82" t="s">
        <v>89</v>
      </c>
      <c r="C543" s="82"/>
      <c r="D543" s="82"/>
      <c r="E543" s="82"/>
      <c r="F543" s="82"/>
      <c r="G543" s="80">
        <f t="shared" ref="G543:L544" si="262">G545+G547+G551+G555</f>
        <v>0</v>
      </c>
      <c r="H543" s="80">
        <f t="shared" si="262"/>
        <v>0</v>
      </c>
      <c r="I543" s="80">
        <f t="shared" si="262"/>
        <v>0</v>
      </c>
      <c r="J543" s="80">
        <f t="shared" si="262"/>
        <v>0</v>
      </c>
      <c r="K543" s="80">
        <f t="shared" si="262"/>
        <v>0</v>
      </c>
      <c r="L543" s="131">
        <f t="shared" si="262"/>
        <v>0</v>
      </c>
      <c r="M543" s="131"/>
      <c r="N543" s="131"/>
      <c r="O543" s="131"/>
      <c r="P543" s="131"/>
      <c r="Q543" s="190">
        <f>Q545+Q553+Q555</f>
        <v>4.8000000000000001E-2</v>
      </c>
      <c r="R543" s="190">
        <f t="shared" ref="R543:T543" si="263">R545+R553+R555</f>
        <v>0</v>
      </c>
      <c r="S543" s="190">
        <f t="shared" si="263"/>
        <v>0</v>
      </c>
      <c r="T543" s="190">
        <f t="shared" si="263"/>
        <v>0</v>
      </c>
      <c r="U543" s="190"/>
      <c r="V543" s="190">
        <f t="shared" ref="V543:W543" si="264">V545+V547+V551+V553+V555</f>
        <v>3.2</v>
      </c>
      <c r="W543" s="190">
        <f t="shared" si="264"/>
        <v>1</v>
      </c>
      <c r="X543" s="167"/>
      <c r="Y543" s="82"/>
    </row>
    <row r="544" spans="1:71" ht="41.25" customHeight="1">
      <c r="A544" s="461"/>
      <c r="B544" s="82" t="s">
        <v>284</v>
      </c>
      <c r="C544" s="82"/>
      <c r="D544" s="82"/>
      <c r="E544" s="82"/>
      <c r="F544" s="82"/>
      <c r="G544" s="80">
        <f t="shared" si="262"/>
        <v>0</v>
      </c>
      <c r="H544" s="80">
        <f t="shared" si="262"/>
        <v>0</v>
      </c>
      <c r="I544" s="80">
        <f t="shared" si="262"/>
        <v>0</v>
      </c>
      <c r="J544" s="80">
        <f t="shared" si="262"/>
        <v>0</v>
      </c>
      <c r="K544" s="80">
        <f t="shared" si="262"/>
        <v>0</v>
      </c>
      <c r="L544" s="131">
        <f t="shared" si="262"/>
        <v>0</v>
      </c>
      <c r="M544" s="131"/>
      <c r="N544" s="131"/>
      <c r="O544" s="131"/>
      <c r="P544" s="131"/>
      <c r="Q544" s="131">
        <f>Q546+Q548+Q552+Q554+Q556</f>
        <v>119741.8</v>
      </c>
      <c r="R544" s="131">
        <f t="shared" ref="R544:U544" si="265">R546+R548+R552+R554+R556</f>
        <v>6965</v>
      </c>
      <c r="S544" s="131">
        <f t="shared" si="265"/>
        <v>9950</v>
      </c>
      <c r="T544" s="131">
        <f t="shared" si="265"/>
        <v>81195.899999999994</v>
      </c>
      <c r="U544" s="131">
        <f t="shared" si="265"/>
        <v>21630.9</v>
      </c>
      <c r="V544" s="131">
        <f t="shared" ref="V544:W544" si="266">V546+V548+V552+V554+V556</f>
        <v>33955.5</v>
      </c>
      <c r="W544" s="131">
        <f t="shared" si="266"/>
        <v>40159.800000000003</v>
      </c>
      <c r="X544" s="167"/>
      <c r="Y544" s="82"/>
      <c r="AF544" s="54">
        <v>37</v>
      </c>
    </row>
    <row r="545" spans="1:71" ht="23.45" hidden="1" customHeight="1">
      <c r="A545" s="455" t="s">
        <v>123</v>
      </c>
      <c r="B545" s="167" t="s">
        <v>89</v>
      </c>
      <c r="C545" s="167">
        <v>176</v>
      </c>
      <c r="D545" s="167" t="s">
        <v>15</v>
      </c>
      <c r="E545" s="167">
        <v>6100404</v>
      </c>
      <c r="F545" s="167">
        <v>243</v>
      </c>
      <c r="G545" s="74"/>
      <c r="H545" s="74">
        <v>0</v>
      </c>
      <c r="I545" s="74">
        <v>0</v>
      </c>
      <c r="J545" s="74"/>
      <c r="K545" s="74"/>
      <c r="L545" s="132">
        <v>0</v>
      </c>
      <c r="M545" s="132"/>
      <c r="N545" s="132"/>
      <c r="O545" s="132"/>
      <c r="P545" s="132"/>
      <c r="Q545" s="132">
        <v>4.8000000000000001E-2</v>
      </c>
      <c r="R545" s="132"/>
      <c r="S545" s="132"/>
      <c r="T545" s="132"/>
      <c r="U545" s="132">
        <v>4.8000000000000001E-2</v>
      </c>
      <c r="V545" s="132"/>
      <c r="W545" s="132"/>
      <c r="X545" s="167"/>
      <c r="Y545" s="453" t="s">
        <v>482</v>
      </c>
    </row>
    <row r="546" spans="1:71" ht="24.6" hidden="1" customHeight="1">
      <c r="A546" s="455"/>
      <c r="B546" s="167" t="s">
        <v>284</v>
      </c>
      <c r="C546" s="167"/>
      <c r="D546" s="167"/>
      <c r="E546" s="167"/>
      <c r="F546" s="167"/>
      <c r="G546" s="74"/>
      <c r="H546" s="74"/>
      <c r="I546" s="74"/>
      <c r="J546" s="74"/>
      <c r="K546" s="74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67"/>
      <c r="Y546" s="453"/>
    </row>
    <row r="547" spans="1:71" ht="24.6" customHeight="1">
      <c r="A547" s="455" t="s">
        <v>191</v>
      </c>
      <c r="B547" s="167" t="s">
        <v>89</v>
      </c>
      <c r="C547" s="167">
        <v>176</v>
      </c>
      <c r="D547" s="167" t="s">
        <v>15</v>
      </c>
      <c r="E547" s="167">
        <v>6100404</v>
      </c>
      <c r="F547" s="167">
        <v>243</v>
      </c>
      <c r="G547" s="74"/>
      <c r="H547" s="74">
        <v>0</v>
      </c>
      <c r="I547" s="74">
        <v>0</v>
      </c>
      <c r="J547" s="74"/>
      <c r="K547" s="74"/>
      <c r="L547" s="132">
        <v>0</v>
      </c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67"/>
      <c r="Y547" s="453" t="s">
        <v>592</v>
      </c>
    </row>
    <row r="548" spans="1:71" ht="24" customHeight="1">
      <c r="A548" s="455"/>
      <c r="B548" s="167" t="s">
        <v>284</v>
      </c>
      <c r="C548" s="167"/>
      <c r="D548" s="167"/>
      <c r="E548" s="167"/>
      <c r="F548" s="167"/>
      <c r="G548" s="74"/>
      <c r="H548" s="74"/>
      <c r="I548" s="74"/>
      <c r="J548" s="74"/>
      <c r="K548" s="74"/>
      <c r="L548" s="132"/>
      <c r="M548" s="132"/>
      <c r="N548" s="132"/>
      <c r="O548" s="132"/>
      <c r="P548" s="132"/>
      <c r="Q548" s="132">
        <f>R548+S548+T548</f>
        <v>24343.7</v>
      </c>
      <c r="R548" s="132">
        <v>6965</v>
      </c>
      <c r="S548" s="132">
        <v>9950</v>
      </c>
      <c r="T548" s="132">
        <f>6217.8+1234.8-23.9</f>
        <v>7428.7000000000007</v>
      </c>
      <c r="U548" s="132"/>
      <c r="V548" s="132"/>
      <c r="W548" s="132"/>
      <c r="X548" s="167"/>
      <c r="Y548" s="453"/>
    </row>
    <row r="549" spans="1:71" ht="0.6" customHeight="1">
      <c r="A549" s="172" t="s">
        <v>192</v>
      </c>
      <c r="B549" s="167" t="s">
        <v>89</v>
      </c>
      <c r="C549" s="167">
        <v>176</v>
      </c>
      <c r="D549" s="167" t="s">
        <v>15</v>
      </c>
      <c r="E549" s="167">
        <v>6100404</v>
      </c>
      <c r="F549" s="167">
        <v>243</v>
      </c>
      <c r="G549" s="74">
        <v>0</v>
      </c>
      <c r="H549" s="74">
        <v>0</v>
      </c>
      <c r="I549" s="74">
        <v>0</v>
      </c>
      <c r="J549" s="74">
        <v>0</v>
      </c>
      <c r="K549" s="74">
        <v>0</v>
      </c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67"/>
      <c r="Y549" s="338" t="s">
        <v>258</v>
      </c>
    </row>
    <row r="550" spans="1:71" ht="24.6" customHeight="1">
      <c r="A550" s="451" t="s">
        <v>193</v>
      </c>
      <c r="B550" s="167" t="s">
        <v>284</v>
      </c>
      <c r="C550" s="167"/>
      <c r="D550" s="167"/>
      <c r="E550" s="167"/>
      <c r="F550" s="167"/>
      <c r="G550" s="74"/>
      <c r="H550" s="74"/>
      <c r="I550" s="74"/>
      <c r="J550" s="74"/>
      <c r="K550" s="74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67"/>
      <c r="Y550" s="338"/>
    </row>
    <row r="551" spans="1:71" ht="24.95" customHeight="1">
      <c r="A551" s="454"/>
      <c r="B551" s="167" t="s">
        <v>89</v>
      </c>
      <c r="C551" s="167">
        <v>176</v>
      </c>
      <c r="D551" s="167" t="s">
        <v>15</v>
      </c>
      <c r="E551" s="167">
        <v>6100404</v>
      </c>
      <c r="F551" s="167">
        <v>243</v>
      </c>
      <c r="G551" s="74">
        <v>0</v>
      </c>
      <c r="H551" s="74">
        <v>0</v>
      </c>
      <c r="I551" s="74">
        <v>0</v>
      </c>
      <c r="J551" s="74">
        <v>0</v>
      </c>
      <c r="K551" s="74">
        <v>0</v>
      </c>
      <c r="L551" s="132">
        <v>0</v>
      </c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67"/>
      <c r="Y551" s="453" t="s">
        <v>593</v>
      </c>
    </row>
    <row r="552" spans="1:71" s="55" customFormat="1" ht="24.6" customHeight="1">
      <c r="A552" s="452"/>
      <c r="B552" s="167" t="s">
        <v>284</v>
      </c>
      <c r="C552" s="167"/>
      <c r="D552" s="167"/>
      <c r="E552" s="167"/>
      <c r="F552" s="167"/>
      <c r="G552" s="74"/>
      <c r="H552" s="74"/>
      <c r="I552" s="74"/>
      <c r="J552" s="74"/>
      <c r="K552" s="74"/>
      <c r="L552" s="132"/>
      <c r="M552" s="132"/>
      <c r="N552" s="132"/>
      <c r="O552" s="132"/>
      <c r="P552" s="132"/>
      <c r="Q552" s="132">
        <f>T552+U552</f>
        <v>26630.9</v>
      </c>
      <c r="R552" s="132"/>
      <c r="S552" s="132"/>
      <c r="T552" s="132">
        <v>5000</v>
      </c>
      <c r="U552" s="132">
        <f>21764.7-133.8</f>
        <v>21630.9</v>
      </c>
      <c r="V552" s="132"/>
      <c r="W552" s="132"/>
      <c r="X552" s="167"/>
      <c r="Y552" s="453"/>
      <c r="AT552" s="150"/>
      <c r="AU552" s="150"/>
      <c r="AV552" s="150"/>
      <c r="AW552" s="150"/>
      <c r="AX552" s="150"/>
      <c r="AY552" s="150"/>
      <c r="AZ552" s="150"/>
      <c r="BA552" s="150"/>
      <c r="BB552" s="150"/>
      <c r="BC552" s="150"/>
      <c r="BD552" s="150"/>
      <c r="BE552" s="150"/>
      <c r="BF552" s="150"/>
      <c r="BG552" s="150"/>
      <c r="BH552" s="150"/>
      <c r="BI552" s="150"/>
      <c r="BJ552" s="150"/>
      <c r="BK552" s="150"/>
      <c r="BL552" s="150"/>
      <c r="BM552" s="150"/>
      <c r="BN552" s="150"/>
      <c r="BO552" s="150"/>
      <c r="BP552" s="150"/>
      <c r="BQ552" s="150"/>
      <c r="BR552" s="150"/>
      <c r="BS552" s="150"/>
    </row>
    <row r="553" spans="1:71" s="55" customFormat="1" ht="24.6" customHeight="1">
      <c r="A553" s="451" t="s">
        <v>373</v>
      </c>
      <c r="B553" s="336" t="s">
        <v>89</v>
      </c>
      <c r="C553" s="336"/>
      <c r="D553" s="336"/>
      <c r="E553" s="336"/>
      <c r="F553" s="336"/>
      <c r="G553" s="74"/>
      <c r="H553" s="74"/>
      <c r="I553" s="74"/>
      <c r="J553" s="74"/>
      <c r="K553" s="74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>
        <v>3.2</v>
      </c>
      <c r="W553" s="132">
        <v>1</v>
      </c>
      <c r="X553" s="167"/>
      <c r="Y553" s="453" t="s">
        <v>595</v>
      </c>
      <c r="AT553" s="150"/>
      <c r="AU553" s="150"/>
      <c r="AV553" s="150"/>
      <c r="AW553" s="150"/>
      <c r="AX553" s="150"/>
      <c r="AY553" s="150"/>
      <c r="AZ553" s="150"/>
      <c r="BA553" s="150"/>
      <c r="BB553" s="150"/>
      <c r="BC553" s="150"/>
      <c r="BD553" s="150"/>
      <c r="BE553" s="150"/>
      <c r="BF553" s="150"/>
      <c r="BG553" s="150"/>
      <c r="BH553" s="150"/>
      <c r="BI553" s="150"/>
      <c r="BJ553" s="150"/>
      <c r="BK553" s="150"/>
      <c r="BL553" s="150"/>
      <c r="BM553" s="150"/>
      <c r="BN553" s="150"/>
      <c r="BO553" s="150"/>
      <c r="BP553" s="150"/>
      <c r="BQ553" s="150"/>
      <c r="BR553" s="150"/>
      <c r="BS553" s="150"/>
    </row>
    <row r="554" spans="1:71" s="55" customFormat="1" ht="24.6" customHeight="1">
      <c r="A554" s="452"/>
      <c r="B554" s="336" t="s">
        <v>284</v>
      </c>
      <c r="C554" s="336"/>
      <c r="D554" s="336"/>
      <c r="E554" s="336"/>
      <c r="F554" s="336"/>
      <c r="G554" s="74"/>
      <c r="H554" s="74"/>
      <c r="I554" s="74"/>
      <c r="J554" s="74"/>
      <c r="K554" s="74"/>
      <c r="L554" s="132"/>
      <c r="M554" s="132"/>
      <c r="N554" s="132"/>
      <c r="O554" s="132"/>
      <c r="P554" s="132"/>
      <c r="Q554" s="132">
        <f>T554</f>
        <v>68767.199999999997</v>
      </c>
      <c r="R554" s="132"/>
      <c r="S554" s="132"/>
      <c r="T554" s="132">
        <f>77266.5-8499.3</f>
        <v>68767.199999999997</v>
      </c>
      <c r="U554" s="132"/>
      <c r="V554" s="132">
        <f>38152.2-4196.7</f>
        <v>33955.5</v>
      </c>
      <c r="W554" s="132">
        <v>40159.800000000003</v>
      </c>
      <c r="X554" s="167"/>
      <c r="Y554" s="453"/>
      <c r="AT554" s="150"/>
      <c r="AU554" s="150"/>
      <c r="AV554" s="150"/>
      <c r="AW554" s="150"/>
      <c r="AX554" s="150"/>
      <c r="AY554" s="150"/>
      <c r="AZ554" s="150"/>
      <c r="BA554" s="150"/>
      <c r="BB554" s="150"/>
      <c r="BC554" s="150"/>
      <c r="BD554" s="150"/>
      <c r="BE554" s="150"/>
      <c r="BF554" s="150"/>
      <c r="BG554" s="150"/>
      <c r="BH554" s="150"/>
      <c r="BI554" s="150"/>
      <c r="BJ554" s="150"/>
      <c r="BK554" s="150"/>
      <c r="BL554" s="150"/>
      <c r="BM554" s="150"/>
      <c r="BN554" s="150"/>
      <c r="BO554" s="150"/>
      <c r="BP554" s="150"/>
      <c r="BQ554" s="150"/>
      <c r="BR554" s="150"/>
      <c r="BS554" s="150"/>
    </row>
    <row r="555" spans="1:71" s="55" customFormat="1" ht="24.95" hidden="1" customHeight="1">
      <c r="A555" s="455" t="s">
        <v>112</v>
      </c>
      <c r="B555" s="167" t="s">
        <v>89</v>
      </c>
      <c r="C555" s="167">
        <v>176</v>
      </c>
      <c r="D555" s="167" t="s">
        <v>15</v>
      </c>
      <c r="E555" s="167">
        <v>6100404</v>
      </c>
      <c r="F555" s="167">
        <v>243</v>
      </c>
      <c r="G555" s="74"/>
      <c r="H555" s="74"/>
      <c r="I555" s="74">
        <v>0</v>
      </c>
      <c r="J555" s="74"/>
      <c r="K555" s="74">
        <v>0</v>
      </c>
      <c r="L555" s="132">
        <v>0</v>
      </c>
      <c r="M555" s="132"/>
      <c r="N555" s="132"/>
      <c r="O555" s="132"/>
      <c r="P555" s="132"/>
      <c r="Q555" s="132">
        <v>0</v>
      </c>
      <c r="R555" s="132"/>
      <c r="S555" s="132"/>
      <c r="T555" s="132"/>
      <c r="U555" s="132"/>
      <c r="V555" s="132"/>
      <c r="W555" s="132"/>
      <c r="X555" s="167"/>
      <c r="Y555" s="453" t="s">
        <v>374</v>
      </c>
      <c r="AT555" s="150"/>
      <c r="AU555" s="150"/>
      <c r="AV555" s="150"/>
      <c r="AW555" s="150"/>
      <c r="AX555" s="150"/>
      <c r="AY555" s="150"/>
      <c r="AZ555" s="150"/>
      <c r="BA555" s="150"/>
      <c r="BB555" s="150"/>
      <c r="BC555" s="150"/>
      <c r="BD555" s="150"/>
      <c r="BE555" s="150"/>
      <c r="BF555" s="150"/>
      <c r="BG555" s="150"/>
      <c r="BH555" s="150"/>
      <c r="BI555" s="150"/>
      <c r="BJ555" s="150"/>
      <c r="BK555" s="150"/>
      <c r="BL555" s="150"/>
      <c r="BM555" s="150"/>
      <c r="BN555" s="150"/>
      <c r="BO555" s="150"/>
      <c r="BP555" s="150"/>
      <c r="BQ555" s="150"/>
      <c r="BR555" s="150"/>
      <c r="BS555" s="150"/>
    </row>
    <row r="556" spans="1:71" ht="24.95" hidden="1" customHeight="1">
      <c r="A556" s="455"/>
      <c r="B556" s="167" t="s">
        <v>284</v>
      </c>
      <c r="C556" s="167"/>
      <c r="D556" s="167"/>
      <c r="E556" s="167"/>
      <c r="F556" s="167"/>
      <c r="G556" s="74"/>
      <c r="H556" s="74"/>
      <c r="I556" s="74"/>
      <c r="J556" s="74"/>
      <c r="K556" s="74"/>
      <c r="L556" s="132"/>
      <c r="M556" s="132"/>
      <c r="N556" s="132"/>
      <c r="O556" s="132"/>
      <c r="P556" s="132"/>
      <c r="Q556" s="132">
        <f>T556</f>
        <v>0</v>
      </c>
      <c r="R556" s="132"/>
      <c r="S556" s="132"/>
      <c r="T556" s="132"/>
      <c r="U556" s="132"/>
      <c r="V556" s="132"/>
      <c r="W556" s="132"/>
      <c r="X556" s="167"/>
      <c r="Y556" s="453"/>
    </row>
    <row r="557" spans="1:71" ht="24.95" customHeight="1">
      <c r="A557" s="461" t="s">
        <v>101</v>
      </c>
      <c r="B557" s="82" t="s">
        <v>89</v>
      </c>
      <c r="C557" s="82"/>
      <c r="D557" s="82"/>
      <c r="E557" s="82"/>
      <c r="F557" s="82"/>
      <c r="G557" s="80">
        <f>G561</f>
        <v>0</v>
      </c>
      <c r="H557" s="80">
        <f t="shared" ref="H557:W558" si="267">H561</f>
        <v>0</v>
      </c>
      <c r="I557" s="80">
        <f t="shared" si="267"/>
        <v>0</v>
      </c>
      <c r="J557" s="80">
        <f t="shared" si="267"/>
        <v>0</v>
      </c>
      <c r="K557" s="80">
        <f t="shared" si="267"/>
        <v>0</v>
      </c>
      <c r="L557" s="131">
        <f t="shared" si="267"/>
        <v>0</v>
      </c>
      <c r="M557" s="131"/>
      <c r="N557" s="131"/>
      <c r="O557" s="131"/>
      <c r="P557" s="131"/>
      <c r="Q557" s="131">
        <f>Q559</f>
        <v>0.4</v>
      </c>
      <c r="R557" s="131">
        <f t="shared" ref="R557:T557" si="268">R559</f>
        <v>0</v>
      </c>
      <c r="S557" s="131">
        <f t="shared" si="268"/>
        <v>0</v>
      </c>
      <c r="T557" s="131">
        <f t="shared" si="268"/>
        <v>0.4</v>
      </c>
      <c r="U557" s="131"/>
      <c r="V557" s="131">
        <f t="shared" si="267"/>
        <v>0</v>
      </c>
      <c r="W557" s="131">
        <f t="shared" si="267"/>
        <v>0</v>
      </c>
      <c r="X557" s="167"/>
      <c r="Y557" s="82"/>
    </row>
    <row r="558" spans="1:71" ht="24.95" customHeight="1">
      <c r="A558" s="461"/>
      <c r="B558" s="82" t="s">
        <v>284</v>
      </c>
      <c r="C558" s="82"/>
      <c r="D558" s="82"/>
      <c r="E558" s="82"/>
      <c r="F558" s="82"/>
      <c r="G558" s="80">
        <f>G562</f>
        <v>0</v>
      </c>
      <c r="H558" s="80">
        <f t="shared" si="267"/>
        <v>0</v>
      </c>
      <c r="I558" s="80">
        <f t="shared" si="267"/>
        <v>0</v>
      </c>
      <c r="J558" s="80">
        <f t="shared" si="267"/>
        <v>0</v>
      </c>
      <c r="K558" s="80">
        <f t="shared" si="267"/>
        <v>0</v>
      </c>
      <c r="L558" s="131">
        <f t="shared" si="267"/>
        <v>0</v>
      </c>
      <c r="M558" s="131"/>
      <c r="N558" s="131"/>
      <c r="O558" s="131"/>
      <c r="P558" s="131"/>
      <c r="Q558" s="131">
        <f>Q560+Q562</f>
        <v>12085</v>
      </c>
      <c r="R558" s="131">
        <f t="shared" ref="R558:T558" si="269">R560+R562</f>
        <v>0</v>
      </c>
      <c r="S558" s="131">
        <f t="shared" si="269"/>
        <v>0</v>
      </c>
      <c r="T558" s="131">
        <f t="shared" si="269"/>
        <v>12085</v>
      </c>
      <c r="U558" s="131">
        <f t="shared" si="267"/>
        <v>0</v>
      </c>
      <c r="V558" s="131">
        <f t="shared" si="267"/>
        <v>0</v>
      </c>
      <c r="W558" s="131">
        <f t="shared" si="267"/>
        <v>0</v>
      </c>
      <c r="X558" s="167"/>
      <c r="Y558" s="82"/>
    </row>
    <row r="559" spans="1:71" ht="24.95" customHeight="1">
      <c r="A559" s="451" t="s">
        <v>533</v>
      </c>
      <c r="B559" s="312" t="s">
        <v>89</v>
      </c>
      <c r="C559" s="82"/>
      <c r="D559" s="82"/>
      <c r="E559" s="82"/>
      <c r="F559" s="82"/>
      <c r="G559" s="80"/>
      <c r="H559" s="80"/>
      <c r="I559" s="80"/>
      <c r="J559" s="80"/>
      <c r="K559" s="80"/>
      <c r="L559" s="131"/>
      <c r="M559" s="131"/>
      <c r="N559" s="131"/>
      <c r="O559" s="131"/>
      <c r="P559" s="131"/>
      <c r="Q559" s="132">
        <f>T559</f>
        <v>0.4</v>
      </c>
      <c r="R559" s="132"/>
      <c r="S559" s="132"/>
      <c r="T559" s="132">
        <v>0.4</v>
      </c>
      <c r="U559" s="131"/>
      <c r="V559" s="131"/>
      <c r="W559" s="131"/>
      <c r="X559" s="345"/>
      <c r="Y559" s="453" t="s">
        <v>602</v>
      </c>
    </row>
    <row r="560" spans="1:71" ht="24.95" customHeight="1">
      <c r="A560" s="446"/>
      <c r="B560" s="312" t="s">
        <v>284</v>
      </c>
      <c r="C560" s="82"/>
      <c r="D560" s="82"/>
      <c r="E560" s="82"/>
      <c r="F560" s="82"/>
      <c r="G560" s="80"/>
      <c r="H560" s="80"/>
      <c r="I560" s="80"/>
      <c r="J560" s="80"/>
      <c r="K560" s="80"/>
      <c r="L560" s="131"/>
      <c r="M560" s="131"/>
      <c r="N560" s="131"/>
      <c r="O560" s="131"/>
      <c r="P560" s="131"/>
      <c r="Q560" s="132">
        <f>T560</f>
        <v>9681.9</v>
      </c>
      <c r="R560" s="132"/>
      <c r="S560" s="132"/>
      <c r="T560" s="132">
        <f>9730.5-48.6</f>
        <v>9681.9</v>
      </c>
      <c r="U560" s="131"/>
      <c r="V560" s="131"/>
      <c r="W560" s="131"/>
      <c r="X560" s="345"/>
      <c r="Y560" s="453"/>
    </row>
    <row r="561" spans="1:71" ht="24.95" customHeight="1">
      <c r="A561" s="451" t="s">
        <v>110</v>
      </c>
      <c r="B561" s="167" t="s">
        <v>89</v>
      </c>
      <c r="C561" s="167">
        <v>176</v>
      </c>
      <c r="D561" s="167" t="s">
        <v>15</v>
      </c>
      <c r="E561" s="167">
        <v>6100404</v>
      </c>
      <c r="F561" s="167">
        <v>243</v>
      </c>
      <c r="G561" s="74">
        <v>0</v>
      </c>
      <c r="H561" s="74">
        <v>0</v>
      </c>
      <c r="I561" s="74">
        <v>0</v>
      </c>
      <c r="J561" s="74">
        <v>0</v>
      </c>
      <c r="K561" s="74">
        <v>0</v>
      </c>
      <c r="L561" s="132">
        <v>0</v>
      </c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345"/>
      <c r="Y561" s="453" t="s">
        <v>374</v>
      </c>
    </row>
    <row r="562" spans="1:71" ht="24.95" customHeight="1">
      <c r="A562" s="452"/>
      <c r="B562" s="167" t="s">
        <v>284</v>
      </c>
      <c r="C562" s="167"/>
      <c r="D562" s="167"/>
      <c r="E562" s="167"/>
      <c r="F562" s="167"/>
      <c r="G562" s="74"/>
      <c r="H562" s="74"/>
      <c r="I562" s="74"/>
      <c r="J562" s="74"/>
      <c r="K562" s="74"/>
      <c r="L562" s="132"/>
      <c r="M562" s="132"/>
      <c r="N562" s="132"/>
      <c r="O562" s="132"/>
      <c r="P562" s="132"/>
      <c r="Q562" s="132">
        <f>T562</f>
        <v>2403.1</v>
      </c>
      <c r="R562" s="132"/>
      <c r="S562" s="132"/>
      <c r="T562" s="132">
        <f>2476.6-73.5</f>
        <v>2403.1</v>
      </c>
      <c r="U562" s="132"/>
      <c r="V562" s="132"/>
      <c r="W562" s="132"/>
      <c r="X562" s="345"/>
      <c r="Y562" s="453"/>
    </row>
    <row r="563" spans="1:71" ht="24.95" hidden="1" customHeight="1">
      <c r="A563" s="461" t="s">
        <v>168</v>
      </c>
      <c r="B563" s="82" t="s">
        <v>89</v>
      </c>
      <c r="C563" s="167"/>
      <c r="D563" s="167"/>
      <c r="E563" s="167"/>
      <c r="F563" s="167"/>
      <c r="G563" s="74">
        <f>G567</f>
        <v>0</v>
      </c>
      <c r="H563" s="74">
        <f t="shared" ref="H563:L564" si="270">H567</f>
        <v>0</v>
      </c>
      <c r="I563" s="74">
        <f t="shared" si="270"/>
        <v>0</v>
      </c>
      <c r="J563" s="74">
        <f t="shared" si="270"/>
        <v>0</v>
      </c>
      <c r="K563" s="74">
        <f t="shared" si="270"/>
        <v>0</v>
      </c>
      <c r="L563" s="132">
        <f t="shared" si="270"/>
        <v>0</v>
      </c>
      <c r="M563" s="132"/>
      <c r="N563" s="132"/>
      <c r="O563" s="132"/>
      <c r="P563" s="132"/>
      <c r="Q563" s="131">
        <f>Q565+Q567</f>
        <v>0</v>
      </c>
      <c r="R563" s="131">
        <f t="shared" ref="R563:S563" si="271">R565+R567</f>
        <v>0</v>
      </c>
      <c r="S563" s="131">
        <f t="shared" si="271"/>
        <v>0</v>
      </c>
      <c r="T563" s="131"/>
      <c r="U563" s="131"/>
      <c r="V563" s="131">
        <f t="shared" ref="V563:W563" si="272">V565+V567</f>
        <v>0</v>
      </c>
      <c r="W563" s="131">
        <f t="shared" si="272"/>
        <v>0</v>
      </c>
      <c r="X563" s="167"/>
      <c r="Y563" s="338"/>
    </row>
    <row r="564" spans="1:71" s="55" customFormat="1" ht="24.95" hidden="1" customHeight="1">
      <c r="A564" s="461"/>
      <c r="B564" s="82" t="s">
        <v>284</v>
      </c>
      <c r="C564" s="167"/>
      <c r="D564" s="167"/>
      <c r="E564" s="167"/>
      <c r="F564" s="167"/>
      <c r="G564" s="74">
        <f>G568</f>
        <v>0</v>
      </c>
      <c r="H564" s="74">
        <f t="shared" si="270"/>
        <v>0</v>
      </c>
      <c r="I564" s="74">
        <f t="shared" si="270"/>
        <v>0</v>
      </c>
      <c r="J564" s="74">
        <f t="shared" si="270"/>
        <v>0</v>
      </c>
      <c r="K564" s="74">
        <f t="shared" si="270"/>
        <v>0</v>
      </c>
      <c r="L564" s="132">
        <f t="shared" si="270"/>
        <v>0</v>
      </c>
      <c r="M564" s="132"/>
      <c r="N564" s="132"/>
      <c r="O564" s="132"/>
      <c r="P564" s="132"/>
      <c r="Q564" s="131">
        <f>Q566+Q568</f>
        <v>0</v>
      </c>
      <c r="R564" s="131">
        <f t="shared" ref="R564:U564" si="273">R566+R568</f>
        <v>0</v>
      </c>
      <c r="S564" s="131">
        <f t="shared" si="273"/>
        <v>0</v>
      </c>
      <c r="T564" s="131">
        <f t="shared" si="273"/>
        <v>0</v>
      </c>
      <c r="U564" s="131">
        <f t="shared" si="273"/>
        <v>0</v>
      </c>
      <c r="V564" s="131">
        <f t="shared" ref="V564:W564" si="274">V566+V568</f>
        <v>0</v>
      </c>
      <c r="W564" s="131">
        <f t="shared" si="274"/>
        <v>0</v>
      </c>
      <c r="X564" s="167"/>
      <c r="Y564" s="338"/>
      <c r="AT564" s="150"/>
      <c r="AU564" s="150"/>
      <c r="AV564" s="150"/>
      <c r="AW564" s="150"/>
      <c r="AX564" s="150"/>
      <c r="AY564" s="150"/>
      <c r="AZ564" s="150"/>
      <c r="BA564" s="150"/>
      <c r="BB564" s="150"/>
      <c r="BC564" s="150"/>
      <c r="BD564" s="150"/>
      <c r="BE564" s="150"/>
      <c r="BF564" s="150"/>
      <c r="BG564" s="150"/>
      <c r="BH564" s="150"/>
      <c r="BI564" s="150"/>
      <c r="BJ564" s="150"/>
      <c r="BK564" s="150"/>
      <c r="BL564" s="150"/>
      <c r="BM564" s="150"/>
      <c r="BN564" s="150"/>
      <c r="BO564" s="150"/>
      <c r="BP564" s="150"/>
      <c r="BQ564" s="150"/>
      <c r="BR564" s="150"/>
      <c r="BS564" s="150"/>
    </row>
    <row r="565" spans="1:71" s="55" customFormat="1" ht="24.95" hidden="1" customHeight="1">
      <c r="A565" s="451" t="s">
        <v>110</v>
      </c>
      <c r="B565" s="167" t="s">
        <v>89</v>
      </c>
      <c r="C565" s="167"/>
      <c r="D565" s="167"/>
      <c r="E565" s="167"/>
      <c r="F565" s="167"/>
      <c r="G565" s="74"/>
      <c r="H565" s="74"/>
      <c r="I565" s="74"/>
      <c r="J565" s="74"/>
      <c r="K565" s="74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1"/>
      <c r="W565" s="132">
        <v>0</v>
      </c>
      <c r="X565" s="167"/>
      <c r="Y565" s="453" t="s">
        <v>374</v>
      </c>
      <c r="AT565" s="150"/>
      <c r="AU565" s="150"/>
      <c r="AV565" s="150"/>
      <c r="AW565" s="150"/>
      <c r="AX565" s="150"/>
      <c r="AY565" s="150"/>
      <c r="AZ565" s="150"/>
      <c r="BA565" s="150"/>
      <c r="BB565" s="150"/>
      <c r="BC565" s="150"/>
      <c r="BD565" s="150"/>
      <c r="BE565" s="150"/>
      <c r="BF565" s="150"/>
      <c r="BG565" s="150"/>
      <c r="BH565" s="150"/>
      <c r="BI565" s="150"/>
      <c r="BJ565" s="150"/>
      <c r="BK565" s="150"/>
      <c r="BL565" s="150"/>
      <c r="BM565" s="150"/>
      <c r="BN565" s="150"/>
      <c r="BO565" s="150"/>
      <c r="BP565" s="150"/>
      <c r="BQ565" s="150"/>
      <c r="BR565" s="150"/>
      <c r="BS565" s="150"/>
    </row>
    <row r="566" spans="1:71" s="55" customFormat="1" ht="24.95" hidden="1" customHeight="1">
      <c r="A566" s="452"/>
      <c r="B566" s="167" t="s">
        <v>284</v>
      </c>
      <c r="C566" s="167"/>
      <c r="D566" s="167"/>
      <c r="E566" s="167"/>
      <c r="F566" s="167"/>
      <c r="G566" s="74"/>
      <c r="H566" s="74"/>
      <c r="I566" s="74"/>
      <c r="J566" s="74"/>
      <c r="K566" s="74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67"/>
      <c r="Y566" s="453"/>
      <c r="AT566" s="150"/>
      <c r="AU566" s="150"/>
      <c r="AV566" s="150"/>
      <c r="AW566" s="150"/>
      <c r="AX566" s="150"/>
      <c r="AY566" s="150"/>
      <c r="AZ566" s="150"/>
      <c r="BA566" s="150"/>
      <c r="BB566" s="150"/>
      <c r="BC566" s="150"/>
      <c r="BD566" s="150"/>
      <c r="BE566" s="150"/>
      <c r="BF566" s="150"/>
      <c r="BG566" s="150"/>
      <c r="BH566" s="150"/>
      <c r="BI566" s="150"/>
      <c r="BJ566" s="150"/>
      <c r="BK566" s="150"/>
      <c r="BL566" s="150"/>
      <c r="BM566" s="150"/>
      <c r="BN566" s="150"/>
      <c r="BO566" s="150"/>
      <c r="BP566" s="150"/>
      <c r="BQ566" s="150"/>
      <c r="BR566" s="150"/>
      <c r="BS566" s="150"/>
    </row>
    <row r="567" spans="1:71" s="55" customFormat="1" ht="24.95" hidden="1" customHeight="1">
      <c r="A567" s="455" t="s">
        <v>291</v>
      </c>
      <c r="B567" s="167" t="s">
        <v>89</v>
      </c>
      <c r="C567" s="167"/>
      <c r="D567" s="167"/>
      <c r="E567" s="167"/>
      <c r="F567" s="167"/>
      <c r="G567" s="74"/>
      <c r="H567" s="74"/>
      <c r="I567" s="74"/>
      <c r="J567" s="74"/>
      <c r="K567" s="74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67"/>
      <c r="Y567" s="453" t="s">
        <v>485</v>
      </c>
      <c r="AT567" s="150"/>
      <c r="AU567" s="150"/>
      <c r="AV567" s="150"/>
      <c r="AW567" s="150"/>
      <c r="AX567" s="150"/>
      <c r="AY567" s="150"/>
      <c r="AZ567" s="150"/>
      <c r="BA567" s="150"/>
      <c r="BB567" s="150"/>
      <c r="BC567" s="150"/>
      <c r="BD567" s="150"/>
      <c r="BE567" s="150"/>
      <c r="BF567" s="150"/>
      <c r="BG567" s="150"/>
      <c r="BH567" s="150"/>
      <c r="BI567" s="150"/>
      <c r="BJ567" s="150"/>
      <c r="BK567" s="150"/>
      <c r="BL567" s="150"/>
      <c r="BM567" s="150"/>
      <c r="BN567" s="150"/>
      <c r="BO567" s="150"/>
      <c r="BP567" s="150"/>
      <c r="BQ567" s="150"/>
      <c r="BR567" s="150"/>
      <c r="BS567" s="150"/>
    </row>
    <row r="568" spans="1:71" ht="24.95" hidden="1" customHeight="1">
      <c r="A568" s="455"/>
      <c r="B568" s="167" t="s">
        <v>284</v>
      </c>
      <c r="C568" s="167"/>
      <c r="D568" s="167"/>
      <c r="E568" s="167"/>
      <c r="F568" s="167"/>
      <c r="G568" s="74"/>
      <c r="H568" s="74"/>
      <c r="I568" s="74"/>
      <c r="J568" s="74"/>
      <c r="K568" s="74"/>
      <c r="L568" s="132"/>
      <c r="M568" s="132"/>
      <c r="N568" s="132"/>
      <c r="O568" s="132"/>
      <c r="P568" s="132"/>
      <c r="Q568" s="132">
        <f>R568+S568+T568+U568</f>
        <v>0</v>
      </c>
      <c r="R568" s="132"/>
      <c r="S568" s="132"/>
      <c r="T568" s="132"/>
      <c r="U568" s="132"/>
      <c r="V568" s="132"/>
      <c r="W568" s="132"/>
      <c r="X568" s="167"/>
      <c r="Y568" s="453"/>
    </row>
    <row r="569" spans="1:71" ht="24.95" hidden="1" customHeight="1">
      <c r="A569" s="461" t="s">
        <v>127</v>
      </c>
      <c r="B569" s="82" t="s">
        <v>89</v>
      </c>
      <c r="C569" s="82"/>
      <c r="D569" s="82"/>
      <c r="E569" s="82"/>
      <c r="F569" s="82"/>
      <c r="G569" s="80">
        <f>G573</f>
        <v>0</v>
      </c>
      <c r="H569" s="80">
        <f t="shared" ref="H569:V570" si="275">H573</f>
        <v>0</v>
      </c>
      <c r="I569" s="80">
        <f t="shared" si="275"/>
        <v>0</v>
      </c>
      <c r="J569" s="80">
        <f t="shared" si="275"/>
        <v>0</v>
      </c>
      <c r="K569" s="80">
        <f t="shared" si="275"/>
        <v>0</v>
      </c>
      <c r="L569" s="131">
        <f t="shared" si="275"/>
        <v>0</v>
      </c>
      <c r="M569" s="131"/>
      <c r="N569" s="131"/>
      <c r="O569" s="131"/>
      <c r="P569" s="131"/>
      <c r="Q569" s="131">
        <f t="shared" si="275"/>
        <v>0</v>
      </c>
      <c r="R569" s="131"/>
      <c r="S569" s="131"/>
      <c r="T569" s="131"/>
      <c r="U569" s="131"/>
      <c r="V569" s="131">
        <f t="shared" si="275"/>
        <v>0</v>
      </c>
      <c r="W569" s="131">
        <f>W571</f>
        <v>0</v>
      </c>
      <c r="X569" s="167"/>
      <c r="Y569" s="82"/>
    </row>
    <row r="570" spans="1:71" s="55" customFormat="1" ht="24.95" hidden="1" customHeight="1">
      <c r="A570" s="461"/>
      <c r="B570" s="82" t="s">
        <v>284</v>
      </c>
      <c r="C570" s="82"/>
      <c r="D570" s="82"/>
      <c r="E570" s="82"/>
      <c r="F570" s="82"/>
      <c r="G570" s="80">
        <f>G574</f>
        <v>0</v>
      </c>
      <c r="H570" s="80">
        <f t="shared" si="275"/>
        <v>0</v>
      </c>
      <c r="I570" s="80">
        <f t="shared" si="275"/>
        <v>0</v>
      </c>
      <c r="J570" s="80">
        <f t="shared" si="275"/>
        <v>0</v>
      </c>
      <c r="K570" s="80">
        <f t="shared" si="275"/>
        <v>0</v>
      </c>
      <c r="L570" s="131">
        <f t="shared" si="275"/>
        <v>5366</v>
      </c>
      <c r="M570" s="131">
        <f t="shared" si="275"/>
        <v>0</v>
      </c>
      <c r="N570" s="131">
        <f t="shared" si="275"/>
        <v>0</v>
      </c>
      <c r="O570" s="131">
        <f t="shared" si="275"/>
        <v>0</v>
      </c>
      <c r="P570" s="131">
        <f t="shared" si="275"/>
        <v>5366</v>
      </c>
      <c r="Q570" s="131">
        <f t="shared" si="275"/>
        <v>0</v>
      </c>
      <c r="R570" s="131">
        <f t="shared" si="275"/>
        <v>0</v>
      </c>
      <c r="S570" s="131">
        <f t="shared" si="275"/>
        <v>0</v>
      </c>
      <c r="T570" s="131">
        <f t="shared" si="275"/>
        <v>0</v>
      </c>
      <c r="U570" s="131">
        <f t="shared" si="275"/>
        <v>0</v>
      </c>
      <c r="V570" s="131">
        <f t="shared" si="275"/>
        <v>0</v>
      </c>
      <c r="W570" s="131">
        <f>W572</f>
        <v>0</v>
      </c>
      <c r="X570" s="167"/>
      <c r="Y570" s="82"/>
      <c r="AT570" s="150"/>
      <c r="AU570" s="150"/>
      <c r="AV570" s="150"/>
      <c r="AW570" s="150"/>
      <c r="AX570" s="150"/>
      <c r="AY570" s="150"/>
      <c r="AZ570" s="150"/>
      <c r="BA570" s="150"/>
      <c r="BB570" s="150"/>
      <c r="BC570" s="150"/>
      <c r="BD570" s="150"/>
      <c r="BE570" s="150"/>
      <c r="BF570" s="150"/>
      <c r="BG570" s="150"/>
      <c r="BH570" s="150"/>
      <c r="BI570" s="150"/>
      <c r="BJ570" s="150"/>
      <c r="BK570" s="150"/>
      <c r="BL570" s="150"/>
      <c r="BM570" s="150"/>
      <c r="BN570" s="150"/>
      <c r="BO570" s="150"/>
      <c r="BP570" s="150"/>
      <c r="BQ570" s="150"/>
      <c r="BR570" s="150"/>
      <c r="BS570" s="150"/>
    </row>
    <row r="571" spans="1:71" s="55" customFormat="1" ht="24.6" hidden="1" customHeight="1">
      <c r="A571" s="451" t="s">
        <v>419</v>
      </c>
      <c r="B571" s="167" t="s">
        <v>89</v>
      </c>
      <c r="C571" s="82"/>
      <c r="D571" s="82"/>
      <c r="E571" s="82"/>
      <c r="F571" s="82"/>
      <c r="G571" s="80"/>
      <c r="H571" s="80"/>
      <c r="I571" s="80"/>
      <c r="J571" s="80"/>
      <c r="K571" s="80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1"/>
      <c r="W571" s="132"/>
      <c r="X571" s="167"/>
      <c r="Y571" s="453" t="s">
        <v>345</v>
      </c>
      <c r="AT571" s="150"/>
      <c r="AU571" s="150"/>
      <c r="AV571" s="150"/>
      <c r="AW571" s="150"/>
      <c r="AX571" s="150"/>
      <c r="AY571" s="150"/>
      <c r="AZ571" s="150"/>
      <c r="BA571" s="150"/>
      <c r="BB571" s="150"/>
      <c r="BC571" s="150"/>
      <c r="BD571" s="150"/>
      <c r="BE571" s="150"/>
      <c r="BF571" s="150"/>
      <c r="BG571" s="150"/>
      <c r="BH571" s="150"/>
      <c r="BI571" s="150"/>
      <c r="BJ571" s="150"/>
      <c r="BK571" s="150"/>
      <c r="BL571" s="150"/>
      <c r="BM571" s="150"/>
      <c r="BN571" s="150"/>
      <c r="BO571" s="150"/>
      <c r="BP571" s="150"/>
      <c r="BQ571" s="150"/>
      <c r="BR571" s="150"/>
      <c r="BS571" s="150"/>
    </row>
    <row r="572" spans="1:71" s="55" customFormat="1" ht="24.6" hidden="1" customHeight="1">
      <c r="A572" s="452"/>
      <c r="B572" s="167" t="s">
        <v>284</v>
      </c>
      <c r="C572" s="82"/>
      <c r="D572" s="82"/>
      <c r="E572" s="82"/>
      <c r="F572" s="82"/>
      <c r="G572" s="80"/>
      <c r="H572" s="80"/>
      <c r="I572" s="80"/>
      <c r="J572" s="80"/>
      <c r="K572" s="80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1"/>
      <c r="W572" s="132"/>
      <c r="X572" s="167"/>
      <c r="Y572" s="453"/>
      <c r="AT572" s="150"/>
      <c r="AU572" s="150"/>
      <c r="AV572" s="150"/>
      <c r="AW572" s="150"/>
      <c r="AX572" s="150"/>
      <c r="AY572" s="150"/>
      <c r="AZ572" s="150"/>
      <c r="BA572" s="150"/>
      <c r="BB572" s="150"/>
      <c r="BC572" s="150"/>
      <c r="BD572" s="150"/>
      <c r="BE572" s="150"/>
      <c r="BF572" s="150"/>
      <c r="BG572" s="150"/>
      <c r="BH572" s="150"/>
      <c r="BI572" s="150"/>
      <c r="BJ572" s="150"/>
      <c r="BK572" s="150"/>
      <c r="BL572" s="150"/>
      <c r="BM572" s="150"/>
      <c r="BN572" s="150"/>
      <c r="BO572" s="150"/>
      <c r="BP572" s="150"/>
      <c r="BQ572" s="150"/>
      <c r="BR572" s="150"/>
      <c r="BS572" s="150"/>
    </row>
    <row r="573" spans="1:71" s="55" customFormat="1" ht="23.45" hidden="1" customHeight="1">
      <c r="A573" s="455" t="s">
        <v>110</v>
      </c>
      <c r="B573" s="167" t="s">
        <v>89</v>
      </c>
      <c r="C573" s="167">
        <v>176</v>
      </c>
      <c r="D573" s="167" t="s">
        <v>15</v>
      </c>
      <c r="E573" s="167">
        <v>6100404</v>
      </c>
      <c r="F573" s="167">
        <v>243</v>
      </c>
      <c r="G573" s="74">
        <v>0</v>
      </c>
      <c r="H573" s="74">
        <v>0</v>
      </c>
      <c r="I573" s="74">
        <v>0</v>
      </c>
      <c r="J573" s="74">
        <v>0</v>
      </c>
      <c r="K573" s="74">
        <v>0</v>
      </c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67"/>
      <c r="Y573" s="453" t="s">
        <v>343</v>
      </c>
      <c r="AT573" s="150"/>
      <c r="AU573" s="150"/>
      <c r="AV573" s="150"/>
      <c r="AW573" s="150"/>
      <c r="AX573" s="150"/>
      <c r="AY573" s="150"/>
      <c r="AZ573" s="150"/>
      <c r="BA573" s="150"/>
      <c r="BB573" s="150"/>
      <c r="BC573" s="150"/>
      <c r="BD573" s="150"/>
      <c r="BE573" s="150"/>
      <c r="BF573" s="150"/>
      <c r="BG573" s="150"/>
      <c r="BH573" s="150"/>
      <c r="BI573" s="150"/>
      <c r="BJ573" s="150"/>
      <c r="BK573" s="150"/>
      <c r="BL573" s="150"/>
      <c r="BM573" s="150"/>
      <c r="BN573" s="150"/>
      <c r="BO573" s="150"/>
      <c r="BP573" s="150"/>
      <c r="BQ573" s="150"/>
      <c r="BR573" s="150"/>
      <c r="BS573" s="150"/>
    </row>
    <row r="574" spans="1:71" ht="24.6" hidden="1" customHeight="1">
      <c r="A574" s="455"/>
      <c r="B574" s="167" t="s">
        <v>284</v>
      </c>
      <c r="C574" s="167"/>
      <c r="D574" s="167"/>
      <c r="E574" s="167"/>
      <c r="F574" s="167"/>
      <c r="G574" s="74"/>
      <c r="H574" s="74"/>
      <c r="I574" s="74"/>
      <c r="J574" s="74"/>
      <c r="K574" s="74"/>
      <c r="L574" s="132">
        <v>5366</v>
      </c>
      <c r="M574" s="132"/>
      <c r="N574" s="132"/>
      <c r="O574" s="132"/>
      <c r="P574" s="132">
        <v>5366</v>
      </c>
      <c r="Q574" s="132">
        <f>T574+U574</f>
        <v>0</v>
      </c>
      <c r="R574" s="132"/>
      <c r="S574" s="132"/>
      <c r="T574" s="132"/>
      <c r="U574" s="132"/>
      <c r="V574" s="132">
        <v>0</v>
      </c>
      <c r="W574" s="132"/>
      <c r="X574" s="167"/>
      <c r="Y574" s="453"/>
    </row>
    <row r="575" spans="1:71" ht="24.6" customHeight="1">
      <c r="A575" s="461" t="s">
        <v>129</v>
      </c>
      <c r="B575" s="82" t="s">
        <v>89</v>
      </c>
      <c r="C575" s="82"/>
      <c r="D575" s="82"/>
      <c r="E575" s="82"/>
      <c r="F575" s="82"/>
      <c r="G575" s="80">
        <f>G577+G583</f>
        <v>2.5</v>
      </c>
      <c r="H575" s="80">
        <f t="shared" ref="H575:W576" si="276">H577+H583</f>
        <v>0</v>
      </c>
      <c r="I575" s="80">
        <f t="shared" si="276"/>
        <v>0</v>
      </c>
      <c r="J575" s="80">
        <f t="shared" si="276"/>
        <v>0</v>
      </c>
      <c r="K575" s="80">
        <f t="shared" si="276"/>
        <v>2.4849999999999999</v>
      </c>
      <c r="L575" s="131">
        <f t="shared" si="276"/>
        <v>0</v>
      </c>
      <c r="M575" s="131"/>
      <c r="N575" s="131"/>
      <c r="O575" s="131"/>
      <c r="P575" s="131"/>
      <c r="Q575" s="131">
        <f t="shared" si="276"/>
        <v>0</v>
      </c>
      <c r="R575" s="131"/>
      <c r="S575" s="131"/>
      <c r="T575" s="131"/>
      <c r="U575" s="131"/>
      <c r="V575" s="131">
        <f t="shared" si="276"/>
        <v>0</v>
      </c>
      <c r="W575" s="131">
        <f t="shared" si="276"/>
        <v>0</v>
      </c>
      <c r="X575" s="167"/>
      <c r="Y575" s="82"/>
    </row>
    <row r="576" spans="1:71" ht="22.15" customHeight="1">
      <c r="A576" s="461"/>
      <c r="B576" s="82" t="s">
        <v>284</v>
      </c>
      <c r="C576" s="82"/>
      <c r="D576" s="82"/>
      <c r="E576" s="82"/>
      <c r="F576" s="82"/>
      <c r="G576" s="80">
        <f>G578+G584</f>
        <v>18300.8</v>
      </c>
      <c r="H576" s="80">
        <f t="shared" si="276"/>
        <v>2060.6</v>
      </c>
      <c r="I576" s="80">
        <f t="shared" si="276"/>
        <v>16240.2</v>
      </c>
      <c r="J576" s="80">
        <f t="shared" si="276"/>
        <v>0</v>
      </c>
      <c r="K576" s="80">
        <f t="shared" si="276"/>
        <v>0</v>
      </c>
      <c r="L576" s="131">
        <f t="shared" si="276"/>
        <v>2368.4</v>
      </c>
      <c r="M576" s="131">
        <f t="shared" si="276"/>
        <v>2368.4</v>
      </c>
      <c r="N576" s="131">
        <f t="shared" si="276"/>
        <v>0</v>
      </c>
      <c r="O576" s="131">
        <f t="shared" si="276"/>
        <v>0</v>
      </c>
      <c r="P576" s="131">
        <f t="shared" si="276"/>
        <v>0</v>
      </c>
      <c r="Q576" s="131">
        <f t="shared" si="276"/>
        <v>6629.2</v>
      </c>
      <c r="R576" s="131">
        <f t="shared" si="276"/>
        <v>0</v>
      </c>
      <c r="S576" s="131">
        <f t="shared" si="276"/>
        <v>0</v>
      </c>
      <c r="T576" s="131">
        <f t="shared" si="276"/>
        <v>6629.2</v>
      </c>
      <c r="U576" s="131">
        <f t="shared" si="276"/>
        <v>0</v>
      </c>
      <c r="V576" s="131">
        <f t="shared" si="276"/>
        <v>0</v>
      </c>
      <c r="W576" s="131">
        <f t="shared" si="276"/>
        <v>0</v>
      </c>
      <c r="X576" s="167"/>
      <c r="Y576" s="82"/>
    </row>
    <row r="577" spans="1:71" ht="27" hidden="1" customHeight="1">
      <c r="A577" s="455" t="s">
        <v>128</v>
      </c>
      <c r="B577" s="167" t="s">
        <v>89</v>
      </c>
      <c r="C577" s="167">
        <v>176</v>
      </c>
      <c r="D577" s="167" t="s">
        <v>15</v>
      </c>
      <c r="E577" s="167">
        <v>6100404</v>
      </c>
      <c r="F577" s="167">
        <v>243</v>
      </c>
      <c r="G577" s="74">
        <v>2.5</v>
      </c>
      <c r="H577" s="74"/>
      <c r="I577" s="74"/>
      <c r="J577" s="74"/>
      <c r="K577" s="74">
        <v>2.4849999999999999</v>
      </c>
      <c r="L577" s="132"/>
      <c r="M577" s="132"/>
      <c r="N577" s="132"/>
      <c r="O577" s="132"/>
      <c r="P577" s="132"/>
      <c r="Q577" s="132">
        <v>0</v>
      </c>
      <c r="R577" s="132"/>
      <c r="S577" s="132"/>
      <c r="T577" s="132"/>
      <c r="U577" s="132"/>
      <c r="V577" s="132"/>
      <c r="W577" s="132"/>
      <c r="X577" s="167"/>
      <c r="Y577" s="453" t="s">
        <v>38</v>
      </c>
    </row>
    <row r="578" spans="1:71" ht="27.75" hidden="1" customHeight="1">
      <c r="A578" s="455"/>
      <c r="B578" s="167" t="s">
        <v>284</v>
      </c>
      <c r="C578" s="167"/>
      <c r="D578" s="167"/>
      <c r="E578" s="167"/>
      <c r="F578" s="167"/>
      <c r="G578" s="74">
        <f>SUM(H578:K578)</f>
        <v>18300.8</v>
      </c>
      <c r="H578" s="74">
        <v>2060.6</v>
      </c>
      <c r="I578" s="74">
        <f>16356.6-116.4</f>
        <v>16240.2</v>
      </c>
      <c r="J578" s="74"/>
      <c r="K578" s="74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67"/>
      <c r="Y578" s="453"/>
      <c r="AF578" s="54">
        <v>123.1</v>
      </c>
    </row>
    <row r="579" spans="1:71" ht="23.25" hidden="1" customHeight="1">
      <c r="A579" s="172" t="s">
        <v>194</v>
      </c>
      <c r="B579" s="167" t="s">
        <v>89</v>
      </c>
      <c r="C579" s="167">
        <v>176</v>
      </c>
      <c r="D579" s="167" t="s">
        <v>15</v>
      </c>
      <c r="E579" s="167">
        <v>6100404</v>
      </c>
      <c r="F579" s="167">
        <v>243</v>
      </c>
      <c r="G579" s="74">
        <v>0</v>
      </c>
      <c r="H579" s="74">
        <v>0</v>
      </c>
      <c r="I579" s="74">
        <v>0</v>
      </c>
      <c r="J579" s="74">
        <v>0</v>
      </c>
      <c r="K579" s="74">
        <v>0</v>
      </c>
      <c r="L579" s="132">
        <v>0</v>
      </c>
      <c r="M579" s="132"/>
      <c r="N579" s="132"/>
      <c r="O579" s="132"/>
      <c r="P579" s="132"/>
      <c r="Q579" s="132">
        <v>0</v>
      </c>
      <c r="R579" s="132"/>
      <c r="S579" s="132"/>
      <c r="T579" s="132"/>
      <c r="U579" s="132"/>
      <c r="V579" s="132"/>
      <c r="W579" s="132"/>
      <c r="X579" s="167"/>
      <c r="Y579" s="338"/>
    </row>
    <row r="580" spans="1:71" ht="23.25" hidden="1" customHeight="1">
      <c r="A580" s="172"/>
      <c r="B580" s="167" t="s">
        <v>284</v>
      </c>
      <c r="C580" s="167"/>
      <c r="D580" s="167"/>
      <c r="E580" s="167"/>
      <c r="F580" s="167"/>
      <c r="G580" s="74"/>
      <c r="H580" s="74"/>
      <c r="I580" s="74"/>
      <c r="J580" s="74"/>
      <c r="K580" s="74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67"/>
      <c r="Y580" s="338"/>
    </row>
    <row r="581" spans="1:71" ht="24" hidden="1" customHeight="1">
      <c r="A581" s="172" t="s">
        <v>195</v>
      </c>
      <c r="B581" s="167" t="s">
        <v>89</v>
      </c>
      <c r="C581" s="167">
        <v>176</v>
      </c>
      <c r="D581" s="167" t="s">
        <v>15</v>
      </c>
      <c r="E581" s="167">
        <v>6100404</v>
      </c>
      <c r="F581" s="167">
        <v>243</v>
      </c>
      <c r="G581" s="74">
        <v>0</v>
      </c>
      <c r="H581" s="74">
        <v>0</v>
      </c>
      <c r="I581" s="74">
        <v>0</v>
      </c>
      <c r="J581" s="74">
        <v>0</v>
      </c>
      <c r="K581" s="74">
        <v>0</v>
      </c>
      <c r="L581" s="132">
        <v>0</v>
      </c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67"/>
      <c r="Y581" s="338" t="s">
        <v>93</v>
      </c>
    </row>
    <row r="582" spans="1:71" s="55" customFormat="1" ht="24.95" hidden="1" customHeight="1">
      <c r="A582" s="172"/>
      <c r="B582" s="167" t="s">
        <v>284</v>
      </c>
      <c r="C582" s="167"/>
      <c r="D582" s="167"/>
      <c r="E582" s="167"/>
      <c r="F582" s="167"/>
      <c r="G582" s="74"/>
      <c r="H582" s="74"/>
      <c r="I582" s="74"/>
      <c r="J582" s="74"/>
      <c r="K582" s="74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67"/>
      <c r="Y582" s="338"/>
      <c r="AT582" s="150"/>
      <c r="AU582" s="150"/>
      <c r="AV582" s="150"/>
      <c r="AW582" s="150"/>
      <c r="AX582" s="150"/>
      <c r="AY582" s="150"/>
      <c r="AZ582" s="150"/>
      <c r="BA582" s="150"/>
      <c r="BB582" s="150"/>
      <c r="BC582" s="150"/>
      <c r="BD582" s="150"/>
      <c r="BE582" s="150"/>
      <c r="BF582" s="150"/>
      <c r="BG582" s="150"/>
      <c r="BH582" s="150"/>
      <c r="BI582" s="150"/>
      <c r="BJ582" s="150"/>
      <c r="BK582" s="150"/>
      <c r="BL582" s="150"/>
      <c r="BM582" s="150"/>
      <c r="BN582" s="150"/>
      <c r="BO582" s="150"/>
      <c r="BP582" s="150"/>
      <c r="BQ582" s="150"/>
      <c r="BR582" s="150"/>
      <c r="BS582" s="150"/>
    </row>
    <row r="583" spans="1:71" s="55" customFormat="1" ht="23.45" customHeight="1">
      <c r="A583" s="455" t="s">
        <v>110</v>
      </c>
      <c r="B583" s="167" t="s">
        <v>89</v>
      </c>
      <c r="C583" s="167">
        <v>176</v>
      </c>
      <c r="D583" s="167" t="s">
        <v>15</v>
      </c>
      <c r="E583" s="167">
        <v>6100404</v>
      </c>
      <c r="F583" s="167">
        <v>243</v>
      </c>
      <c r="G583" s="74"/>
      <c r="H583" s="74"/>
      <c r="I583" s="74">
        <v>0</v>
      </c>
      <c r="J583" s="74">
        <v>0</v>
      </c>
      <c r="K583" s="74">
        <v>0</v>
      </c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67"/>
      <c r="Y583" s="453" t="s">
        <v>343</v>
      </c>
      <c r="AT583" s="150"/>
      <c r="AU583" s="150"/>
      <c r="AV583" s="150"/>
      <c r="AW583" s="150"/>
      <c r="AX583" s="150"/>
      <c r="AY583" s="150"/>
      <c r="AZ583" s="150"/>
      <c r="BA583" s="150"/>
      <c r="BB583" s="150"/>
      <c r="BC583" s="150"/>
      <c r="BD583" s="150"/>
      <c r="BE583" s="150"/>
      <c r="BF583" s="150"/>
      <c r="BG583" s="150"/>
      <c r="BH583" s="150"/>
      <c r="BI583" s="150"/>
      <c r="BJ583" s="150"/>
      <c r="BK583" s="150"/>
      <c r="BL583" s="150"/>
      <c r="BM583" s="150"/>
      <c r="BN583" s="150"/>
      <c r="BO583" s="150"/>
      <c r="BP583" s="150"/>
      <c r="BQ583" s="150"/>
      <c r="BR583" s="150"/>
      <c r="BS583" s="150"/>
    </row>
    <row r="584" spans="1:71" ht="24.6" customHeight="1">
      <c r="A584" s="455"/>
      <c r="B584" s="167" t="s">
        <v>284</v>
      </c>
      <c r="C584" s="167"/>
      <c r="D584" s="167"/>
      <c r="E584" s="167"/>
      <c r="F584" s="167"/>
      <c r="G584" s="74"/>
      <c r="H584" s="74"/>
      <c r="I584" s="74"/>
      <c r="J584" s="74"/>
      <c r="K584" s="74"/>
      <c r="L584" s="132">
        <f>2515.8-147.4</f>
        <v>2368.4</v>
      </c>
      <c r="M584" s="132">
        <v>2368.4</v>
      </c>
      <c r="N584" s="132"/>
      <c r="O584" s="132"/>
      <c r="P584" s="132"/>
      <c r="Q584" s="132">
        <f>T584</f>
        <v>6629.2</v>
      </c>
      <c r="R584" s="132"/>
      <c r="S584" s="132"/>
      <c r="T584" s="132">
        <v>6629.2</v>
      </c>
      <c r="U584" s="132"/>
      <c r="V584" s="132"/>
      <c r="W584" s="132"/>
      <c r="X584" s="167"/>
      <c r="Y584" s="453"/>
    </row>
    <row r="585" spans="1:71" ht="24.6" hidden="1" customHeight="1">
      <c r="A585" s="461" t="s">
        <v>131</v>
      </c>
      <c r="B585" s="82" t="s">
        <v>89</v>
      </c>
      <c r="C585" s="82"/>
      <c r="D585" s="82"/>
      <c r="E585" s="82"/>
      <c r="F585" s="82"/>
      <c r="G585" s="80">
        <f>G587+G589</f>
        <v>1.53</v>
      </c>
      <c r="H585" s="80">
        <f t="shared" ref="H585:V586" si="277">H587+H589</f>
        <v>0</v>
      </c>
      <c r="I585" s="80">
        <f t="shared" si="277"/>
        <v>0</v>
      </c>
      <c r="J585" s="80">
        <f t="shared" si="277"/>
        <v>0</v>
      </c>
      <c r="K585" s="80">
        <f t="shared" si="277"/>
        <v>1.53</v>
      </c>
      <c r="L585" s="131">
        <f t="shared" si="277"/>
        <v>0</v>
      </c>
      <c r="M585" s="131"/>
      <c r="N585" s="131"/>
      <c r="O585" s="131"/>
      <c r="P585" s="131"/>
      <c r="Q585" s="131">
        <f t="shared" si="277"/>
        <v>0</v>
      </c>
      <c r="R585" s="131">
        <f t="shared" si="277"/>
        <v>0</v>
      </c>
      <c r="S585" s="131">
        <f t="shared" si="277"/>
        <v>0</v>
      </c>
      <c r="T585" s="131">
        <f t="shared" si="277"/>
        <v>0</v>
      </c>
      <c r="U585" s="131">
        <f t="shared" si="277"/>
        <v>0</v>
      </c>
      <c r="V585" s="131">
        <f t="shared" si="277"/>
        <v>0</v>
      </c>
      <c r="W585" s="131"/>
      <c r="X585" s="167"/>
      <c r="Y585" s="82"/>
    </row>
    <row r="586" spans="1:71" ht="24.6" hidden="1" customHeight="1">
      <c r="A586" s="461"/>
      <c r="B586" s="82" t="s">
        <v>284</v>
      </c>
      <c r="C586" s="82"/>
      <c r="D586" s="82"/>
      <c r="E586" s="82"/>
      <c r="F586" s="82"/>
      <c r="G586" s="80">
        <f>G588+G590</f>
        <v>15392.1</v>
      </c>
      <c r="H586" s="80">
        <f t="shared" si="277"/>
        <v>0</v>
      </c>
      <c r="I586" s="80">
        <f t="shared" si="277"/>
        <v>0</v>
      </c>
      <c r="J586" s="80">
        <f t="shared" si="277"/>
        <v>15392.1</v>
      </c>
      <c r="K586" s="80">
        <f t="shared" si="277"/>
        <v>0</v>
      </c>
      <c r="L586" s="131">
        <f t="shared" si="277"/>
        <v>3936.2000000000003</v>
      </c>
      <c r="M586" s="131">
        <f t="shared" si="277"/>
        <v>3936.2000000000003</v>
      </c>
      <c r="N586" s="131"/>
      <c r="O586" s="131"/>
      <c r="P586" s="131"/>
      <c r="Q586" s="131">
        <f t="shared" si="277"/>
        <v>0</v>
      </c>
      <c r="R586" s="131">
        <f t="shared" si="277"/>
        <v>0</v>
      </c>
      <c r="S586" s="131">
        <f t="shared" si="277"/>
        <v>0</v>
      </c>
      <c r="T586" s="131">
        <f t="shared" si="277"/>
        <v>0</v>
      </c>
      <c r="U586" s="131">
        <f t="shared" si="277"/>
        <v>0</v>
      </c>
      <c r="V586" s="131">
        <f t="shared" si="277"/>
        <v>0</v>
      </c>
      <c r="W586" s="131"/>
      <c r="X586" s="167"/>
      <c r="Y586" s="82"/>
    </row>
    <row r="587" spans="1:71" ht="22.15" hidden="1" customHeight="1">
      <c r="A587" s="455" t="s">
        <v>130</v>
      </c>
      <c r="B587" s="167" t="s">
        <v>89</v>
      </c>
      <c r="C587" s="167">
        <v>176</v>
      </c>
      <c r="D587" s="167" t="s">
        <v>15</v>
      </c>
      <c r="E587" s="167">
        <v>6100404</v>
      </c>
      <c r="F587" s="167">
        <v>243</v>
      </c>
      <c r="G587" s="74">
        <f>SUM(H587:K587)</f>
        <v>1.53</v>
      </c>
      <c r="H587" s="74">
        <v>0</v>
      </c>
      <c r="I587" s="74"/>
      <c r="J587" s="74"/>
      <c r="K587" s="74">
        <v>1.53</v>
      </c>
      <c r="L587" s="132">
        <v>0</v>
      </c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67"/>
      <c r="Y587" s="453" t="s">
        <v>404</v>
      </c>
    </row>
    <row r="588" spans="1:71" s="55" customFormat="1" ht="23.45" hidden="1" customHeight="1">
      <c r="A588" s="455"/>
      <c r="B588" s="167" t="s">
        <v>284</v>
      </c>
      <c r="C588" s="167"/>
      <c r="D588" s="167"/>
      <c r="E588" s="167"/>
      <c r="F588" s="167"/>
      <c r="G588" s="74">
        <f>SUM(H588:K588)</f>
        <v>15392.1</v>
      </c>
      <c r="H588" s="74"/>
      <c r="I588" s="74"/>
      <c r="J588" s="74">
        <f>16437.5-1045.4</f>
        <v>15392.1</v>
      </c>
      <c r="K588" s="74"/>
      <c r="L588" s="132"/>
      <c r="M588" s="132"/>
      <c r="N588" s="132"/>
      <c r="O588" s="132"/>
      <c r="P588" s="132"/>
      <c r="Q588" s="132">
        <f>U588</f>
        <v>0</v>
      </c>
      <c r="R588" s="132"/>
      <c r="S588" s="132"/>
      <c r="T588" s="132"/>
      <c r="U588" s="132"/>
      <c r="V588" s="132"/>
      <c r="W588" s="132"/>
      <c r="X588" s="167"/>
      <c r="Y588" s="453"/>
      <c r="AT588" s="150"/>
      <c r="AU588" s="150"/>
      <c r="AV588" s="150"/>
      <c r="AW588" s="150"/>
      <c r="AX588" s="150"/>
      <c r="AY588" s="150"/>
      <c r="AZ588" s="150"/>
      <c r="BA588" s="150"/>
      <c r="BB588" s="150"/>
      <c r="BC588" s="150"/>
      <c r="BD588" s="150"/>
      <c r="BE588" s="150"/>
      <c r="BF588" s="150"/>
      <c r="BG588" s="150"/>
      <c r="BH588" s="150"/>
      <c r="BI588" s="150"/>
      <c r="BJ588" s="150"/>
      <c r="BK588" s="150"/>
      <c r="BL588" s="150"/>
      <c r="BM588" s="150"/>
      <c r="BN588" s="150"/>
      <c r="BO588" s="150"/>
      <c r="BP588" s="150"/>
      <c r="BQ588" s="150"/>
      <c r="BR588" s="150"/>
      <c r="BS588" s="150"/>
    </row>
    <row r="589" spans="1:71" s="55" customFormat="1" ht="24" hidden="1" customHeight="1">
      <c r="A589" s="455" t="s">
        <v>110</v>
      </c>
      <c r="B589" s="167" t="s">
        <v>89</v>
      </c>
      <c r="C589" s="167">
        <v>176</v>
      </c>
      <c r="D589" s="167" t="s">
        <v>15</v>
      </c>
      <c r="E589" s="167">
        <v>6100404</v>
      </c>
      <c r="F589" s="167">
        <v>243</v>
      </c>
      <c r="G589" s="74">
        <v>0</v>
      </c>
      <c r="H589" s="74">
        <v>0</v>
      </c>
      <c r="I589" s="74">
        <v>0</v>
      </c>
      <c r="J589" s="74">
        <v>0</v>
      </c>
      <c r="K589" s="74">
        <v>0</v>
      </c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67"/>
      <c r="Y589" s="453" t="s">
        <v>343</v>
      </c>
      <c r="AT589" s="150"/>
      <c r="AU589" s="150"/>
      <c r="AV589" s="150"/>
      <c r="AW589" s="150"/>
      <c r="AX589" s="150"/>
      <c r="AY589" s="150"/>
      <c r="AZ589" s="150"/>
      <c r="BA589" s="150"/>
      <c r="BB589" s="150"/>
      <c r="BC589" s="150"/>
      <c r="BD589" s="150"/>
      <c r="BE589" s="150"/>
      <c r="BF589" s="150"/>
      <c r="BG589" s="150"/>
      <c r="BH589" s="150"/>
      <c r="BI589" s="150"/>
      <c r="BJ589" s="150"/>
      <c r="BK589" s="150"/>
      <c r="BL589" s="150"/>
      <c r="BM589" s="150"/>
      <c r="BN589" s="150"/>
      <c r="BO589" s="150"/>
      <c r="BP589" s="150"/>
      <c r="BQ589" s="150"/>
      <c r="BR589" s="150"/>
      <c r="BS589" s="150"/>
    </row>
    <row r="590" spans="1:71" ht="24.6" hidden="1" customHeight="1">
      <c r="A590" s="455"/>
      <c r="B590" s="167" t="s">
        <v>284</v>
      </c>
      <c r="C590" s="167"/>
      <c r="D590" s="167"/>
      <c r="E590" s="167"/>
      <c r="F590" s="167"/>
      <c r="G590" s="74"/>
      <c r="H590" s="74"/>
      <c r="I590" s="74"/>
      <c r="J590" s="74"/>
      <c r="K590" s="74"/>
      <c r="L590" s="132">
        <f>4048.9-112.7</f>
        <v>3936.2000000000003</v>
      </c>
      <c r="M590" s="132">
        <v>3936.2000000000003</v>
      </c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67"/>
      <c r="Y590" s="453"/>
    </row>
    <row r="591" spans="1:71" ht="24.6" customHeight="1">
      <c r="A591" s="461" t="s">
        <v>102</v>
      </c>
      <c r="B591" s="82" t="s">
        <v>89</v>
      </c>
      <c r="C591" s="82"/>
      <c r="D591" s="82"/>
      <c r="E591" s="82"/>
      <c r="F591" s="82"/>
      <c r="G591" s="80">
        <f>G593+G597</f>
        <v>0</v>
      </c>
      <c r="H591" s="80">
        <f t="shared" ref="H591:V592" si="278">H593+H597</f>
        <v>0</v>
      </c>
      <c r="I591" s="80">
        <f t="shared" si="278"/>
        <v>0</v>
      </c>
      <c r="J591" s="80">
        <f t="shared" si="278"/>
        <v>0</v>
      </c>
      <c r="K591" s="80">
        <f t="shared" si="278"/>
        <v>0</v>
      </c>
      <c r="L591" s="131">
        <f t="shared" si="278"/>
        <v>0</v>
      </c>
      <c r="M591" s="131"/>
      <c r="N591" s="131"/>
      <c r="O591" s="131"/>
      <c r="P591" s="131"/>
      <c r="Q591" s="131">
        <f t="shared" si="278"/>
        <v>0</v>
      </c>
      <c r="R591" s="131"/>
      <c r="S591" s="131"/>
      <c r="T591" s="131"/>
      <c r="U591" s="131"/>
      <c r="V591" s="131">
        <f t="shared" si="278"/>
        <v>0</v>
      </c>
      <c r="W591" s="131"/>
      <c r="X591" s="167"/>
      <c r="Y591" s="82"/>
    </row>
    <row r="592" spans="1:71" ht="23.45" customHeight="1">
      <c r="A592" s="461"/>
      <c r="B592" s="82" t="s">
        <v>284</v>
      </c>
      <c r="C592" s="82"/>
      <c r="D592" s="82"/>
      <c r="E592" s="82"/>
      <c r="F592" s="82"/>
      <c r="G592" s="80">
        <f>G594+G598</f>
        <v>3803.6</v>
      </c>
      <c r="H592" s="80">
        <f t="shared" si="278"/>
        <v>3803.6</v>
      </c>
      <c r="I592" s="80">
        <f t="shared" si="278"/>
        <v>0</v>
      </c>
      <c r="J592" s="80">
        <f t="shared" si="278"/>
        <v>0</v>
      </c>
      <c r="K592" s="80">
        <f t="shared" si="278"/>
        <v>0</v>
      </c>
      <c r="L592" s="131">
        <f t="shared" si="278"/>
        <v>6197.1</v>
      </c>
      <c r="M592" s="131">
        <f t="shared" si="278"/>
        <v>5079.1000000000004</v>
      </c>
      <c r="N592" s="131">
        <f t="shared" si="278"/>
        <v>0</v>
      </c>
      <c r="O592" s="131">
        <f t="shared" si="278"/>
        <v>0</v>
      </c>
      <c r="P592" s="131">
        <f t="shared" si="278"/>
        <v>1118</v>
      </c>
      <c r="Q592" s="131">
        <f t="shared" si="278"/>
        <v>0</v>
      </c>
      <c r="R592" s="131">
        <f t="shared" si="278"/>
        <v>0</v>
      </c>
      <c r="S592" s="131">
        <f t="shared" si="278"/>
        <v>0</v>
      </c>
      <c r="T592" s="131">
        <f t="shared" si="278"/>
        <v>0</v>
      </c>
      <c r="U592" s="131">
        <f t="shared" si="278"/>
        <v>0</v>
      </c>
      <c r="V592" s="131">
        <f t="shared" si="278"/>
        <v>13421.6</v>
      </c>
      <c r="W592" s="131"/>
      <c r="X592" s="167"/>
      <c r="Y592" s="82"/>
    </row>
    <row r="593" spans="1:71" ht="24.6" hidden="1" customHeight="1">
      <c r="A593" s="455" t="s">
        <v>132</v>
      </c>
      <c r="B593" s="167" t="s">
        <v>89</v>
      </c>
      <c r="C593" s="167">
        <v>176</v>
      </c>
      <c r="D593" s="167" t="s">
        <v>15</v>
      </c>
      <c r="E593" s="167">
        <v>6100404</v>
      </c>
      <c r="F593" s="167">
        <v>243</v>
      </c>
      <c r="G593" s="74"/>
      <c r="H593" s="74"/>
      <c r="I593" s="74"/>
      <c r="J593" s="74">
        <v>0</v>
      </c>
      <c r="K593" s="74">
        <v>0</v>
      </c>
      <c r="L593" s="132"/>
      <c r="M593" s="132"/>
      <c r="N593" s="132"/>
      <c r="O593" s="132"/>
      <c r="P593" s="132"/>
      <c r="Q593" s="132">
        <v>0</v>
      </c>
      <c r="R593" s="132"/>
      <c r="S593" s="132"/>
      <c r="T593" s="132"/>
      <c r="U593" s="132"/>
      <c r="V593" s="132"/>
      <c r="W593" s="132"/>
      <c r="X593" s="167"/>
      <c r="Y593" s="453" t="s">
        <v>243</v>
      </c>
    </row>
    <row r="594" spans="1:71" ht="24.6" hidden="1" customHeight="1">
      <c r="A594" s="455"/>
      <c r="B594" s="167" t="s">
        <v>284</v>
      </c>
      <c r="C594" s="167"/>
      <c r="D594" s="167"/>
      <c r="E594" s="167"/>
      <c r="F594" s="167"/>
      <c r="G594" s="74">
        <f>SUM(H594:K594)</f>
        <v>3803.6</v>
      </c>
      <c r="H594" s="74">
        <v>3803.6</v>
      </c>
      <c r="I594" s="74"/>
      <c r="J594" s="74"/>
      <c r="K594" s="74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67"/>
      <c r="Y594" s="453"/>
    </row>
    <row r="595" spans="1:71" ht="24.6" hidden="1" customHeight="1">
      <c r="A595" s="455" t="s">
        <v>116</v>
      </c>
      <c r="B595" s="167" t="s">
        <v>89</v>
      </c>
      <c r="C595" s="167">
        <v>176</v>
      </c>
      <c r="D595" s="167" t="s">
        <v>15</v>
      </c>
      <c r="E595" s="167">
        <v>6100404</v>
      </c>
      <c r="F595" s="167">
        <v>243</v>
      </c>
      <c r="G595" s="74">
        <v>0</v>
      </c>
      <c r="H595" s="74">
        <v>0</v>
      </c>
      <c r="I595" s="74">
        <v>0</v>
      </c>
      <c r="J595" s="74">
        <v>0</v>
      </c>
      <c r="K595" s="74">
        <v>0</v>
      </c>
      <c r="L595" s="132">
        <v>0</v>
      </c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67"/>
      <c r="Y595" s="453" t="s">
        <v>35</v>
      </c>
    </row>
    <row r="596" spans="1:71" s="55" customFormat="1" ht="24.6" hidden="1" customHeight="1">
      <c r="A596" s="455"/>
      <c r="B596" s="167" t="s">
        <v>284</v>
      </c>
      <c r="C596" s="167"/>
      <c r="D596" s="167"/>
      <c r="E596" s="167"/>
      <c r="F596" s="167"/>
      <c r="G596" s="74"/>
      <c r="H596" s="74"/>
      <c r="I596" s="74"/>
      <c r="J596" s="74"/>
      <c r="K596" s="74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67"/>
      <c r="Y596" s="453"/>
      <c r="AT596" s="150"/>
      <c r="AU596" s="150"/>
      <c r="AV596" s="150"/>
      <c r="AW596" s="150"/>
      <c r="AX596" s="150"/>
      <c r="AY596" s="150"/>
      <c r="AZ596" s="150"/>
      <c r="BA596" s="150"/>
      <c r="BB596" s="150"/>
      <c r="BC596" s="150"/>
      <c r="BD596" s="150"/>
      <c r="BE596" s="150"/>
      <c r="BF596" s="150"/>
      <c r="BG596" s="150"/>
      <c r="BH596" s="150"/>
      <c r="BI596" s="150"/>
      <c r="BJ596" s="150"/>
      <c r="BK596" s="150"/>
      <c r="BL596" s="150"/>
      <c r="BM596" s="150"/>
      <c r="BN596" s="150"/>
      <c r="BO596" s="150"/>
      <c r="BP596" s="150"/>
      <c r="BQ596" s="150"/>
      <c r="BR596" s="150"/>
      <c r="BS596" s="150"/>
    </row>
    <row r="597" spans="1:71" s="55" customFormat="1" ht="24.95" customHeight="1">
      <c r="A597" s="455" t="s">
        <v>110</v>
      </c>
      <c r="B597" s="167" t="s">
        <v>89</v>
      </c>
      <c r="C597" s="167">
        <v>176</v>
      </c>
      <c r="D597" s="167" t="s">
        <v>15</v>
      </c>
      <c r="E597" s="167">
        <v>6100404</v>
      </c>
      <c r="F597" s="167">
        <v>243</v>
      </c>
      <c r="G597" s="74">
        <v>0</v>
      </c>
      <c r="H597" s="74">
        <v>0</v>
      </c>
      <c r="I597" s="74">
        <v>0</v>
      </c>
      <c r="J597" s="74">
        <v>0</v>
      </c>
      <c r="K597" s="74">
        <v>0</v>
      </c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67"/>
      <c r="Y597" s="453" t="s">
        <v>343</v>
      </c>
      <c r="AT597" s="150"/>
      <c r="AU597" s="150"/>
      <c r="AV597" s="150"/>
      <c r="AW597" s="150"/>
      <c r="AX597" s="150"/>
      <c r="AY597" s="150"/>
      <c r="AZ597" s="150"/>
      <c r="BA597" s="150"/>
      <c r="BB597" s="150"/>
      <c r="BC597" s="150"/>
      <c r="BD597" s="150"/>
      <c r="BE597" s="150"/>
      <c r="BF597" s="150"/>
      <c r="BG597" s="150"/>
      <c r="BH597" s="150"/>
      <c r="BI597" s="150"/>
      <c r="BJ597" s="150"/>
      <c r="BK597" s="150"/>
      <c r="BL597" s="150"/>
      <c r="BM597" s="150"/>
      <c r="BN597" s="150"/>
      <c r="BO597" s="150"/>
      <c r="BP597" s="150"/>
      <c r="BQ597" s="150"/>
      <c r="BR597" s="150"/>
      <c r="BS597" s="150"/>
    </row>
    <row r="598" spans="1:71" s="55" customFormat="1" ht="24.95" customHeight="1">
      <c r="A598" s="455"/>
      <c r="B598" s="167" t="s">
        <v>284</v>
      </c>
      <c r="C598" s="167"/>
      <c r="D598" s="167"/>
      <c r="E598" s="167"/>
      <c r="F598" s="167"/>
      <c r="G598" s="74"/>
      <c r="H598" s="74"/>
      <c r="I598" s="74"/>
      <c r="J598" s="74"/>
      <c r="K598" s="74"/>
      <c r="L598" s="132">
        <v>6197.1</v>
      </c>
      <c r="M598" s="132">
        <f>L598-P598</f>
        <v>5079.1000000000004</v>
      </c>
      <c r="N598" s="132"/>
      <c r="O598" s="132"/>
      <c r="P598" s="132">
        <v>1118</v>
      </c>
      <c r="Q598" s="132">
        <f>T598</f>
        <v>0</v>
      </c>
      <c r="R598" s="132"/>
      <c r="S598" s="132"/>
      <c r="T598" s="132"/>
      <c r="U598" s="132"/>
      <c r="V598" s="132">
        <v>13421.6</v>
      </c>
      <c r="W598" s="132"/>
      <c r="X598" s="167"/>
      <c r="Y598" s="453"/>
      <c r="AT598" s="150"/>
      <c r="AU598" s="150"/>
      <c r="AV598" s="150"/>
      <c r="AW598" s="150"/>
      <c r="AX598" s="150"/>
      <c r="AY598" s="150"/>
      <c r="AZ598" s="150"/>
      <c r="BA598" s="150"/>
      <c r="BB598" s="150"/>
      <c r="BC598" s="150"/>
      <c r="BD598" s="150"/>
      <c r="BE598" s="150"/>
      <c r="BF598" s="150"/>
      <c r="BG598" s="150"/>
      <c r="BH598" s="150"/>
      <c r="BI598" s="150"/>
      <c r="BJ598" s="150"/>
      <c r="BK598" s="150"/>
      <c r="BL598" s="150"/>
      <c r="BM598" s="150"/>
      <c r="BN598" s="150"/>
      <c r="BO598" s="150"/>
      <c r="BP598" s="150"/>
      <c r="BQ598" s="150"/>
      <c r="BR598" s="150"/>
      <c r="BS598" s="150"/>
    </row>
    <row r="599" spans="1:71" s="55" customFormat="1" ht="24.95" customHeight="1">
      <c r="A599" s="410" t="s">
        <v>134</v>
      </c>
      <c r="B599" s="82" t="s">
        <v>89</v>
      </c>
      <c r="C599" s="82"/>
      <c r="D599" s="82"/>
      <c r="E599" s="82"/>
      <c r="F599" s="82"/>
      <c r="G599" s="80">
        <f>G605+G607+G609</f>
        <v>1.52</v>
      </c>
      <c r="H599" s="80">
        <f t="shared" ref="H599:L599" si="279">H605+H607+H609</f>
        <v>0</v>
      </c>
      <c r="I599" s="80">
        <f t="shared" si="279"/>
        <v>0</v>
      </c>
      <c r="J599" s="80">
        <f t="shared" si="279"/>
        <v>0</v>
      </c>
      <c r="K599" s="80">
        <f t="shared" si="279"/>
        <v>1.52</v>
      </c>
      <c r="L599" s="131">
        <f t="shared" si="279"/>
        <v>0</v>
      </c>
      <c r="M599" s="131"/>
      <c r="N599" s="131"/>
      <c r="O599" s="131"/>
      <c r="P599" s="131"/>
      <c r="Q599" s="131">
        <f>Q603+Q605</f>
        <v>1.4</v>
      </c>
      <c r="R599" s="131">
        <f t="shared" ref="R599:T599" si="280">R603+R605</f>
        <v>0</v>
      </c>
      <c r="S599" s="131">
        <f t="shared" si="280"/>
        <v>0</v>
      </c>
      <c r="T599" s="131">
        <f t="shared" si="280"/>
        <v>1.4</v>
      </c>
      <c r="U599" s="131"/>
      <c r="V599" s="131">
        <f t="shared" ref="V599:W599" si="281">V603+V605</f>
        <v>0</v>
      </c>
      <c r="W599" s="131">
        <f t="shared" si="281"/>
        <v>0</v>
      </c>
      <c r="X599" s="167"/>
      <c r="Y599" s="82"/>
      <c r="AT599" s="150"/>
      <c r="AU599" s="150"/>
      <c r="AV599" s="150"/>
      <c r="AW599" s="150"/>
      <c r="AX599" s="150"/>
      <c r="AY599" s="150"/>
      <c r="AZ599" s="150"/>
      <c r="BA599" s="150"/>
      <c r="BB599" s="150"/>
      <c r="BC599" s="150"/>
      <c r="BD599" s="150"/>
      <c r="BE599" s="150"/>
      <c r="BF599" s="150"/>
      <c r="BG599" s="150"/>
      <c r="BH599" s="150"/>
      <c r="BI599" s="150"/>
      <c r="BJ599" s="150"/>
      <c r="BK599" s="150"/>
      <c r="BL599" s="150"/>
      <c r="BM599" s="150"/>
      <c r="BN599" s="150"/>
      <c r="BO599" s="150"/>
      <c r="BP599" s="150"/>
      <c r="BQ599" s="150"/>
      <c r="BR599" s="150"/>
      <c r="BS599" s="150"/>
    </row>
    <row r="600" spans="1:71" ht="24.95" customHeight="1">
      <c r="A600" s="411"/>
      <c r="B600" s="82" t="s">
        <v>272</v>
      </c>
      <c r="C600" s="82"/>
      <c r="D600" s="82"/>
      <c r="E600" s="82"/>
      <c r="F600" s="82"/>
      <c r="G600" s="80">
        <f>G601+G602</f>
        <v>87138.599999999991</v>
      </c>
      <c r="H600" s="80">
        <f t="shared" ref="H600:W600" si="282">H601+H602</f>
        <v>41339.5</v>
      </c>
      <c r="I600" s="80">
        <f t="shared" si="282"/>
        <v>23941.85</v>
      </c>
      <c r="J600" s="80">
        <f t="shared" si="282"/>
        <v>21857.25</v>
      </c>
      <c r="K600" s="80">
        <f t="shared" si="282"/>
        <v>0</v>
      </c>
      <c r="L600" s="131">
        <f t="shared" si="282"/>
        <v>0</v>
      </c>
      <c r="M600" s="131"/>
      <c r="N600" s="131"/>
      <c r="O600" s="131"/>
      <c r="P600" s="131"/>
      <c r="Q600" s="131">
        <f t="shared" si="282"/>
        <v>72843.600000000006</v>
      </c>
      <c r="R600" s="131">
        <f t="shared" si="282"/>
        <v>0</v>
      </c>
      <c r="S600" s="131">
        <f t="shared" si="282"/>
        <v>0</v>
      </c>
      <c r="T600" s="131">
        <f t="shared" si="282"/>
        <v>28000</v>
      </c>
      <c r="U600" s="131">
        <f t="shared" si="282"/>
        <v>44843.6</v>
      </c>
      <c r="V600" s="131">
        <f t="shared" si="282"/>
        <v>34840.699999999997</v>
      </c>
      <c r="W600" s="131">
        <f t="shared" si="282"/>
        <v>0</v>
      </c>
      <c r="X600" s="167"/>
      <c r="Y600" s="82"/>
    </row>
    <row r="601" spans="1:71" ht="23.45" customHeight="1">
      <c r="A601" s="411"/>
      <c r="B601" s="82" t="s">
        <v>285</v>
      </c>
      <c r="C601" s="82"/>
      <c r="D601" s="82"/>
      <c r="E601" s="82"/>
      <c r="F601" s="82"/>
      <c r="G601" s="80">
        <f>G608+G606+G611</f>
        <v>71715.899999999994</v>
      </c>
      <c r="H601" s="80">
        <f t="shared" ref="H601:L601" si="283">H608+H606+H611</f>
        <v>41339.5</v>
      </c>
      <c r="I601" s="80">
        <f t="shared" si="283"/>
        <v>8519.15</v>
      </c>
      <c r="J601" s="80">
        <f t="shared" si="283"/>
        <v>21857.25</v>
      </c>
      <c r="K601" s="80">
        <f t="shared" si="283"/>
        <v>0</v>
      </c>
      <c r="L601" s="131">
        <f t="shared" si="283"/>
        <v>0</v>
      </c>
      <c r="M601" s="131"/>
      <c r="N601" s="131"/>
      <c r="O601" s="131"/>
      <c r="P601" s="131"/>
      <c r="Q601" s="131">
        <f>Q604+Q606</f>
        <v>72843.600000000006</v>
      </c>
      <c r="R601" s="131">
        <f t="shared" ref="R601:U601" si="284">R604+R606</f>
        <v>0</v>
      </c>
      <c r="S601" s="131">
        <f t="shared" si="284"/>
        <v>0</v>
      </c>
      <c r="T601" s="131">
        <f t="shared" si="284"/>
        <v>28000</v>
      </c>
      <c r="U601" s="131">
        <f t="shared" si="284"/>
        <v>44843.6</v>
      </c>
      <c r="V601" s="131">
        <f t="shared" ref="V601:W601" si="285">V604+V606</f>
        <v>34840.699999999997</v>
      </c>
      <c r="W601" s="131">
        <f t="shared" si="285"/>
        <v>0</v>
      </c>
      <c r="X601" s="167"/>
      <c r="Y601" s="82"/>
    </row>
    <row r="602" spans="1:71" ht="24.6" hidden="1" customHeight="1">
      <c r="A602" s="166"/>
      <c r="B602" s="82" t="s">
        <v>286</v>
      </c>
      <c r="C602" s="82"/>
      <c r="D602" s="82"/>
      <c r="E602" s="82"/>
      <c r="F602" s="82"/>
      <c r="G602" s="80">
        <f>G612</f>
        <v>15422.7</v>
      </c>
      <c r="H602" s="80">
        <f t="shared" ref="H602:V602" si="286">H612</f>
        <v>0</v>
      </c>
      <c r="I602" s="80">
        <f t="shared" si="286"/>
        <v>15422.7</v>
      </c>
      <c r="J602" s="80">
        <f t="shared" si="286"/>
        <v>0</v>
      </c>
      <c r="K602" s="80">
        <f t="shared" si="286"/>
        <v>0</v>
      </c>
      <c r="L602" s="131">
        <f t="shared" si="286"/>
        <v>0</v>
      </c>
      <c r="M602" s="131"/>
      <c r="N602" s="131"/>
      <c r="O602" s="131"/>
      <c r="P602" s="131"/>
      <c r="Q602" s="131">
        <f t="shared" si="286"/>
        <v>0</v>
      </c>
      <c r="R602" s="131"/>
      <c r="S602" s="131"/>
      <c r="T602" s="131"/>
      <c r="U602" s="131"/>
      <c r="V602" s="131">
        <f t="shared" si="286"/>
        <v>0</v>
      </c>
      <c r="W602" s="131"/>
      <c r="X602" s="167"/>
      <c r="Y602" s="82"/>
    </row>
    <row r="603" spans="1:71" ht="0.6" customHeight="1">
      <c r="A603" s="451" t="s">
        <v>375</v>
      </c>
      <c r="B603" s="167" t="s">
        <v>89</v>
      </c>
      <c r="C603" s="82"/>
      <c r="D603" s="82"/>
      <c r="E603" s="82"/>
      <c r="F603" s="82"/>
      <c r="G603" s="80"/>
      <c r="H603" s="80"/>
      <c r="I603" s="80"/>
      <c r="J603" s="80"/>
      <c r="K603" s="80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1"/>
      <c r="W603" s="151"/>
      <c r="X603" s="167"/>
      <c r="Y603" s="453" t="s">
        <v>384</v>
      </c>
    </row>
    <row r="604" spans="1:71" ht="24.6" hidden="1" customHeight="1">
      <c r="A604" s="452"/>
      <c r="B604" s="167" t="s">
        <v>284</v>
      </c>
      <c r="C604" s="82"/>
      <c r="D604" s="82"/>
      <c r="E604" s="82"/>
      <c r="F604" s="82"/>
      <c r="G604" s="80"/>
      <c r="H604" s="80"/>
      <c r="I604" s="80"/>
      <c r="J604" s="80"/>
      <c r="K604" s="80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1"/>
      <c r="W604" s="132"/>
      <c r="X604" s="167"/>
      <c r="Y604" s="453"/>
    </row>
    <row r="605" spans="1:71" ht="24.6" customHeight="1">
      <c r="A605" s="455" t="s">
        <v>133</v>
      </c>
      <c r="B605" s="336" t="s">
        <v>89</v>
      </c>
      <c r="C605" s="336">
        <v>176</v>
      </c>
      <c r="D605" s="336" t="s">
        <v>15</v>
      </c>
      <c r="E605" s="336">
        <v>6100404</v>
      </c>
      <c r="F605" s="336">
        <v>243</v>
      </c>
      <c r="G605" s="74">
        <f>SUM(H605:K605)</f>
        <v>1.52</v>
      </c>
      <c r="H605" s="74"/>
      <c r="I605" s="74"/>
      <c r="J605" s="74"/>
      <c r="K605" s="74">
        <v>1.52</v>
      </c>
      <c r="L605" s="132"/>
      <c r="M605" s="132"/>
      <c r="N605" s="132"/>
      <c r="O605" s="132"/>
      <c r="P605" s="132"/>
      <c r="Q605" s="132">
        <f>T605</f>
        <v>1.4</v>
      </c>
      <c r="R605" s="132"/>
      <c r="S605" s="132"/>
      <c r="T605" s="132">
        <v>1.4</v>
      </c>
      <c r="U605" s="132"/>
      <c r="V605" s="132"/>
      <c r="W605" s="132"/>
      <c r="X605" s="167"/>
      <c r="Y605" s="453" t="s">
        <v>644</v>
      </c>
    </row>
    <row r="606" spans="1:71" ht="23.45" customHeight="1">
      <c r="A606" s="455"/>
      <c r="B606" s="336" t="s">
        <v>284</v>
      </c>
      <c r="C606" s="336"/>
      <c r="D606" s="336"/>
      <c r="E606" s="336"/>
      <c r="F606" s="336"/>
      <c r="G606" s="74">
        <f>SUM(H606:K606)</f>
        <v>49866.1</v>
      </c>
      <c r="H606" s="74">
        <v>19489.7</v>
      </c>
      <c r="I606" s="74">
        <v>8519.15</v>
      </c>
      <c r="J606" s="74">
        <f>24009.35-2152.1</f>
        <v>21857.25</v>
      </c>
      <c r="K606" s="74"/>
      <c r="L606" s="132"/>
      <c r="M606" s="132"/>
      <c r="N606" s="132"/>
      <c r="O606" s="132"/>
      <c r="P606" s="132"/>
      <c r="Q606" s="132">
        <f>T606+U606</f>
        <v>72843.600000000006</v>
      </c>
      <c r="R606" s="132"/>
      <c r="S606" s="132"/>
      <c r="T606" s="132">
        <v>28000</v>
      </c>
      <c r="U606" s="132">
        <f>19255.3+19475.2+6113.1</f>
        <v>44843.6</v>
      </c>
      <c r="V606" s="132">
        <f>54096-19255.3</f>
        <v>34840.699999999997</v>
      </c>
      <c r="W606" s="132"/>
      <c r="X606" s="167"/>
      <c r="Y606" s="453"/>
    </row>
    <row r="607" spans="1:71" ht="24.6" hidden="1" customHeight="1">
      <c r="A607" s="455" t="s">
        <v>189</v>
      </c>
      <c r="B607" s="167" t="s">
        <v>89</v>
      </c>
      <c r="C607" s="167">
        <v>176</v>
      </c>
      <c r="D607" s="167" t="s">
        <v>15</v>
      </c>
      <c r="E607" s="167">
        <v>6100404</v>
      </c>
      <c r="F607" s="167">
        <v>243</v>
      </c>
      <c r="G607" s="74">
        <f>SUM(H607:K607)</f>
        <v>0</v>
      </c>
      <c r="H607" s="74"/>
      <c r="I607" s="74"/>
      <c r="J607" s="74">
        <v>0</v>
      </c>
      <c r="K607" s="74"/>
      <c r="L607" s="132">
        <v>0</v>
      </c>
      <c r="M607" s="132"/>
      <c r="N607" s="132"/>
      <c r="O607" s="132"/>
      <c r="P607" s="132"/>
      <c r="Q607" s="132">
        <v>0</v>
      </c>
      <c r="R607" s="132"/>
      <c r="S607" s="132"/>
      <c r="T607" s="132"/>
      <c r="U607" s="132"/>
      <c r="V607" s="132"/>
      <c r="W607" s="132"/>
      <c r="X607" s="167"/>
      <c r="Y607" s="453" t="s">
        <v>243</v>
      </c>
    </row>
    <row r="608" spans="1:71" ht="24" hidden="1" customHeight="1">
      <c r="A608" s="455"/>
      <c r="B608" s="167" t="s">
        <v>284</v>
      </c>
      <c r="C608" s="167"/>
      <c r="D608" s="167"/>
      <c r="E608" s="167"/>
      <c r="F608" s="167"/>
      <c r="G608" s="74">
        <f>SUM(H608:K608)</f>
        <v>21849.8</v>
      </c>
      <c r="H608" s="74">
        <v>21849.8</v>
      </c>
      <c r="I608" s="74"/>
      <c r="J608" s="74"/>
      <c r="K608" s="74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67"/>
      <c r="Y608" s="453"/>
    </row>
    <row r="609" spans="1:71" ht="24.6" hidden="1" customHeight="1">
      <c r="A609" s="455" t="s">
        <v>110</v>
      </c>
      <c r="B609" s="167" t="s">
        <v>89</v>
      </c>
      <c r="C609" s="167"/>
      <c r="D609" s="167"/>
      <c r="E609" s="167"/>
      <c r="F609" s="167"/>
      <c r="G609" s="74"/>
      <c r="H609" s="74"/>
      <c r="I609" s="74"/>
      <c r="J609" s="74"/>
      <c r="K609" s="74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67"/>
      <c r="Y609" s="453" t="s">
        <v>31</v>
      </c>
    </row>
    <row r="610" spans="1:71" s="55" customFormat="1" ht="24.6" hidden="1" customHeight="1">
      <c r="A610" s="455"/>
      <c r="B610" s="167" t="s">
        <v>272</v>
      </c>
      <c r="C610" s="167">
        <v>176</v>
      </c>
      <c r="D610" s="167" t="s">
        <v>15</v>
      </c>
      <c r="E610" s="167">
        <v>6100404</v>
      </c>
      <c r="F610" s="167">
        <v>243</v>
      </c>
      <c r="G610" s="74">
        <f>G611+G612</f>
        <v>15422.7</v>
      </c>
      <c r="H610" s="74">
        <f t="shared" ref="H610:V610" si="287">H611+H612</f>
        <v>0</v>
      </c>
      <c r="I610" s="74">
        <f t="shared" si="287"/>
        <v>15422.7</v>
      </c>
      <c r="J610" s="74">
        <f t="shared" si="287"/>
        <v>0</v>
      </c>
      <c r="K610" s="74">
        <f t="shared" si="287"/>
        <v>0</v>
      </c>
      <c r="L610" s="132">
        <f t="shared" si="287"/>
        <v>0</v>
      </c>
      <c r="M610" s="132"/>
      <c r="N610" s="132"/>
      <c r="O610" s="132"/>
      <c r="P610" s="132"/>
      <c r="Q610" s="132">
        <f t="shared" si="287"/>
        <v>0</v>
      </c>
      <c r="R610" s="132"/>
      <c r="S610" s="132"/>
      <c r="T610" s="132"/>
      <c r="U610" s="132"/>
      <c r="V610" s="132">
        <f t="shared" si="287"/>
        <v>0</v>
      </c>
      <c r="W610" s="132"/>
      <c r="X610" s="167"/>
      <c r="Y610" s="453"/>
      <c r="AT610" s="150"/>
      <c r="AU610" s="150"/>
      <c r="AV610" s="150"/>
      <c r="AW610" s="150"/>
      <c r="AX610" s="150"/>
      <c r="AY610" s="150"/>
      <c r="AZ610" s="150"/>
      <c r="BA610" s="150"/>
      <c r="BB610" s="150"/>
      <c r="BC610" s="150"/>
      <c r="BD610" s="150"/>
      <c r="BE610" s="150"/>
      <c r="BF610" s="150"/>
      <c r="BG610" s="150"/>
      <c r="BH610" s="150"/>
      <c r="BI610" s="150"/>
      <c r="BJ610" s="150"/>
      <c r="BK610" s="150"/>
      <c r="BL610" s="150"/>
      <c r="BM610" s="150"/>
      <c r="BN610" s="150"/>
      <c r="BO610" s="150"/>
      <c r="BP610" s="150"/>
      <c r="BQ610" s="150"/>
      <c r="BR610" s="150"/>
      <c r="BS610" s="150"/>
    </row>
    <row r="611" spans="1:71" s="55" customFormat="1" ht="24.6" hidden="1" customHeight="1">
      <c r="A611" s="455"/>
      <c r="B611" s="167" t="s">
        <v>285</v>
      </c>
      <c r="C611" s="167"/>
      <c r="D611" s="167"/>
      <c r="E611" s="167"/>
      <c r="F611" s="167"/>
      <c r="G611" s="74">
        <f>SUM(H611:K611)</f>
        <v>0</v>
      </c>
      <c r="H611" s="74"/>
      <c r="I611" s="74"/>
      <c r="J611" s="74"/>
      <c r="K611" s="74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67"/>
      <c r="Y611" s="338"/>
      <c r="AT611" s="150"/>
      <c r="AU611" s="150"/>
      <c r="AV611" s="150"/>
      <c r="AW611" s="150"/>
      <c r="AX611" s="150"/>
      <c r="AY611" s="150"/>
      <c r="AZ611" s="150"/>
      <c r="BA611" s="150"/>
      <c r="BB611" s="150"/>
      <c r="BC611" s="150"/>
      <c r="BD611" s="150"/>
      <c r="BE611" s="150"/>
      <c r="BF611" s="150"/>
      <c r="BG611" s="150"/>
      <c r="BH611" s="150"/>
      <c r="BI611" s="150"/>
      <c r="BJ611" s="150"/>
      <c r="BK611" s="150"/>
      <c r="BL611" s="150"/>
      <c r="BM611" s="150"/>
      <c r="BN611" s="150"/>
      <c r="BO611" s="150"/>
      <c r="BP611" s="150"/>
      <c r="BQ611" s="150"/>
      <c r="BR611" s="150"/>
      <c r="BS611" s="150"/>
    </row>
    <row r="612" spans="1:71" ht="24.6" hidden="1" customHeight="1">
      <c r="A612" s="455"/>
      <c r="B612" s="167" t="s">
        <v>286</v>
      </c>
      <c r="C612" s="167"/>
      <c r="D612" s="167"/>
      <c r="E612" s="167"/>
      <c r="F612" s="167"/>
      <c r="G612" s="74">
        <f>SUM(H612:K612)</f>
        <v>15422.7</v>
      </c>
      <c r="H612" s="74"/>
      <c r="I612" s="74">
        <v>15422.7</v>
      </c>
      <c r="J612" s="74"/>
      <c r="K612" s="74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67"/>
      <c r="Y612" s="338"/>
    </row>
    <row r="613" spans="1:71" ht="24.95" customHeight="1">
      <c r="A613" s="461" t="s">
        <v>135</v>
      </c>
      <c r="B613" s="82" t="s">
        <v>89</v>
      </c>
      <c r="C613" s="82"/>
      <c r="D613" s="82"/>
      <c r="E613" s="82"/>
      <c r="F613" s="82"/>
      <c r="G613" s="80">
        <f>G615+G617</f>
        <v>0</v>
      </c>
      <c r="H613" s="80">
        <f t="shared" ref="H613:P614" si="288">H615+H617</f>
        <v>0</v>
      </c>
      <c r="I613" s="80">
        <f t="shared" si="288"/>
        <v>0</v>
      </c>
      <c r="J613" s="80">
        <f t="shared" si="288"/>
        <v>0</v>
      </c>
      <c r="K613" s="80">
        <f t="shared" si="288"/>
        <v>0</v>
      </c>
      <c r="L613" s="131">
        <f t="shared" si="288"/>
        <v>2.8</v>
      </c>
      <c r="M613" s="131">
        <f t="shared" si="288"/>
        <v>2.8</v>
      </c>
      <c r="N613" s="131">
        <f t="shared" si="288"/>
        <v>0</v>
      </c>
      <c r="O613" s="131">
        <f t="shared" si="288"/>
        <v>0</v>
      </c>
      <c r="P613" s="131">
        <f t="shared" si="288"/>
        <v>0</v>
      </c>
      <c r="Q613" s="131">
        <f>Q615+Q617</f>
        <v>0.78</v>
      </c>
      <c r="R613" s="131">
        <f t="shared" ref="R613:T613" si="289">R615+R617</f>
        <v>0</v>
      </c>
      <c r="S613" s="131">
        <f t="shared" si="289"/>
        <v>0</v>
      </c>
      <c r="T613" s="131">
        <f t="shared" si="289"/>
        <v>0.78</v>
      </c>
      <c r="U613" s="131"/>
      <c r="V613" s="131">
        <f t="shared" ref="V613:W613" si="290">V615+V617</f>
        <v>0</v>
      </c>
      <c r="W613" s="131">
        <f t="shared" si="290"/>
        <v>0</v>
      </c>
      <c r="X613" s="167"/>
      <c r="Y613" s="82"/>
    </row>
    <row r="614" spans="1:71" ht="26.45" customHeight="1">
      <c r="A614" s="461"/>
      <c r="B614" s="82" t="s">
        <v>284</v>
      </c>
      <c r="C614" s="82"/>
      <c r="D614" s="82"/>
      <c r="E614" s="82"/>
      <c r="F614" s="82"/>
      <c r="G614" s="80">
        <f>G616+G618</f>
        <v>0</v>
      </c>
      <c r="H614" s="80">
        <f t="shared" si="288"/>
        <v>0</v>
      </c>
      <c r="I614" s="80">
        <f t="shared" si="288"/>
        <v>0</v>
      </c>
      <c r="J614" s="80">
        <f t="shared" si="288"/>
        <v>0</v>
      </c>
      <c r="K614" s="80">
        <f t="shared" si="288"/>
        <v>0</v>
      </c>
      <c r="L614" s="131">
        <f t="shared" si="288"/>
        <v>18951.599999999999</v>
      </c>
      <c r="M614" s="131">
        <f t="shared" si="288"/>
        <v>18951.599999999999</v>
      </c>
      <c r="N614" s="131">
        <f t="shared" si="288"/>
        <v>0</v>
      </c>
      <c r="O614" s="131">
        <f t="shared" si="288"/>
        <v>0</v>
      </c>
      <c r="P614" s="131">
        <f t="shared" si="288"/>
        <v>0</v>
      </c>
      <c r="Q614" s="131">
        <f>Q616+Q618</f>
        <v>29896.400000000001</v>
      </c>
      <c r="R614" s="131">
        <f t="shared" ref="R614:U614" si="291">R616+R618</f>
        <v>0</v>
      </c>
      <c r="S614" s="131">
        <f t="shared" si="291"/>
        <v>0</v>
      </c>
      <c r="T614" s="131">
        <f t="shared" si="291"/>
        <v>29896.400000000001</v>
      </c>
      <c r="U614" s="131">
        <f t="shared" si="291"/>
        <v>0</v>
      </c>
      <c r="V614" s="131">
        <f t="shared" ref="V614:W614" si="292">V616+V618</f>
        <v>0</v>
      </c>
      <c r="W614" s="131">
        <f t="shared" si="292"/>
        <v>0</v>
      </c>
      <c r="X614" s="167"/>
      <c r="Y614" s="82"/>
    </row>
    <row r="615" spans="1:71" ht="26.45" customHeight="1">
      <c r="A615" s="484" t="s">
        <v>376</v>
      </c>
      <c r="B615" s="167" t="s">
        <v>89</v>
      </c>
      <c r="C615" s="167">
        <v>176</v>
      </c>
      <c r="D615" s="167" t="s">
        <v>15</v>
      </c>
      <c r="E615" s="167">
        <v>6100404</v>
      </c>
      <c r="F615" s="167">
        <v>243</v>
      </c>
      <c r="G615" s="74">
        <v>0</v>
      </c>
      <c r="H615" s="74">
        <v>0</v>
      </c>
      <c r="I615" s="74"/>
      <c r="J615" s="74">
        <v>0</v>
      </c>
      <c r="K615" s="74">
        <v>0</v>
      </c>
      <c r="L615" s="132">
        <v>2.8</v>
      </c>
      <c r="M615" s="132">
        <v>2.8</v>
      </c>
      <c r="N615" s="132"/>
      <c r="O615" s="132"/>
      <c r="P615" s="132"/>
      <c r="Q615" s="132">
        <f>T615</f>
        <v>0.78</v>
      </c>
      <c r="R615" s="132"/>
      <c r="S615" s="132"/>
      <c r="T615" s="132">
        <f>0.78</f>
        <v>0.78</v>
      </c>
      <c r="U615" s="132"/>
      <c r="V615" s="132"/>
      <c r="W615" s="132"/>
      <c r="X615" s="167"/>
      <c r="Y615" s="453" t="s">
        <v>266</v>
      </c>
    </row>
    <row r="616" spans="1:71" s="55" customFormat="1" ht="26.45" customHeight="1">
      <c r="A616" s="485"/>
      <c r="B616" s="167" t="s">
        <v>284</v>
      </c>
      <c r="C616" s="167"/>
      <c r="D616" s="167"/>
      <c r="E616" s="167"/>
      <c r="F616" s="167"/>
      <c r="G616" s="74"/>
      <c r="H616" s="74"/>
      <c r="I616" s="74"/>
      <c r="J616" s="74"/>
      <c r="K616" s="74"/>
      <c r="L616" s="132">
        <f>19930.8-979.2</f>
        <v>18951.599999999999</v>
      </c>
      <c r="M616" s="132">
        <v>18951.599999999999</v>
      </c>
      <c r="N616" s="132"/>
      <c r="O616" s="132"/>
      <c r="P616" s="132"/>
      <c r="Q616" s="132">
        <f>T616</f>
        <v>24750</v>
      </c>
      <c r="R616" s="132"/>
      <c r="S616" s="132"/>
      <c r="T616" s="132">
        <f>30000-734-1516-3000</f>
        <v>24750</v>
      </c>
      <c r="U616" s="132"/>
      <c r="V616" s="132">
        <f>15000-15000</f>
        <v>0</v>
      </c>
      <c r="W616" s="132"/>
      <c r="X616" s="167"/>
      <c r="Y616" s="453"/>
      <c r="AT616" s="150"/>
      <c r="AU616" s="150"/>
      <c r="AV616" s="150"/>
      <c r="AW616" s="150"/>
      <c r="AX616" s="150"/>
      <c r="AY616" s="150"/>
      <c r="AZ616" s="150"/>
      <c r="BA616" s="150"/>
      <c r="BB616" s="150"/>
      <c r="BC616" s="150"/>
      <c r="BD616" s="150"/>
      <c r="BE616" s="150"/>
      <c r="BF616" s="150"/>
      <c r="BG616" s="150"/>
      <c r="BH616" s="150"/>
      <c r="BI616" s="150"/>
      <c r="BJ616" s="150"/>
      <c r="BK616" s="150"/>
      <c r="BL616" s="150"/>
      <c r="BM616" s="150"/>
      <c r="BN616" s="150"/>
      <c r="BO616" s="150"/>
      <c r="BP616" s="150"/>
      <c r="BQ616" s="150"/>
      <c r="BR616" s="150"/>
      <c r="BS616" s="150"/>
    </row>
    <row r="617" spans="1:71" s="55" customFormat="1" ht="22.9" customHeight="1">
      <c r="A617" s="451" t="s">
        <v>110</v>
      </c>
      <c r="B617" s="167" t="s">
        <v>89</v>
      </c>
      <c r="C617" s="167">
        <v>176</v>
      </c>
      <c r="D617" s="167" t="s">
        <v>15</v>
      </c>
      <c r="E617" s="167">
        <v>6100404</v>
      </c>
      <c r="F617" s="167">
        <v>243</v>
      </c>
      <c r="G617" s="74">
        <v>0</v>
      </c>
      <c r="H617" s="74">
        <v>0</v>
      </c>
      <c r="I617" s="74">
        <v>0</v>
      </c>
      <c r="J617" s="74">
        <v>0</v>
      </c>
      <c r="K617" s="74">
        <v>0</v>
      </c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67"/>
      <c r="Y617" s="453" t="s">
        <v>343</v>
      </c>
      <c r="AT617" s="150"/>
      <c r="AU617" s="150"/>
      <c r="AV617" s="150"/>
      <c r="AW617" s="150"/>
      <c r="AX617" s="150"/>
      <c r="AY617" s="150"/>
      <c r="AZ617" s="150"/>
      <c r="BA617" s="150"/>
      <c r="BB617" s="150"/>
      <c r="BC617" s="150"/>
      <c r="BD617" s="150"/>
      <c r="BE617" s="150"/>
      <c r="BF617" s="150"/>
      <c r="BG617" s="150"/>
      <c r="BH617" s="150"/>
      <c r="BI617" s="150"/>
      <c r="BJ617" s="150"/>
      <c r="BK617" s="150"/>
      <c r="BL617" s="150"/>
      <c r="BM617" s="150"/>
      <c r="BN617" s="150"/>
      <c r="BO617" s="150"/>
      <c r="BP617" s="150"/>
      <c r="BQ617" s="150"/>
      <c r="BR617" s="150"/>
      <c r="BS617" s="150"/>
    </row>
    <row r="618" spans="1:71" ht="24.6" customHeight="1">
      <c r="A618" s="452"/>
      <c r="B618" s="167" t="s">
        <v>284</v>
      </c>
      <c r="C618" s="167"/>
      <c r="D618" s="167"/>
      <c r="E618" s="167"/>
      <c r="F618" s="167"/>
      <c r="G618" s="74"/>
      <c r="H618" s="74"/>
      <c r="I618" s="74"/>
      <c r="J618" s="74"/>
      <c r="K618" s="74"/>
      <c r="L618" s="132"/>
      <c r="M618" s="132"/>
      <c r="N618" s="132"/>
      <c r="O618" s="132"/>
      <c r="P618" s="132"/>
      <c r="Q618" s="132">
        <f>T618</f>
        <v>5146.3999999999996</v>
      </c>
      <c r="R618" s="132"/>
      <c r="S618" s="132"/>
      <c r="T618" s="132">
        <f>5228.9-82.5</f>
        <v>5146.3999999999996</v>
      </c>
      <c r="U618" s="132"/>
      <c r="V618" s="132"/>
      <c r="W618" s="132"/>
      <c r="X618" s="167"/>
      <c r="Y618" s="453"/>
    </row>
    <row r="619" spans="1:71" ht="24.6" customHeight="1">
      <c r="A619" s="461" t="s">
        <v>103</v>
      </c>
      <c r="B619" s="82" t="s">
        <v>89</v>
      </c>
      <c r="C619" s="82"/>
      <c r="D619" s="82"/>
      <c r="E619" s="82"/>
      <c r="F619" s="82"/>
      <c r="G619" s="80">
        <f t="shared" ref="G619:L619" si="293">G625+G635</f>
        <v>0</v>
      </c>
      <c r="H619" s="80">
        <f t="shared" si="293"/>
        <v>0</v>
      </c>
      <c r="I619" s="80">
        <f t="shared" si="293"/>
        <v>0</v>
      </c>
      <c r="J619" s="80">
        <f t="shared" si="293"/>
        <v>0</v>
      </c>
      <c r="K619" s="80">
        <f t="shared" si="293"/>
        <v>0.91900000000000004</v>
      </c>
      <c r="L619" s="131">
        <f t="shared" si="293"/>
        <v>0</v>
      </c>
      <c r="M619" s="131"/>
      <c r="N619" s="131"/>
      <c r="O619" s="131"/>
      <c r="P619" s="131"/>
      <c r="Q619" s="131">
        <f>Q627+Q631</f>
        <v>6.1870000000000003</v>
      </c>
      <c r="R619" s="131">
        <f t="shared" ref="R619:U619" si="294">R627+R631</f>
        <v>0</v>
      </c>
      <c r="S619" s="131">
        <f t="shared" si="294"/>
        <v>0</v>
      </c>
      <c r="T619" s="131">
        <f t="shared" si="294"/>
        <v>1.1870000000000001</v>
      </c>
      <c r="U619" s="131">
        <f t="shared" si="294"/>
        <v>5</v>
      </c>
      <c r="V619" s="131">
        <f t="shared" ref="V619:W619" si="295">V627+V631</f>
        <v>0</v>
      </c>
      <c r="W619" s="131">
        <f t="shared" si="295"/>
        <v>0</v>
      </c>
      <c r="X619" s="167"/>
      <c r="Y619" s="82"/>
    </row>
    <row r="620" spans="1:71" ht="24.6" customHeight="1">
      <c r="A620" s="461"/>
      <c r="B620" s="82" t="s">
        <v>284</v>
      </c>
      <c r="C620" s="82"/>
      <c r="D620" s="82"/>
      <c r="E620" s="82"/>
      <c r="F620" s="82"/>
      <c r="G620" s="80"/>
      <c r="H620" s="80"/>
      <c r="I620" s="80"/>
      <c r="J620" s="80"/>
      <c r="K620" s="80"/>
      <c r="L620" s="131"/>
      <c r="M620" s="131"/>
      <c r="N620" s="131"/>
      <c r="O620" s="131"/>
      <c r="P620" s="131"/>
      <c r="Q620" s="131">
        <f>Q621+Q622</f>
        <v>272352.01072999998</v>
      </c>
      <c r="R620" s="131">
        <f t="shared" ref="R620:U620" si="296">R621+R622</f>
        <v>0</v>
      </c>
      <c r="S620" s="131">
        <f t="shared" si="296"/>
        <v>0</v>
      </c>
      <c r="T620" s="131">
        <f t="shared" si="296"/>
        <v>186954.3</v>
      </c>
      <c r="U620" s="131">
        <f t="shared" si="296"/>
        <v>85397.710730000021</v>
      </c>
      <c r="V620" s="131">
        <f t="shared" ref="V620:W620" si="297">V621+V622</f>
        <v>0</v>
      </c>
      <c r="W620" s="131">
        <f t="shared" si="297"/>
        <v>0</v>
      </c>
      <c r="X620" s="167"/>
      <c r="Y620" s="82"/>
    </row>
    <row r="621" spans="1:71" ht="24" customHeight="1">
      <c r="A621" s="461"/>
      <c r="B621" s="82" t="s">
        <v>410</v>
      </c>
      <c r="C621" s="82"/>
      <c r="D621" s="82"/>
      <c r="E621" s="82"/>
      <c r="F621" s="82"/>
      <c r="G621" s="80"/>
      <c r="H621" s="80"/>
      <c r="I621" s="80"/>
      <c r="J621" s="80"/>
      <c r="K621" s="80"/>
      <c r="L621" s="131"/>
      <c r="M621" s="131"/>
      <c r="N621" s="131"/>
      <c r="O621" s="131"/>
      <c r="P621" s="131"/>
      <c r="Q621" s="131">
        <f>Q629+Q633+Q636</f>
        <v>135502.01073000001</v>
      </c>
      <c r="R621" s="131">
        <f t="shared" ref="R621:U621" si="298">R629+R633+R636</f>
        <v>0</v>
      </c>
      <c r="S621" s="131">
        <f t="shared" si="298"/>
        <v>0</v>
      </c>
      <c r="T621" s="131">
        <f t="shared" si="298"/>
        <v>65104.3</v>
      </c>
      <c r="U621" s="131">
        <f t="shared" si="298"/>
        <v>70397.710730000021</v>
      </c>
      <c r="V621" s="131">
        <f t="shared" ref="V621" si="299">V629+V633</f>
        <v>0</v>
      </c>
      <c r="W621" s="131"/>
      <c r="X621" s="167"/>
      <c r="Y621" s="82"/>
    </row>
    <row r="622" spans="1:71" ht="24.6" customHeight="1">
      <c r="A622" s="461"/>
      <c r="B622" s="82" t="s">
        <v>467</v>
      </c>
      <c r="C622" s="82"/>
      <c r="D622" s="82"/>
      <c r="E622" s="82"/>
      <c r="F622" s="82"/>
      <c r="G622" s="80">
        <f t="shared" ref="G622:L622" si="300">G626+G636</f>
        <v>6604.5</v>
      </c>
      <c r="H622" s="80">
        <f t="shared" si="300"/>
        <v>5457.8</v>
      </c>
      <c r="I622" s="80">
        <f t="shared" si="300"/>
        <v>0</v>
      </c>
      <c r="J622" s="80">
        <f t="shared" si="300"/>
        <v>1146.6999999999998</v>
      </c>
      <c r="K622" s="80">
        <f t="shared" si="300"/>
        <v>0</v>
      </c>
      <c r="L622" s="131">
        <f t="shared" si="300"/>
        <v>0</v>
      </c>
      <c r="M622" s="131"/>
      <c r="N622" s="131"/>
      <c r="O622" s="131"/>
      <c r="P622" s="131"/>
      <c r="Q622" s="131">
        <f>Q630+Q634</f>
        <v>136850</v>
      </c>
      <c r="R622" s="131">
        <f t="shared" ref="R622:U622" si="301">R630+R634</f>
        <v>0</v>
      </c>
      <c r="S622" s="131">
        <f t="shared" si="301"/>
        <v>0</v>
      </c>
      <c r="T622" s="131">
        <f t="shared" si="301"/>
        <v>121850</v>
      </c>
      <c r="U622" s="131">
        <f t="shared" si="301"/>
        <v>15000</v>
      </c>
      <c r="V622" s="131">
        <f t="shared" ref="V622:W622" si="302">V630+V634</f>
        <v>0</v>
      </c>
      <c r="W622" s="131">
        <f t="shared" si="302"/>
        <v>0</v>
      </c>
      <c r="X622" s="167"/>
      <c r="Y622" s="82"/>
    </row>
    <row r="623" spans="1:71" ht="24.6" hidden="1" customHeight="1">
      <c r="A623" s="172" t="s">
        <v>136</v>
      </c>
      <c r="B623" s="167" t="s">
        <v>89</v>
      </c>
      <c r="C623" s="167">
        <v>176</v>
      </c>
      <c r="D623" s="167" t="s">
        <v>15</v>
      </c>
      <c r="E623" s="167">
        <v>6100404</v>
      </c>
      <c r="F623" s="167">
        <v>243</v>
      </c>
      <c r="G623" s="74">
        <v>0</v>
      </c>
      <c r="H623" s="74">
        <v>0</v>
      </c>
      <c r="I623" s="74">
        <v>0</v>
      </c>
      <c r="J623" s="74">
        <v>0</v>
      </c>
      <c r="K623" s="74">
        <v>0</v>
      </c>
      <c r="L623" s="132">
        <v>0</v>
      </c>
      <c r="M623" s="132"/>
      <c r="N623" s="132"/>
      <c r="O623" s="132"/>
      <c r="P623" s="132"/>
      <c r="Q623" s="132">
        <v>0</v>
      </c>
      <c r="R623" s="132"/>
      <c r="S623" s="132"/>
      <c r="T623" s="132"/>
      <c r="U623" s="132"/>
      <c r="V623" s="132"/>
      <c r="W623" s="132"/>
      <c r="X623" s="167"/>
      <c r="Y623" s="338"/>
    </row>
    <row r="624" spans="1:71" ht="24.6" hidden="1" customHeight="1">
      <c r="A624" s="172"/>
      <c r="B624" s="167" t="s">
        <v>284</v>
      </c>
      <c r="C624" s="167"/>
      <c r="D624" s="167"/>
      <c r="E624" s="167"/>
      <c r="F624" s="167"/>
      <c r="G624" s="74"/>
      <c r="H624" s="74"/>
      <c r="I624" s="74"/>
      <c r="J624" s="74"/>
      <c r="K624" s="74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67"/>
      <c r="Y624" s="338"/>
    </row>
    <row r="625" spans="1:71" ht="15" hidden="1" customHeight="1">
      <c r="A625" s="455" t="s">
        <v>188</v>
      </c>
      <c r="B625" s="167" t="s">
        <v>89</v>
      </c>
      <c r="C625" s="167">
        <v>176</v>
      </c>
      <c r="D625" s="167" t="s">
        <v>15</v>
      </c>
      <c r="E625" s="167">
        <v>6100404</v>
      </c>
      <c r="F625" s="167">
        <v>243</v>
      </c>
      <c r="G625" s="74"/>
      <c r="H625" s="74"/>
      <c r="I625" s="74"/>
      <c r="J625" s="74"/>
      <c r="K625" s="74">
        <v>0.91900000000000004</v>
      </c>
      <c r="L625" s="132">
        <v>0</v>
      </c>
      <c r="M625" s="132"/>
      <c r="N625" s="132"/>
      <c r="O625" s="132"/>
      <c r="P625" s="132"/>
      <c r="Q625" s="132">
        <v>0</v>
      </c>
      <c r="R625" s="132"/>
      <c r="S625" s="132"/>
      <c r="T625" s="132"/>
      <c r="U625" s="132"/>
      <c r="V625" s="132"/>
      <c r="W625" s="132"/>
      <c r="X625" s="167"/>
      <c r="Y625" s="453" t="s">
        <v>241</v>
      </c>
    </row>
    <row r="626" spans="1:71" ht="20.45" hidden="1" customHeight="1">
      <c r="A626" s="455"/>
      <c r="B626" s="167" t="s">
        <v>284</v>
      </c>
      <c r="C626" s="167"/>
      <c r="D626" s="167"/>
      <c r="E626" s="167"/>
      <c r="F626" s="167"/>
      <c r="G626" s="74">
        <v>6604.5</v>
      </c>
      <c r="H626" s="74">
        <v>5457.8</v>
      </c>
      <c r="I626" s="74"/>
      <c r="J626" s="74">
        <v>1146.6999999999998</v>
      </c>
      <c r="K626" s="74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67"/>
      <c r="Y626" s="453"/>
    </row>
    <row r="627" spans="1:71" ht="22.9" customHeight="1">
      <c r="A627" s="451" t="s">
        <v>187</v>
      </c>
      <c r="B627" s="167" t="s">
        <v>89</v>
      </c>
      <c r="C627" s="167">
        <v>176</v>
      </c>
      <c r="D627" s="167" t="s">
        <v>15</v>
      </c>
      <c r="E627" s="167">
        <v>6100404</v>
      </c>
      <c r="F627" s="167">
        <v>243</v>
      </c>
      <c r="G627" s="74">
        <v>0</v>
      </c>
      <c r="H627" s="74">
        <v>0</v>
      </c>
      <c r="I627" s="74">
        <v>0</v>
      </c>
      <c r="J627" s="74">
        <v>0</v>
      </c>
      <c r="K627" s="74">
        <v>0</v>
      </c>
      <c r="L627" s="132">
        <v>0</v>
      </c>
      <c r="M627" s="132"/>
      <c r="N627" s="132"/>
      <c r="O627" s="132"/>
      <c r="P627" s="132"/>
      <c r="Q627" s="132">
        <v>5</v>
      </c>
      <c r="R627" s="132"/>
      <c r="S627" s="132"/>
      <c r="T627" s="132"/>
      <c r="U627" s="132">
        <v>5</v>
      </c>
      <c r="V627" s="132"/>
      <c r="W627" s="132"/>
      <c r="X627" s="167"/>
      <c r="Y627" s="453" t="s">
        <v>469</v>
      </c>
    </row>
    <row r="628" spans="1:71" ht="22.9" customHeight="1">
      <c r="A628" s="454"/>
      <c r="B628" s="252" t="s">
        <v>468</v>
      </c>
      <c r="C628" s="252"/>
      <c r="D628" s="252"/>
      <c r="E628" s="252"/>
      <c r="F628" s="252"/>
      <c r="G628" s="74"/>
      <c r="H628" s="74"/>
      <c r="I628" s="74"/>
      <c r="J628" s="74"/>
      <c r="K628" s="74"/>
      <c r="L628" s="132"/>
      <c r="M628" s="132"/>
      <c r="N628" s="132"/>
      <c r="O628" s="132"/>
      <c r="P628" s="132"/>
      <c r="Q628" s="132">
        <f>Q629+Q630</f>
        <v>214881.40000000002</v>
      </c>
      <c r="R628" s="132"/>
      <c r="S628" s="132"/>
      <c r="T628" s="132">
        <f>T629+T630</f>
        <v>141610</v>
      </c>
      <c r="U628" s="132">
        <f>U629+U630</f>
        <v>73271.400000000009</v>
      </c>
      <c r="V628" s="132"/>
      <c r="W628" s="132"/>
      <c r="X628" s="345"/>
      <c r="Y628" s="453"/>
    </row>
    <row r="629" spans="1:71" ht="20.45" customHeight="1">
      <c r="A629" s="454"/>
      <c r="B629" s="252" t="s">
        <v>410</v>
      </c>
      <c r="C629" s="252"/>
      <c r="D629" s="252"/>
      <c r="E629" s="252"/>
      <c r="F629" s="252"/>
      <c r="G629" s="74"/>
      <c r="H629" s="74"/>
      <c r="I629" s="74"/>
      <c r="J629" s="74"/>
      <c r="K629" s="74"/>
      <c r="L629" s="132"/>
      <c r="M629" s="132"/>
      <c r="N629" s="132"/>
      <c r="O629" s="132"/>
      <c r="P629" s="132"/>
      <c r="Q629" s="132">
        <f>T629+U629</f>
        <v>109136.08919000001</v>
      </c>
      <c r="R629" s="132"/>
      <c r="S629" s="132"/>
      <c r="T629" s="132">
        <v>38760</v>
      </c>
      <c r="U629" s="132">
        <f>70600-1959.4+4654-23.2-2895.31081</f>
        <v>70376.089190000013</v>
      </c>
      <c r="V629" s="132"/>
      <c r="W629" s="132"/>
      <c r="X629" s="345"/>
      <c r="Y629" s="453"/>
    </row>
    <row r="630" spans="1:71" ht="29.45" customHeight="1">
      <c r="A630" s="452"/>
      <c r="B630" s="167" t="s">
        <v>467</v>
      </c>
      <c r="C630" s="167"/>
      <c r="D630" s="167"/>
      <c r="E630" s="167"/>
      <c r="F630" s="167"/>
      <c r="G630" s="74"/>
      <c r="H630" s="74"/>
      <c r="I630" s="74"/>
      <c r="J630" s="74"/>
      <c r="K630" s="74"/>
      <c r="L630" s="132"/>
      <c r="M630" s="132"/>
      <c r="N630" s="132"/>
      <c r="O630" s="132"/>
      <c r="P630" s="132"/>
      <c r="Q630" s="132">
        <f>R630+S630+T630+U630</f>
        <v>105745.31081</v>
      </c>
      <c r="R630" s="132"/>
      <c r="S630" s="132"/>
      <c r="T630" s="132">
        <v>102850</v>
      </c>
      <c r="U630" s="132">
        <v>2895.3108099999999</v>
      </c>
      <c r="V630" s="132"/>
      <c r="W630" s="132"/>
      <c r="X630" s="345"/>
      <c r="Y630" s="453"/>
    </row>
    <row r="631" spans="1:71" ht="23.45" customHeight="1">
      <c r="A631" s="451" t="s">
        <v>377</v>
      </c>
      <c r="B631" s="167" t="s">
        <v>89</v>
      </c>
      <c r="C631" s="167">
        <v>176</v>
      </c>
      <c r="D631" s="167" t="s">
        <v>15</v>
      </c>
      <c r="E631" s="167">
        <v>6100404</v>
      </c>
      <c r="F631" s="167">
        <v>243</v>
      </c>
      <c r="G631" s="74">
        <v>0</v>
      </c>
      <c r="H631" s="74">
        <v>0</v>
      </c>
      <c r="I631" s="74">
        <v>0</v>
      </c>
      <c r="J631" s="74">
        <v>0</v>
      </c>
      <c r="K631" s="74">
        <v>0</v>
      </c>
      <c r="L631" s="132">
        <v>0</v>
      </c>
      <c r="M631" s="132"/>
      <c r="N631" s="132"/>
      <c r="O631" s="132"/>
      <c r="P631" s="132"/>
      <c r="Q631" s="132">
        <f>T631</f>
        <v>1.1870000000000001</v>
      </c>
      <c r="R631" s="132"/>
      <c r="S631" s="132"/>
      <c r="T631" s="132">
        <f>1.187</f>
        <v>1.1870000000000001</v>
      </c>
      <c r="U631" s="132"/>
      <c r="V631" s="132">
        <v>0</v>
      </c>
      <c r="W631" s="132"/>
      <c r="X631" s="345"/>
      <c r="Y631" s="453" t="s">
        <v>505</v>
      </c>
    </row>
    <row r="632" spans="1:71" ht="23.45" customHeight="1">
      <c r="A632" s="454"/>
      <c r="B632" s="167" t="s">
        <v>468</v>
      </c>
      <c r="C632" s="167"/>
      <c r="D632" s="167"/>
      <c r="E632" s="167"/>
      <c r="F632" s="167"/>
      <c r="G632" s="74"/>
      <c r="H632" s="74"/>
      <c r="I632" s="74"/>
      <c r="J632" s="74"/>
      <c r="K632" s="74"/>
      <c r="L632" s="132"/>
      <c r="M632" s="132"/>
      <c r="N632" s="132"/>
      <c r="O632" s="132"/>
      <c r="P632" s="132"/>
      <c r="Q632" s="132">
        <f>Q633+Q634</f>
        <v>57470.61073</v>
      </c>
      <c r="R632" s="132"/>
      <c r="S632" s="132"/>
      <c r="T632" s="132">
        <f>T633+T634</f>
        <v>45344.3</v>
      </c>
      <c r="U632" s="132">
        <f>U633+U634</f>
        <v>12126.310730000001</v>
      </c>
      <c r="V632" s="132">
        <f>V633+V634</f>
        <v>0</v>
      </c>
      <c r="W632" s="132"/>
      <c r="X632" s="345"/>
      <c r="Y632" s="453"/>
    </row>
    <row r="633" spans="1:71" ht="23.45" customHeight="1">
      <c r="A633" s="454"/>
      <c r="B633" s="167" t="s">
        <v>410</v>
      </c>
      <c r="C633" s="167"/>
      <c r="D633" s="167"/>
      <c r="E633" s="167"/>
      <c r="F633" s="167"/>
      <c r="G633" s="74"/>
      <c r="H633" s="74"/>
      <c r="I633" s="74"/>
      <c r="J633" s="74"/>
      <c r="K633" s="74"/>
      <c r="L633" s="132"/>
      <c r="M633" s="132"/>
      <c r="N633" s="132"/>
      <c r="O633" s="132"/>
      <c r="P633" s="132"/>
      <c r="Q633" s="132">
        <f>R633+S633+T633+U633</f>
        <v>26365.921539999999</v>
      </c>
      <c r="R633" s="132"/>
      <c r="S633" s="132"/>
      <c r="T633" s="132">
        <f>26658.6+13560+496-544-13826.3</f>
        <v>26344.3</v>
      </c>
      <c r="U633" s="132">
        <f>1721.62154-1700</f>
        <v>21.621540000000095</v>
      </c>
      <c r="V633" s="132">
        <f>14200-14200</f>
        <v>0</v>
      </c>
      <c r="W633" s="344"/>
      <c r="X633" s="345"/>
      <c r="Y633" s="453"/>
    </row>
    <row r="634" spans="1:71" s="55" customFormat="1" ht="22.9" customHeight="1">
      <c r="A634" s="452"/>
      <c r="B634" s="167" t="s">
        <v>467</v>
      </c>
      <c r="C634" s="167"/>
      <c r="D634" s="167"/>
      <c r="E634" s="167"/>
      <c r="F634" s="167"/>
      <c r="G634" s="74"/>
      <c r="H634" s="74"/>
      <c r="I634" s="74"/>
      <c r="J634" s="74"/>
      <c r="K634" s="74"/>
      <c r="L634" s="132"/>
      <c r="M634" s="132"/>
      <c r="N634" s="132"/>
      <c r="O634" s="132"/>
      <c r="P634" s="132"/>
      <c r="Q634" s="132">
        <f>R634+S634+T634+U634</f>
        <v>31104.689190000001</v>
      </c>
      <c r="R634" s="132"/>
      <c r="S634" s="132"/>
      <c r="T634" s="132">
        <f>19000</f>
        <v>19000</v>
      </c>
      <c r="U634" s="132">
        <f>6991.4+5113.28919</f>
        <v>12104.689190000001</v>
      </c>
      <c r="V634" s="132"/>
      <c r="W634" s="132"/>
      <c r="X634" s="167"/>
      <c r="Y634" s="453"/>
      <c r="AT634" s="150"/>
      <c r="AU634" s="150"/>
      <c r="AV634" s="150"/>
      <c r="AW634" s="150"/>
      <c r="AX634" s="150"/>
      <c r="AY634" s="150"/>
      <c r="AZ634" s="150"/>
      <c r="BA634" s="150"/>
      <c r="BB634" s="150"/>
      <c r="BC634" s="150"/>
      <c r="BD634" s="150"/>
      <c r="BE634" s="150"/>
      <c r="BF634" s="150"/>
      <c r="BG634" s="150"/>
      <c r="BH634" s="150"/>
      <c r="BI634" s="150"/>
      <c r="BJ634" s="150"/>
      <c r="BK634" s="150"/>
      <c r="BL634" s="150"/>
      <c r="BM634" s="150"/>
      <c r="BN634" s="150"/>
      <c r="BO634" s="150"/>
      <c r="BP634" s="150"/>
      <c r="BQ634" s="150"/>
      <c r="BR634" s="150"/>
      <c r="BS634" s="150"/>
    </row>
    <row r="635" spans="1:71" s="55" customFormat="1" ht="33" hidden="1" customHeight="1">
      <c r="A635" s="483" t="s">
        <v>584</v>
      </c>
      <c r="B635" s="347" t="s">
        <v>89</v>
      </c>
      <c r="C635" s="347">
        <v>176</v>
      </c>
      <c r="D635" s="347" t="s">
        <v>15</v>
      </c>
      <c r="E635" s="347">
        <v>6100404</v>
      </c>
      <c r="F635" s="347">
        <v>243</v>
      </c>
      <c r="G635" s="348">
        <v>0</v>
      </c>
      <c r="H635" s="348">
        <v>0</v>
      </c>
      <c r="I635" s="348">
        <v>0</v>
      </c>
      <c r="J635" s="348">
        <v>0</v>
      </c>
      <c r="K635" s="348">
        <v>0</v>
      </c>
      <c r="L635" s="349">
        <v>0</v>
      </c>
      <c r="M635" s="349"/>
      <c r="N635" s="349"/>
      <c r="O635" s="349"/>
      <c r="P635" s="349"/>
      <c r="Q635" s="349"/>
      <c r="R635" s="349"/>
      <c r="S635" s="349"/>
      <c r="T635" s="349"/>
      <c r="U635" s="349"/>
      <c r="V635" s="349"/>
      <c r="W635" s="349"/>
      <c r="X635" s="347"/>
      <c r="Y635" s="459" t="s">
        <v>596</v>
      </c>
      <c r="AT635" s="150"/>
      <c r="AU635" s="150"/>
      <c r="AV635" s="150"/>
      <c r="AW635" s="150"/>
      <c r="AX635" s="150"/>
      <c r="AY635" s="150"/>
      <c r="AZ635" s="150"/>
      <c r="BA635" s="150"/>
      <c r="BB635" s="150"/>
      <c r="BC635" s="150"/>
      <c r="BD635" s="150"/>
      <c r="BE635" s="150"/>
      <c r="BF635" s="150"/>
      <c r="BG635" s="150"/>
      <c r="BH635" s="150"/>
      <c r="BI635" s="150"/>
      <c r="BJ635" s="150"/>
      <c r="BK635" s="150"/>
      <c r="BL635" s="150"/>
      <c r="BM635" s="150"/>
      <c r="BN635" s="150"/>
      <c r="BO635" s="150"/>
      <c r="BP635" s="150"/>
      <c r="BQ635" s="150"/>
      <c r="BR635" s="150"/>
      <c r="BS635" s="150"/>
    </row>
    <row r="636" spans="1:71" ht="24.6" hidden="1" customHeight="1">
      <c r="A636" s="483"/>
      <c r="B636" s="347" t="s">
        <v>284</v>
      </c>
      <c r="C636" s="347"/>
      <c r="D636" s="347"/>
      <c r="E636" s="347"/>
      <c r="F636" s="347"/>
      <c r="G636" s="348"/>
      <c r="H636" s="348"/>
      <c r="I636" s="348"/>
      <c r="J636" s="348"/>
      <c r="K636" s="348"/>
      <c r="L636" s="349"/>
      <c r="M636" s="349"/>
      <c r="N636" s="349"/>
      <c r="O636" s="349"/>
      <c r="P636" s="349"/>
      <c r="Q636" s="349">
        <f>U636</f>
        <v>0</v>
      </c>
      <c r="R636" s="349"/>
      <c r="S636" s="349"/>
      <c r="T636" s="349"/>
      <c r="U636" s="349">
        <v>0</v>
      </c>
      <c r="V636" s="349"/>
      <c r="W636" s="349"/>
      <c r="X636" s="347"/>
      <c r="Y636" s="459"/>
    </row>
    <row r="637" spans="1:71" ht="24.6" hidden="1" customHeight="1">
      <c r="A637" s="461" t="s">
        <v>104</v>
      </c>
      <c r="B637" s="82" t="s">
        <v>89</v>
      </c>
      <c r="C637" s="82"/>
      <c r="D637" s="82"/>
      <c r="E637" s="82"/>
      <c r="F637" s="82"/>
      <c r="G637" s="80">
        <f>G639+G641</f>
        <v>2.4860000000000002</v>
      </c>
      <c r="H637" s="80">
        <f t="shared" ref="H637:W638" si="303">H639+H641</f>
        <v>0</v>
      </c>
      <c r="I637" s="80">
        <f t="shared" si="303"/>
        <v>0</v>
      </c>
      <c r="J637" s="80">
        <f t="shared" si="303"/>
        <v>0</v>
      </c>
      <c r="K637" s="80">
        <f t="shared" si="303"/>
        <v>2.4860000000000002</v>
      </c>
      <c r="L637" s="131">
        <f t="shared" si="303"/>
        <v>0</v>
      </c>
      <c r="M637" s="131"/>
      <c r="N637" s="131"/>
      <c r="O637" s="131"/>
      <c r="P637" s="131"/>
      <c r="Q637" s="131">
        <f t="shared" si="303"/>
        <v>0</v>
      </c>
      <c r="R637" s="131"/>
      <c r="S637" s="131"/>
      <c r="T637" s="131"/>
      <c r="U637" s="131"/>
      <c r="V637" s="131">
        <f t="shared" si="303"/>
        <v>0</v>
      </c>
      <c r="W637" s="131">
        <f t="shared" si="303"/>
        <v>0</v>
      </c>
      <c r="X637" s="167"/>
      <c r="Y637" s="82"/>
    </row>
    <row r="638" spans="1:71" ht="24.95" hidden="1" customHeight="1">
      <c r="A638" s="461"/>
      <c r="B638" s="82" t="s">
        <v>284</v>
      </c>
      <c r="C638" s="82"/>
      <c r="D638" s="82"/>
      <c r="E638" s="82"/>
      <c r="F638" s="82"/>
      <c r="G638" s="80">
        <f>G640+G642</f>
        <v>48317.3</v>
      </c>
      <c r="H638" s="80">
        <f t="shared" si="303"/>
        <v>0</v>
      </c>
      <c r="I638" s="80">
        <f t="shared" si="303"/>
        <v>16445.900000000001</v>
      </c>
      <c r="J638" s="80">
        <f t="shared" si="303"/>
        <v>31871.4</v>
      </c>
      <c r="K638" s="80">
        <f t="shared" si="303"/>
        <v>0</v>
      </c>
      <c r="L638" s="131">
        <f t="shared" si="303"/>
        <v>0</v>
      </c>
      <c r="M638" s="131"/>
      <c r="N638" s="131"/>
      <c r="O638" s="131"/>
      <c r="P638" s="131"/>
      <c r="Q638" s="131">
        <f t="shared" si="303"/>
        <v>0</v>
      </c>
      <c r="R638" s="131">
        <f t="shared" si="303"/>
        <v>0</v>
      </c>
      <c r="S638" s="131">
        <f t="shared" si="303"/>
        <v>0</v>
      </c>
      <c r="T638" s="131">
        <f t="shared" si="303"/>
        <v>0</v>
      </c>
      <c r="U638" s="131">
        <f t="shared" si="303"/>
        <v>0</v>
      </c>
      <c r="V638" s="131">
        <f t="shared" si="303"/>
        <v>0</v>
      </c>
      <c r="W638" s="131">
        <f t="shared" si="303"/>
        <v>0</v>
      </c>
      <c r="X638" s="167"/>
      <c r="Y638" s="82"/>
    </row>
    <row r="639" spans="1:71" ht="0.6" hidden="1" customHeight="1">
      <c r="A639" s="455" t="s">
        <v>137</v>
      </c>
      <c r="B639" s="167" t="s">
        <v>89</v>
      </c>
      <c r="C639" s="167">
        <v>176</v>
      </c>
      <c r="D639" s="167" t="s">
        <v>15</v>
      </c>
      <c r="E639" s="167">
        <v>6100404</v>
      </c>
      <c r="F639" s="167">
        <v>243</v>
      </c>
      <c r="G639" s="74">
        <f>SUM(H639:K639)</f>
        <v>2.4860000000000002</v>
      </c>
      <c r="H639" s="74">
        <v>0</v>
      </c>
      <c r="I639" s="74"/>
      <c r="J639" s="74"/>
      <c r="K639" s="74">
        <v>2.4860000000000002</v>
      </c>
      <c r="L639" s="132">
        <v>0</v>
      </c>
      <c r="M639" s="132"/>
      <c r="N639" s="132"/>
      <c r="O639" s="132"/>
      <c r="P639" s="132"/>
      <c r="Q639" s="132">
        <v>0</v>
      </c>
      <c r="R639" s="132"/>
      <c r="S639" s="132"/>
      <c r="T639" s="132"/>
      <c r="U639" s="132"/>
      <c r="V639" s="132"/>
      <c r="W639" s="132"/>
      <c r="X639" s="167"/>
      <c r="Y639" s="453" t="s">
        <v>302</v>
      </c>
    </row>
    <row r="640" spans="1:71" s="55" customFormat="1" ht="24.6" hidden="1" customHeight="1">
      <c r="A640" s="455"/>
      <c r="B640" s="167" t="s">
        <v>284</v>
      </c>
      <c r="C640" s="167"/>
      <c r="D640" s="167"/>
      <c r="E640" s="167"/>
      <c r="F640" s="167"/>
      <c r="G640" s="74">
        <f>SUM(H640:K640)</f>
        <v>48317.3</v>
      </c>
      <c r="H640" s="74">
        <v>0</v>
      </c>
      <c r="I640" s="74">
        <v>16445.900000000001</v>
      </c>
      <c r="J640" s="74">
        <f>32071.5-200.1</f>
        <v>31871.4</v>
      </c>
      <c r="K640" s="74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67"/>
      <c r="Y640" s="453"/>
      <c r="AT640" s="150"/>
      <c r="AU640" s="150"/>
      <c r="AV640" s="150"/>
      <c r="AW640" s="150"/>
      <c r="AX640" s="150"/>
      <c r="AY640" s="150"/>
      <c r="AZ640" s="150"/>
      <c r="BA640" s="150"/>
      <c r="BB640" s="150"/>
      <c r="BC640" s="150"/>
      <c r="BD640" s="150"/>
      <c r="BE640" s="150"/>
      <c r="BF640" s="150"/>
      <c r="BG640" s="150"/>
      <c r="BH640" s="150"/>
      <c r="BI640" s="150"/>
      <c r="BJ640" s="150"/>
      <c r="BK640" s="150"/>
      <c r="BL640" s="150"/>
      <c r="BM640" s="150"/>
      <c r="BN640" s="150"/>
      <c r="BO640" s="150"/>
      <c r="BP640" s="150"/>
      <c r="BQ640" s="150"/>
      <c r="BR640" s="150"/>
      <c r="BS640" s="150"/>
    </row>
    <row r="641" spans="1:71" s="55" customFormat="1" ht="23.45" hidden="1" customHeight="1">
      <c r="A641" s="455" t="s">
        <v>110</v>
      </c>
      <c r="B641" s="167" t="s">
        <v>89</v>
      </c>
      <c r="C641" s="167">
        <v>176</v>
      </c>
      <c r="D641" s="167" t="s">
        <v>15</v>
      </c>
      <c r="E641" s="167">
        <v>6100404</v>
      </c>
      <c r="F641" s="167">
        <v>243</v>
      </c>
      <c r="G641" s="74">
        <v>0</v>
      </c>
      <c r="H641" s="74">
        <v>0</v>
      </c>
      <c r="I641" s="74">
        <v>0</v>
      </c>
      <c r="J641" s="74">
        <v>0</v>
      </c>
      <c r="K641" s="74">
        <v>0</v>
      </c>
      <c r="L641" s="132">
        <v>0</v>
      </c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67"/>
      <c r="Y641" s="453" t="s">
        <v>343</v>
      </c>
      <c r="AT641" s="150"/>
      <c r="AU641" s="150"/>
      <c r="AV641" s="150"/>
      <c r="AW641" s="150"/>
      <c r="AX641" s="150"/>
      <c r="AY641" s="150"/>
      <c r="AZ641" s="150"/>
      <c r="BA641" s="150"/>
      <c r="BB641" s="150"/>
      <c r="BC641" s="150"/>
      <c r="BD641" s="150"/>
      <c r="BE641" s="150"/>
      <c r="BF641" s="150"/>
      <c r="BG641" s="150"/>
      <c r="BH641" s="150"/>
      <c r="BI641" s="150"/>
      <c r="BJ641" s="150"/>
      <c r="BK641" s="150"/>
      <c r="BL641" s="150"/>
      <c r="BM641" s="150"/>
      <c r="BN641" s="150"/>
      <c r="BO641" s="150"/>
      <c r="BP641" s="150"/>
      <c r="BQ641" s="150"/>
      <c r="BR641" s="150"/>
      <c r="BS641" s="150"/>
    </row>
    <row r="642" spans="1:71" ht="24.6" hidden="1" customHeight="1">
      <c r="A642" s="455"/>
      <c r="B642" s="167" t="s">
        <v>284</v>
      </c>
      <c r="C642" s="167"/>
      <c r="D642" s="167"/>
      <c r="E642" s="167"/>
      <c r="F642" s="167"/>
      <c r="G642" s="74"/>
      <c r="H642" s="74"/>
      <c r="I642" s="74"/>
      <c r="J642" s="74"/>
      <c r="K642" s="74"/>
      <c r="L642" s="132"/>
      <c r="M642" s="132"/>
      <c r="N642" s="132"/>
      <c r="O642" s="132"/>
      <c r="P642" s="132"/>
      <c r="Q642" s="132">
        <f>T642</f>
        <v>0</v>
      </c>
      <c r="R642" s="132"/>
      <c r="S642" s="132"/>
      <c r="T642" s="132"/>
      <c r="U642" s="132"/>
      <c r="V642" s="132"/>
      <c r="W642" s="132"/>
      <c r="X642" s="167"/>
      <c r="Y642" s="453"/>
    </row>
    <row r="643" spans="1:71" ht="24.6" hidden="1" customHeight="1">
      <c r="A643" s="461" t="s">
        <v>139</v>
      </c>
      <c r="B643" s="82" t="s">
        <v>89</v>
      </c>
      <c r="C643" s="82"/>
      <c r="D643" s="82"/>
      <c r="E643" s="82"/>
      <c r="F643" s="82"/>
      <c r="G643" s="80">
        <f t="shared" ref="G643:P643" si="304">G645+G649+G655</f>
        <v>0</v>
      </c>
      <c r="H643" s="80">
        <f t="shared" si="304"/>
        <v>0</v>
      </c>
      <c r="I643" s="80">
        <f t="shared" si="304"/>
        <v>0</v>
      </c>
      <c r="J643" s="80">
        <f t="shared" si="304"/>
        <v>0</v>
      </c>
      <c r="K643" s="80">
        <f t="shared" si="304"/>
        <v>0</v>
      </c>
      <c r="L643" s="131">
        <f t="shared" si="304"/>
        <v>1.63</v>
      </c>
      <c r="M643" s="131">
        <f t="shared" si="304"/>
        <v>0</v>
      </c>
      <c r="N643" s="131">
        <f t="shared" si="304"/>
        <v>0</v>
      </c>
      <c r="O643" s="131">
        <f t="shared" si="304"/>
        <v>1.63</v>
      </c>
      <c r="P643" s="131">
        <f t="shared" si="304"/>
        <v>0</v>
      </c>
      <c r="Q643" s="131">
        <f>Q649+Q653+Q655</f>
        <v>0</v>
      </c>
      <c r="R643" s="131"/>
      <c r="S643" s="131"/>
      <c r="T643" s="131"/>
      <c r="U643" s="131"/>
      <c r="V643" s="131">
        <f t="shared" ref="V643:W643" si="305">V649+V653+V655</f>
        <v>0</v>
      </c>
      <c r="W643" s="131">
        <f t="shared" si="305"/>
        <v>0</v>
      </c>
      <c r="X643" s="167"/>
      <c r="Y643" s="82"/>
    </row>
    <row r="644" spans="1:71" ht="24.6" hidden="1" customHeight="1">
      <c r="A644" s="461"/>
      <c r="B644" s="82" t="s">
        <v>284</v>
      </c>
      <c r="C644" s="82"/>
      <c r="D644" s="82"/>
      <c r="E644" s="82"/>
      <c r="F644" s="82"/>
      <c r="G644" s="80">
        <f t="shared" ref="G644:P644" si="306">G646+G650+G656</f>
        <v>19089.599999999999</v>
      </c>
      <c r="H644" s="80">
        <f t="shared" si="306"/>
        <v>19089.599999999999</v>
      </c>
      <c r="I644" s="80">
        <f t="shared" si="306"/>
        <v>0</v>
      </c>
      <c r="J644" s="80">
        <f t="shared" si="306"/>
        <v>0</v>
      </c>
      <c r="K644" s="80">
        <f t="shared" si="306"/>
        <v>0</v>
      </c>
      <c r="L644" s="131">
        <f t="shared" si="306"/>
        <v>57326.6</v>
      </c>
      <c r="M644" s="131">
        <f t="shared" si="306"/>
        <v>0</v>
      </c>
      <c r="N644" s="131">
        <f t="shared" si="306"/>
        <v>0</v>
      </c>
      <c r="O644" s="131">
        <f t="shared" si="306"/>
        <v>57326.6</v>
      </c>
      <c r="P644" s="131">
        <f t="shared" si="306"/>
        <v>0</v>
      </c>
      <c r="Q644" s="131">
        <f>Q650+Q654+Q656</f>
        <v>0</v>
      </c>
      <c r="R644" s="131">
        <f t="shared" ref="R644:U644" si="307">R650+R654+R656</f>
        <v>0</v>
      </c>
      <c r="S644" s="131">
        <f t="shared" si="307"/>
        <v>0</v>
      </c>
      <c r="T644" s="131">
        <f t="shared" si="307"/>
        <v>0</v>
      </c>
      <c r="U644" s="131">
        <f t="shared" si="307"/>
        <v>0</v>
      </c>
      <c r="V644" s="131">
        <f t="shared" ref="V644:W644" si="308">V650+V654+V656</f>
        <v>0</v>
      </c>
      <c r="W644" s="131">
        <f t="shared" si="308"/>
        <v>0</v>
      </c>
      <c r="X644" s="167"/>
      <c r="Y644" s="82"/>
    </row>
    <row r="645" spans="1:71" ht="0.6" hidden="1" customHeight="1">
      <c r="A645" s="455" t="s">
        <v>138</v>
      </c>
      <c r="B645" s="167" t="s">
        <v>89</v>
      </c>
      <c r="C645" s="167">
        <v>176</v>
      </c>
      <c r="D645" s="167" t="s">
        <v>15</v>
      </c>
      <c r="E645" s="167">
        <v>6100404</v>
      </c>
      <c r="F645" s="167">
        <v>243</v>
      </c>
      <c r="G645" s="74"/>
      <c r="H645" s="74"/>
      <c r="I645" s="74"/>
      <c r="J645" s="74">
        <v>0</v>
      </c>
      <c r="K645" s="74"/>
      <c r="L645" s="132">
        <v>0</v>
      </c>
      <c r="M645" s="132"/>
      <c r="N645" s="132"/>
      <c r="O645" s="132"/>
      <c r="P645" s="132"/>
      <c r="Q645" s="132">
        <v>0</v>
      </c>
      <c r="R645" s="132"/>
      <c r="S645" s="132"/>
      <c r="T645" s="132"/>
      <c r="U645" s="132"/>
      <c r="V645" s="132"/>
      <c r="W645" s="132"/>
      <c r="X645" s="167"/>
      <c r="Y645" s="453" t="s">
        <v>243</v>
      </c>
    </row>
    <row r="646" spans="1:71" ht="22.9" hidden="1" customHeight="1">
      <c r="A646" s="455"/>
      <c r="B646" s="167" t="s">
        <v>284</v>
      </c>
      <c r="C646" s="167"/>
      <c r="D646" s="167"/>
      <c r="E646" s="167"/>
      <c r="F646" s="167"/>
      <c r="G646" s="74">
        <f>SUM(H646:K646)</f>
        <v>19089.599999999999</v>
      </c>
      <c r="H646" s="74">
        <v>19089.599999999999</v>
      </c>
      <c r="I646" s="74"/>
      <c r="J646" s="74"/>
      <c r="K646" s="74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67"/>
      <c r="Y646" s="453"/>
    </row>
    <row r="647" spans="1:71" ht="24.6" hidden="1" customHeight="1">
      <c r="A647" s="172" t="s">
        <v>186</v>
      </c>
      <c r="B647" s="167" t="s">
        <v>89</v>
      </c>
      <c r="C647" s="167">
        <v>176</v>
      </c>
      <c r="D647" s="167" t="s">
        <v>15</v>
      </c>
      <c r="E647" s="167">
        <v>6100404</v>
      </c>
      <c r="F647" s="167">
        <v>243</v>
      </c>
      <c r="G647" s="74">
        <v>0</v>
      </c>
      <c r="H647" s="74">
        <v>0</v>
      </c>
      <c r="I647" s="74">
        <v>0</v>
      </c>
      <c r="J647" s="74">
        <v>0</v>
      </c>
      <c r="K647" s="74">
        <v>0</v>
      </c>
      <c r="L647" s="132">
        <v>0</v>
      </c>
      <c r="M647" s="132"/>
      <c r="N647" s="132"/>
      <c r="O647" s="132"/>
      <c r="P647" s="132"/>
      <c r="Q647" s="132">
        <v>0</v>
      </c>
      <c r="R647" s="132"/>
      <c r="S647" s="132"/>
      <c r="T647" s="132"/>
      <c r="U647" s="132"/>
      <c r="V647" s="132"/>
      <c r="W647" s="132"/>
      <c r="X647" s="167"/>
      <c r="Y647" s="338" t="s">
        <v>39</v>
      </c>
    </row>
    <row r="648" spans="1:71" ht="0.6" hidden="1" customHeight="1">
      <c r="A648" s="172"/>
      <c r="B648" s="167" t="s">
        <v>284</v>
      </c>
      <c r="C648" s="167"/>
      <c r="D648" s="167"/>
      <c r="E648" s="167"/>
      <c r="F648" s="167"/>
      <c r="G648" s="74"/>
      <c r="H648" s="74"/>
      <c r="I648" s="74"/>
      <c r="J648" s="74"/>
      <c r="K648" s="74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67"/>
      <c r="Y648" s="338"/>
    </row>
    <row r="649" spans="1:71" ht="24.6" hidden="1" customHeight="1">
      <c r="A649" s="455" t="s">
        <v>169</v>
      </c>
      <c r="B649" s="167" t="s">
        <v>89</v>
      </c>
      <c r="C649" s="167">
        <v>176</v>
      </c>
      <c r="D649" s="167" t="s">
        <v>15</v>
      </c>
      <c r="E649" s="167">
        <v>6100404</v>
      </c>
      <c r="F649" s="167">
        <v>243</v>
      </c>
      <c r="G649" s="74">
        <v>0</v>
      </c>
      <c r="H649" s="74">
        <v>0</v>
      </c>
      <c r="I649" s="74">
        <v>0</v>
      </c>
      <c r="J649" s="74">
        <v>0</v>
      </c>
      <c r="K649" s="74">
        <v>0</v>
      </c>
      <c r="L649" s="132">
        <v>1.63</v>
      </c>
      <c r="M649" s="132"/>
      <c r="N649" s="132"/>
      <c r="O649" s="132">
        <v>1.63</v>
      </c>
      <c r="P649" s="132"/>
      <c r="Q649" s="132">
        <v>0</v>
      </c>
      <c r="R649" s="132"/>
      <c r="S649" s="132"/>
      <c r="T649" s="132"/>
      <c r="U649" s="132"/>
      <c r="V649" s="132"/>
      <c r="W649" s="132"/>
      <c r="X649" s="167"/>
      <c r="Y649" s="453" t="s">
        <v>380</v>
      </c>
    </row>
    <row r="650" spans="1:71" ht="23.45" hidden="1" customHeight="1">
      <c r="A650" s="455"/>
      <c r="B650" s="167" t="s">
        <v>284</v>
      </c>
      <c r="C650" s="167"/>
      <c r="D650" s="167"/>
      <c r="E650" s="167"/>
      <c r="F650" s="167"/>
      <c r="G650" s="74"/>
      <c r="H650" s="74"/>
      <c r="I650" s="74"/>
      <c r="J650" s="74"/>
      <c r="K650" s="74"/>
      <c r="L650" s="132">
        <f>O650</f>
        <v>57326.6</v>
      </c>
      <c r="M650" s="132"/>
      <c r="N650" s="132"/>
      <c r="O650" s="132">
        <f>52756.6+4570</f>
        <v>57326.6</v>
      </c>
      <c r="P650" s="132"/>
      <c r="Q650" s="132"/>
      <c r="R650" s="132"/>
      <c r="S650" s="132"/>
      <c r="T650" s="132"/>
      <c r="U650" s="132"/>
      <c r="V650" s="132"/>
      <c r="W650" s="132"/>
      <c r="X650" s="167"/>
      <c r="Y650" s="453"/>
    </row>
    <row r="651" spans="1:71" ht="24.6" hidden="1" customHeight="1">
      <c r="A651" s="176" t="s">
        <v>179</v>
      </c>
      <c r="B651" s="167" t="s">
        <v>89</v>
      </c>
      <c r="C651" s="167">
        <v>176</v>
      </c>
      <c r="D651" s="167" t="s">
        <v>15</v>
      </c>
      <c r="E651" s="167">
        <v>6100404</v>
      </c>
      <c r="F651" s="167">
        <v>243</v>
      </c>
      <c r="G651" s="74">
        <f>SUM(H651:K651)</f>
        <v>0</v>
      </c>
      <c r="H651" s="74">
        <v>0</v>
      </c>
      <c r="I651" s="74">
        <v>0</v>
      </c>
      <c r="J651" s="74">
        <v>0</v>
      </c>
      <c r="K651" s="74">
        <v>0</v>
      </c>
      <c r="L651" s="132"/>
      <c r="M651" s="132"/>
      <c r="N651" s="132"/>
      <c r="O651" s="132"/>
      <c r="P651" s="132"/>
      <c r="Q651" s="132">
        <v>0</v>
      </c>
      <c r="R651" s="132"/>
      <c r="S651" s="132"/>
      <c r="T651" s="132"/>
      <c r="U651" s="132"/>
      <c r="V651" s="132"/>
      <c r="W651" s="132"/>
      <c r="X651" s="167"/>
      <c r="Y651" s="338"/>
    </row>
    <row r="652" spans="1:71" s="55" customFormat="1" ht="24.6" hidden="1" customHeight="1">
      <c r="A652" s="176"/>
      <c r="B652" s="167" t="s">
        <v>284</v>
      </c>
      <c r="C652" s="167"/>
      <c r="D652" s="167"/>
      <c r="E652" s="167"/>
      <c r="F652" s="167"/>
      <c r="G652" s="74"/>
      <c r="H652" s="74"/>
      <c r="I652" s="74"/>
      <c r="J652" s="74"/>
      <c r="K652" s="74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67"/>
      <c r="Y652" s="338"/>
      <c r="AT652" s="150"/>
      <c r="AU652" s="150"/>
      <c r="AV652" s="150"/>
      <c r="AW652" s="150"/>
      <c r="AX652" s="150"/>
      <c r="AY652" s="150"/>
      <c r="AZ652" s="150"/>
      <c r="BA652" s="150"/>
      <c r="BB652" s="150"/>
      <c r="BC652" s="150"/>
      <c r="BD652" s="150"/>
      <c r="BE652" s="150"/>
      <c r="BF652" s="150"/>
      <c r="BG652" s="150"/>
      <c r="BH652" s="150"/>
      <c r="BI652" s="150"/>
      <c r="BJ652" s="150"/>
      <c r="BK652" s="150"/>
      <c r="BL652" s="150"/>
      <c r="BM652" s="150"/>
      <c r="BN652" s="150"/>
      <c r="BO652" s="150"/>
      <c r="BP652" s="150"/>
      <c r="BQ652" s="150"/>
      <c r="BR652" s="150"/>
      <c r="BS652" s="150"/>
    </row>
    <row r="653" spans="1:71" s="55" customFormat="1" ht="24.6" hidden="1" customHeight="1">
      <c r="A653" s="451" t="s">
        <v>379</v>
      </c>
      <c r="B653" s="167" t="s">
        <v>89</v>
      </c>
      <c r="C653" s="167"/>
      <c r="D653" s="167"/>
      <c r="E653" s="167"/>
      <c r="F653" s="167"/>
      <c r="G653" s="74"/>
      <c r="H653" s="74"/>
      <c r="I653" s="74"/>
      <c r="J653" s="74"/>
      <c r="K653" s="74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67"/>
      <c r="Y653" s="453" t="s">
        <v>486</v>
      </c>
      <c r="AT653" s="150"/>
      <c r="AU653" s="150"/>
      <c r="AV653" s="150"/>
      <c r="AW653" s="150"/>
      <c r="AX653" s="150"/>
      <c r="AY653" s="150"/>
      <c r="AZ653" s="150"/>
      <c r="BA653" s="150"/>
      <c r="BB653" s="150"/>
      <c r="BC653" s="150"/>
      <c r="BD653" s="150"/>
      <c r="BE653" s="150"/>
      <c r="BF653" s="150"/>
      <c r="BG653" s="150"/>
      <c r="BH653" s="150"/>
      <c r="BI653" s="150"/>
      <c r="BJ653" s="150"/>
      <c r="BK653" s="150"/>
      <c r="BL653" s="150"/>
      <c r="BM653" s="150"/>
      <c r="BN653" s="150"/>
      <c r="BO653" s="150"/>
      <c r="BP653" s="150"/>
      <c r="BQ653" s="150"/>
      <c r="BR653" s="150"/>
      <c r="BS653" s="150"/>
    </row>
    <row r="654" spans="1:71" s="55" customFormat="1" ht="24.6" hidden="1" customHeight="1">
      <c r="A654" s="452"/>
      <c r="B654" s="167" t="s">
        <v>284</v>
      </c>
      <c r="C654" s="167"/>
      <c r="D654" s="167"/>
      <c r="E654" s="167"/>
      <c r="F654" s="167"/>
      <c r="G654" s="74"/>
      <c r="H654" s="74"/>
      <c r="I654" s="74"/>
      <c r="J654" s="74"/>
      <c r="K654" s="74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67"/>
      <c r="Y654" s="453"/>
      <c r="AT654" s="150"/>
      <c r="AU654" s="150"/>
      <c r="AV654" s="150"/>
      <c r="AW654" s="150"/>
      <c r="AX654" s="150"/>
      <c r="AY654" s="150"/>
      <c r="AZ654" s="150"/>
      <c r="BA654" s="150"/>
      <c r="BB654" s="150"/>
      <c r="BC654" s="150"/>
      <c r="BD654" s="150"/>
      <c r="BE654" s="150"/>
      <c r="BF654" s="150"/>
      <c r="BG654" s="150"/>
      <c r="BH654" s="150"/>
      <c r="BI654" s="150"/>
      <c r="BJ654" s="150"/>
      <c r="BK654" s="150"/>
      <c r="BL654" s="150"/>
      <c r="BM654" s="150"/>
      <c r="BN654" s="150"/>
      <c r="BO654" s="150"/>
      <c r="BP654" s="150"/>
      <c r="BQ654" s="150"/>
      <c r="BR654" s="150"/>
      <c r="BS654" s="150"/>
    </row>
    <row r="655" spans="1:71" s="55" customFormat="1" ht="24.95" hidden="1" customHeight="1">
      <c r="A655" s="455" t="s">
        <v>110</v>
      </c>
      <c r="B655" s="167" t="s">
        <v>89</v>
      </c>
      <c r="C655" s="167">
        <v>176</v>
      </c>
      <c r="D655" s="167" t="s">
        <v>15</v>
      </c>
      <c r="E655" s="167">
        <v>6100404</v>
      </c>
      <c r="F655" s="167">
        <v>243</v>
      </c>
      <c r="G655" s="74">
        <f>SUM(H655:K655)</f>
        <v>0</v>
      </c>
      <c r="H655" s="74">
        <v>0</v>
      </c>
      <c r="I655" s="74">
        <v>0</v>
      </c>
      <c r="J655" s="74">
        <v>0</v>
      </c>
      <c r="K655" s="74">
        <v>0</v>
      </c>
      <c r="L655" s="132">
        <v>0</v>
      </c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67"/>
      <c r="Y655" s="453" t="s">
        <v>378</v>
      </c>
      <c r="AT655" s="150"/>
      <c r="AU655" s="150"/>
      <c r="AV655" s="150"/>
      <c r="AW655" s="150"/>
      <c r="AX655" s="150"/>
      <c r="AY655" s="150"/>
      <c r="AZ655" s="150"/>
      <c r="BA655" s="150"/>
      <c r="BB655" s="150"/>
      <c r="BC655" s="150"/>
      <c r="BD655" s="150"/>
      <c r="BE655" s="150"/>
      <c r="BF655" s="150"/>
      <c r="BG655" s="150"/>
      <c r="BH655" s="150"/>
      <c r="BI655" s="150"/>
      <c r="BJ655" s="150"/>
      <c r="BK655" s="150"/>
      <c r="BL655" s="150"/>
      <c r="BM655" s="150"/>
      <c r="BN655" s="150"/>
      <c r="BO655" s="150"/>
      <c r="BP655" s="150"/>
      <c r="BQ655" s="150"/>
      <c r="BR655" s="150"/>
      <c r="BS655" s="150"/>
    </row>
    <row r="656" spans="1:71" ht="24.95" hidden="1" customHeight="1">
      <c r="A656" s="455"/>
      <c r="B656" s="167" t="s">
        <v>284</v>
      </c>
      <c r="C656" s="167"/>
      <c r="D656" s="167"/>
      <c r="E656" s="167"/>
      <c r="F656" s="167"/>
      <c r="G656" s="74"/>
      <c r="H656" s="74"/>
      <c r="I656" s="74"/>
      <c r="J656" s="74"/>
      <c r="K656" s="74"/>
      <c r="L656" s="132"/>
      <c r="M656" s="132"/>
      <c r="N656" s="132"/>
      <c r="O656" s="132"/>
      <c r="P656" s="132"/>
      <c r="Q656" s="132">
        <f>T656</f>
        <v>0</v>
      </c>
      <c r="R656" s="132"/>
      <c r="S656" s="132"/>
      <c r="T656" s="132"/>
      <c r="U656" s="132"/>
      <c r="V656" s="132"/>
      <c r="W656" s="132"/>
      <c r="X656" s="167"/>
      <c r="Y656" s="453"/>
    </row>
    <row r="657" spans="1:71" ht="24.95" customHeight="1">
      <c r="A657" s="482" t="s">
        <v>105</v>
      </c>
      <c r="B657" s="82" t="s">
        <v>89</v>
      </c>
      <c r="C657" s="82"/>
      <c r="D657" s="82"/>
      <c r="E657" s="82"/>
      <c r="F657" s="82"/>
      <c r="G657" s="80">
        <f>G659+G661+G663+G665</f>
        <v>0</v>
      </c>
      <c r="H657" s="80">
        <f t="shared" ref="H657:P658" si="309">H659+H661+H663+H665</f>
        <v>0</v>
      </c>
      <c r="I657" s="80">
        <f t="shared" si="309"/>
        <v>0</v>
      </c>
      <c r="J657" s="80">
        <f t="shared" si="309"/>
        <v>0</v>
      </c>
      <c r="K657" s="80">
        <f t="shared" si="309"/>
        <v>0</v>
      </c>
      <c r="L657" s="131">
        <f t="shared" si="309"/>
        <v>2.2000000000000002</v>
      </c>
      <c r="M657" s="131">
        <f t="shared" si="309"/>
        <v>1.5</v>
      </c>
      <c r="N657" s="131">
        <f t="shared" si="309"/>
        <v>0</v>
      </c>
      <c r="O657" s="131">
        <f t="shared" si="309"/>
        <v>0</v>
      </c>
      <c r="P657" s="131">
        <f t="shared" si="309"/>
        <v>0.7</v>
      </c>
      <c r="Q657" s="131">
        <f>Q659+Q661+Q663+Q665</f>
        <v>0.76300000000000001</v>
      </c>
      <c r="R657" s="131">
        <f t="shared" ref="R657:T657" si="310">R659+R661+R663+R665</f>
        <v>0</v>
      </c>
      <c r="S657" s="131">
        <f t="shared" si="310"/>
        <v>0</v>
      </c>
      <c r="T657" s="131">
        <f t="shared" si="310"/>
        <v>0.76300000000000001</v>
      </c>
      <c r="U657" s="131"/>
      <c r="V657" s="131">
        <f t="shared" ref="V657:W657" si="311">V659+V661+V663+V665</f>
        <v>0</v>
      </c>
      <c r="W657" s="131">
        <f t="shared" si="311"/>
        <v>3</v>
      </c>
      <c r="X657" s="167"/>
      <c r="Y657" s="82"/>
    </row>
    <row r="658" spans="1:71" ht="24.6" customHeight="1">
      <c r="A658" s="482"/>
      <c r="B658" s="82" t="s">
        <v>284</v>
      </c>
      <c r="C658" s="82"/>
      <c r="D658" s="82"/>
      <c r="E658" s="82"/>
      <c r="F658" s="82"/>
      <c r="G658" s="80">
        <f>G660+G662+G664+G666</f>
        <v>2617.4</v>
      </c>
      <c r="H658" s="80">
        <f t="shared" si="309"/>
        <v>0</v>
      </c>
      <c r="I658" s="80">
        <f t="shared" si="309"/>
        <v>0</v>
      </c>
      <c r="J658" s="80">
        <f t="shared" si="309"/>
        <v>2617.4</v>
      </c>
      <c r="K658" s="80">
        <f t="shared" si="309"/>
        <v>0</v>
      </c>
      <c r="L658" s="131">
        <f>L660+L662+L664+L666</f>
        <v>28500.7</v>
      </c>
      <c r="M658" s="131">
        <f t="shared" ref="M658:P658" si="312">M660+M662+M664+M666</f>
        <v>5500.7</v>
      </c>
      <c r="N658" s="131">
        <f t="shared" si="312"/>
        <v>0</v>
      </c>
      <c r="O658" s="131">
        <f t="shared" si="312"/>
        <v>0</v>
      </c>
      <c r="P658" s="131">
        <f t="shared" si="312"/>
        <v>23000</v>
      </c>
      <c r="Q658" s="131">
        <f>Q662+Q664</f>
        <v>33932.800000000003</v>
      </c>
      <c r="R658" s="131">
        <f t="shared" ref="R658:U658" si="313">R662+R664</f>
        <v>0</v>
      </c>
      <c r="S658" s="131">
        <f t="shared" si="313"/>
        <v>0</v>
      </c>
      <c r="T658" s="131">
        <f t="shared" si="313"/>
        <v>33932.800000000003</v>
      </c>
      <c r="U658" s="131">
        <f t="shared" si="313"/>
        <v>0</v>
      </c>
      <c r="V658" s="131">
        <f>V664</f>
        <v>0</v>
      </c>
      <c r="W658" s="131">
        <f>W660+W662</f>
        <v>100000</v>
      </c>
      <c r="X658" s="167"/>
      <c r="Y658" s="82"/>
    </row>
    <row r="659" spans="1:71" ht="21.6" customHeight="1">
      <c r="A659" s="451" t="s">
        <v>506</v>
      </c>
      <c r="B659" s="167" t="s">
        <v>89</v>
      </c>
      <c r="C659" s="167">
        <v>176</v>
      </c>
      <c r="D659" s="167" t="s">
        <v>15</v>
      </c>
      <c r="E659" s="167">
        <v>6100404</v>
      </c>
      <c r="F659" s="167">
        <v>243</v>
      </c>
      <c r="G659" s="74">
        <v>0</v>
      </c>
      <c r="H659" s="74">
        <v>0</v>
      </c>
      <c r="I659" s="74">
        <v>0</v>
      </c>
      <c r="J659" s="74">
        <v>0</v>
      </c>
      <c r="K659" s="74">
        <v>0</v>
      </c>
      <c r="L659" s="132">
        <v>1.5</v>
      </c>
      <c r="M659" s="132">
        <v>1.5</v>
      </c>
      <c r="N659" s="132"/>
      <c r="O659" s="132"/>
      <c r="P659" s="132"/>
      <c r="Q659" s="132"/>
      <c r="R659" s="132"/>
      <c r="S659" s="132"/>
      <c r="T659" s="132"/>
      <c r="U659" s="132"/>
      <c r="V659" s="132"/>
      <c r="W659" s="132">
        <v>2</v>
      </c>
      <c r="X659" s="167"/>
      <c r="Y659" s="453" t="s">
        <v>405</v>
      </c>
    </row>
    <row r="660" spans="1:71" ht="24.6" customHeight="1">
      <c r="A660" s="452"/>
      <c r="B660" s="167" t="s">
        <v>284</v>
      </c>
      <c r="C660" s="167"/>
      <c r="D660" s="167"/>
      <c r="E660" s="167"/>
      <c r="F660" s="167"/>
      <c r="G660" s="74"/>
      <c r="H660" s="74"/>
      <c r="I660" s="74"/>
      <c r="J660" s="74"/>
      <c r="K660" s="74"/>
      <c r="L660" s="132">
        <f>5762-261.3</f>
        <v>5500.7</v>
      </c>
      <c r="M660" s="132">
        <v>5500.7</v>
      </c>
      <c r="N660" s="132"/>
      <c r="O660" s="132"/>
      <c r="P660" s="132"/>
      <c r="Q660" s="132"/>
      <c r="R660" s="132"/>
      <c r="S660" s="132"/>
      <c r="T660" s="132"/>
      <c r="U660" s="132"/>
      <c r="V660" s="132">
        <f>18246-18246</f>
        <v>0</v>
      </c>
      <c r="W660" s="132">
        <v>60000</v>
      </c>
      <c r="X660" s="167"/>
      <c r="Y660" s="453"/>
    </row>
    <row r="661" spans="1:71" ht="22.5" customHeight="1">
      <c r="A661" s="481" t="s">
        <v>507</v>
      </c>
      <c r="B661" s="167" t="s">
        <v>89</v>
      </c>
      <c r="C661" s="167">
        <v>176</v>
      </c>
      <c r="D661" s="167" t="s">
        <v>15</v>
      </c>
      <c r="E661" s="167">
        <v>6100404</v>
      </c>
      <c r="F661" s="167">
        <v>243</v>
      </c>
      <c r="G661" s="74">
        <f>SUM(H661:K661)</f>
        <v>0</v>
      </c>
      <c r="H661" s="74">
        <v>0</v>
      </c>
      <c r="I661" s="74">
        <v>0</v>
      </c>
      <c r="J661" s="74"/>
      <c r="K661" s="74"/>
      <c r="L661" s="132">
        <v>0</v>
      </c>
      <c r="M661" s="132"/>
      <c r="N661" s="132"/>
      <c r="O661" s="132"/>
      <c r="P661" s="132"/>
      <c r="Q661" s="132">
        <f>T661</f>
        <v>0.60299999999999998</v>
      </c>
      <c r="R661" s="132"/>
      <c r="S661" s="132"/>
      <c r="T661" s="132">
        <v>0.60299999999999998</v>
      </c>
      <c r="U661" s="132"/>
      <c r="V661" s="132"/>
      <c r="W661" s="132">
        <v>1</v>
      </c>
      <c r="X661" s="167"/>
      <c r="Y661" s="453" t="s">
        <v>544</v>
      </c>
    </row>
    <row r="662" spans="1:71" ht="22.9" customHeight="1">
      <c r="A662" s="481"/>
      <c r="B662" s="167" t="s">
        <v>284</v>
      </c>
      <c r="C662" s="167"/>
      <c r="D662" s="167"/>
      <c r="E662" s="167"/>
      <c r="F662" s="167"/>
      <c r="G662" s="74">
        <f>SUM(H662:K662)</f>
        <v>2617.4</v>
      </c>
      <c r="H662" s="74"/>
      <c r="I662" s="74"/>
      <c r="J662" s="74">
        <f>6215.8-3598.4</f>
        <v>2617.4</v>
      </c>
      <c r="K662" s="74"/>
      <c r="L662" s="132"/>
      <c r="M662" s="132"/>
      <c r="N662" s="132"/>
      <c r="O662" s="132"/>
      <c r="P662" s="132"/>
      <c r="Q662" s="132">
        <f>T662</f>
        <v>29265.4</v>
      </c>
      <c r="R662" s="132"/>
      <c r="S662" s="132"/>
      <c r="T662" s="132">
        <f>31400-1987.5-147.1</f>
        <v>29265.4</v>
      </c>
      <c r="U662" s="132"/>
      <c r="V662" s="132"/>
      <c r="W662" s="132">
        <v>40000</v>
      </c>
      <c r="X662" s="167"/>
      <c r="Y662" s="453"/>
    </row>
    <row r="663" spans="1:71" ht="22.9" customHeight="1">
      <c r="A663" s="481" t="s">
        <v>289</v>
      </c>
      <c r="B663" s="167" t="s">
        <v>89</v>
      </c>
      <c r="C663" s="167">
        <v>176</v>
      </c>
      <c r="D663" s="167" t="s">
        <v>15</v>
      </c>
      <c r="E663" s="167">
        <v>6100404</v>
      </c>
      <c r="F663" s="167">
        <v>243</v>
      </c>
      <c r="G663" s="74">
        <v>0</v>
      </c>
      <c r="H663" s="74">
        <v>0</v>
      </c>
      <c r="I663" s="74">
        <v>0</v>
      </c>
      <c r="J663" s="74">
        <v>0</v>
      </c>
      <c r="K663" s="74"/>
      <c r="L663" s="132">
        <v>0.7</v>
      </c>
      <c r="M663" s="132"/>
      <c r="N663" s="132"/>
      <c r="O663" s="132"/>
      <c r="P663" s="132">
        <v>0.7</v>
      </c>
      <c r="Q663" s="132">
        <v>0.16</v>
      </c>
      <c r="R663" s="132"/>
      <c r="S663" s="132"/>
      <c r="T663" s="132">
        <v>0.16</v>
      </c>
      <c r="U663" s="132"/>
      <c r="V663" s="132"/>
      <c r="W663" s="132"/>
      <c r="X663" s="167"/>
      <c r="Y663" s="453" t="s">
        <v>39</v>
      </c>
    </row>
    <row r="664" spans="1:71" s="55" customFormat="1" ht="22.9" customHeight="1">
      <c r="A664" s="481"/>
      <c r="B664" s="167" t="s">
        <v>284</v>
      </c>
      <c r="C664" s="167"/>
      <c r="D664" s="167"/>
      <c r="E664" s="167"/>
      <c r="F664" s="167"/>
      <c r="G664" s="74"/>
      <c r="H664" s="74"/>
      <c r="I664" s="74"/>
      <c r="J664" s="74"/>
      <c r="K664" s="74"/>
      <c r="L664" s="132">
        <f>P664</f>
        <v>23000</v>
      </c>
      <c r="M664" s="132"/>
      <c r="N664" s="132"/>
      <c r="O664" s="132"/>
      <c r="P664" s="132">
        <f>12900+21000-10900</f>
        <v>23000</v>
      </c>
      <c r="Q664" s="132">
        <f>T664</f>
        <v>4667.3999999999996</v>
      </c>
      <c r="R664" s="132"/>
      <c r="S664" s="132"/>
      <c r="T664" s="132">
        <f>5244.2-576.8</f>
        <v>4667.3999999999996</v>
      </c>
      <c r="U664" s="132"/>
      <c r="V664" s="132"/>
      <c r="W664" s="132"/>
      <c r="X664" s="167"/>
      <c r="Y664" s="453"/>
      <c r="AT664" s="150"/>
      <c r="AU664" s="150"/>
      <c r="AV664" s="150"/>
      <c r="AW664" s="150"/>
      <c r="AX664" s="150"/>
      <c r="AY664" s="150"/>
      <c r="AZ664" s="150"/>
      <c r="BA664" s="150"/>
      <c r="BB664" s="150"/>
      <c r="BC664" s="150"/>
      <c r="BD664" s="150"/>
      <c r="BE664" s="150"/>
      <c r="BF664" s="150"/>
      <c r="BG664" s="150"/>
      <c r="BH664" s="150"/>
      <c r="BI664" s="150"/>
      <c r="BJ664" s="150"/>
      <c r="BK664" s="150"/>
      <c r="BL664" s="150"/>
      <c r="BM664" s="150"/>
      <c r="BN664" s="150"/>
      <c r="BO664" s="150"/>
      <c r="BP664" s="150"/>
      <c r="BQ664" s="150"/>
      <c r="BR664" s="150"/>
      <c r="BS664" s="150"/>
    </row>
    <row r="665" spans="1:71" s="55" customFormat="1" ht="0.6" hidden="1" customHeight="1">
      <c r="A665" s="481" t="s">
        <v>381</v>
      </c>
      <c r="B665" s="167" t="s">
        <v>89</v>
      </c>
      <c r="C665" s="167">
        <v>176</v>
      </c>
      <c r="D665" s="167" t="s">
        <v>15</v>
      </c>
      <c r="E665" s="167">
        <v>6100404</v>
      </c>
      <c r="F665" s="167">
        <v>243</v>
      </c>
      <c r="G665" s="74">
        <v>0</v>
      </c>
      <c r="H665" s="74">
        <v>0</v>
      </c>
      <c r="I665" s="74">
        <v>0</v>
      </c>
      <c r="J665" s="74">
        <v>0</v>
      </c>
      <c r="K665" s="74">
        <v>0</v>
      </c>
      <c r="L665" s="132">
        <v>0</v>
      </c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67"/>
      <c r="Y665" s="453" t="s">
        <v>31</v>
      </c>
      <c r="AT665" s="150"/>
      <c r="AU665" s="150"/>
      <c r="AV665" s="150"/>
      <c r="AW665" s="150"/>
      <c r="AX665" s="150"/>
      <c r="AY665" s="150"/>
      <c r="AZ665" s="150"/>
      <c r="BA665" s="150"/>
      <c r="BB665" s="150"/>
      <c r="BC665" s="150"/>
      <c r="BD665" s="150"/>
      <c r="BE665" s="150"/>
      <c r="BF665" s="150"/>
      <c r="BG665" s="150"/>
      <c r="BH665" s="150"/>
      <c r="BI665" s="150"/>
      <c r="BJ665" s="150"/>
      <c r="BK665" s="150"/>
      <c r="BL665" s="150"/>
      <c r="BM665" s="150"/>
      <c r="BN665" s="150"/>
      <c r="BO665" s="150"/>
      <c r="BP665" s="150"/>
      <c r="BQ665" s="150"/>
      <c r="BR665" s="150"/>
      <c r="BS665" s="150"/>
    </row>
    <row r="666" spans="1:71" ht="24.6" hidden="1" customHeight="1">
      <c r="A666" s="481"/>
      <c r="B666" s="167" t="s">
        <v>284</v>
      </c>
      <c r="C666" s="167"/>
      <c r="D666" s="167"/>
      <c r="E666" s="167"/>
      <c r="F666" s="167"/>
      <c r="G666" s="74"/>
      <c r="H666" s="74"/>
      <c r="I666" s="74"/>
      <c r="J666" s="74"/>
      <c r="K666" s="74"/>
      <c r="L666" s="132"/>
      <c r="M666" s="132"/>
      <c r="N666" s="132"/>
      <c r="O666" s="132"/>
      <c r="P666" s="132"/>
      <c r="Q666" s="132">
        <v>0</v>
      </c>
      <c r="R666" s="132"/>
      <c r="S666" s="132"/>
      <c r="T666" s="132"/>
      <c r="U666" s="132"/>
      <c r="V666" s="132"/>
      <c r="W666" s="132"/>
      <c r="X666" s="167"/>
      <c r="Y666" s="453"/>
    </row>
    <row r="667" spans="1:71" ht="0.6" hidden="1" customHeight="1">
      <c r="A667" s="461" t="s">
        <v>106</v>
      </c>
      <c r="B667" s="82" t="s">
        <v>89</v>
      </c>
      <c r="C667" s="82"/>
      <c r="D667" s="82"/>
      <c r="E667" s="82"/>
      <c r="F667" s="82"/>
      <c r="G667" s="80">
        <f>G669+G673</f>
        <v>0</v>
      </c>
      <c r="H667" s="80">
        <f t="shared" ref="H667:V668" si="314">H669+H673</f>
        <v>0</v>
      </c>
      <c r="I667" s="80">
        <f t="shared" si="314"/>
        <v>0</v>
      </c>
      <c r="J667" s="80">
        <f t="shared" si="314"/>
        <v>0</v>
      </c>
      <c r="K667" s="80">
        <f t="shared" si="314"/>
        <v>0</v>
      </c>
      <c r="L667" s="131">
        <f t="shared" si="314"/>
        <v>0</v>
      </c>
      <c r="M667" s="131"/>
      <c r="N667" s="131"/>
      <c r="O667" s="131"/>
      <c r="P667" s="131"/>
      <c r="Q667" s="131">
        <f t="shared" si="314"/>
        <v>0</v>
      </c>
      <c r="R667" s="131"/>
      <c r="S667" s="131"/>
      <c r="T667" s="131"/>
      <c r="U667" s="131"/>
      <c r="V667" s="131">
        <f t="shared" si="314"/>
        <v>0</v>
      </c>
      <c r="W667" s="131"/>
      <c r="X667" s="167"/>
      <c r="Y667" s="82"/>
    </row>
    <row r="668" spans="1:71" ht="24.6" hidden="1" customHeight="1">
      <c r="A668" s="461"/>
      <c r="B668" s="82" t="s">
        <v>284</v>
      </c>
      <c r="C668" s="82"/>
      <c r="D668" s="82"/>
      <c r="E668" s="82"/>
      <c r="F668" s="82"/>
      <c r="G668" s="80">
        <f>G670+G674</f>
        <v>6950.3</v>
      </c>
      <c r="H668" s="80">
        <f t="shared" si="314"/>
        <v>6950.3</v>
      </c>
      <c r="I668" s="80">
        <f t="shared" si="314"/>
        <v>0</v>
      </c>
      <c r="J668" s="80">
        <f t="shared" si="314"/>
        <v>0</v>
      </c>
      <c r="K668" s="80">
        <f t="shared" si="314"/>
        <v>0</v>
      </c>
      <c r="L668" s="131">
        <f t="shared" si="314"/>
        <v>5000</v>
      </c>
      <c r="M668" s="131">
        <f t="shared" si="314"/>
        <v>0</v>
      </c>
      <c r="N668" s="131">
        <f t="shared" si="314"/>
        <v>0</v>
      </c>
      <c r="O668" s="131">
        <f t="shared" si="314"/>
        <v>5000</v>
      </c>
      <c r="P668" s="131">
        <f t="shared" si="314"/>
        <v>0</v>
      </c>
      <c r="Q668" s="131">
        <f t="shared" si="314"/>
        <v>0</v>
      </c>
      <c r="R668" s="131"/>
      <c r="S668" s="131"/>
      <c r="T668" s="131"/>
      <c r="U668" s="131"/>
      <c r="V668" s="131">
        <f t="shared" si="314"/>
        <v>0</v>
      </c>
      <c r="W668" s="131"/>
      <c r="X668" s="167"/>
      <c r="Y668" s="82"/>
    </row>
    <row r="669" spans="1:71" ht="24.6" hidden="1" customHeight="1">
      <c r="A669" s="455" t="s">
        <v>110</v>
      </c>
      <c r="B669" s="167" t="s">
        <v>89</v>
      </c>
      <c r="C669" s="167">
        <v>176</v>
      </c>
      <c r="D669" s="167" t="s">
        <v>15</v>
      </c>
      <c r="E669" s="167">
        <v>6100404</v>
      </c>
      <c r="F669" s="167">
        <v>243</v>
      </c>
      <c r="G669" s="74">
        <v>0</v>
      </c>
      <c r="H669" s="74">
        <v>0</v>
      </c>
      <c r="I669" s="74">
        <v>0</v>
      </c>
      <c r="J669" s="74">
        <v>0</v>
      </c>
      <c r="K669" s="74">
        <v>0</v>
      </c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67"/>
      <c r="Y669" s="453" t="s">
        <v>343</v>
      </c>
    </row>
    <row r="670" spans="1:71" ht="24.6" hidden="1" customHeight="1">
      <c r="A670" s="455"/>
      <c r="B670" s="167" t="s">
        <v>284</v>
      </c>
      <c r="C670" s="167"/>
      <c r="D670" s="167"/>
      <c r="E670" s="167"/>
      <c r="F670" s="167"/>
      <c r="G670" s="74"/>
      <c r="H670" s="74"/>
      <c r="I670" s="74"/>
      <c r="J670" s="74"/>
      <c r="K670" s="74"/>
      <c r="L670" s="132">
        <v>5000</v>
      </c>
      <c r="M670" s="132"/>
      <c r="N670" s="132"/>
      <c r="O670" s="132">
        <v>5000</v>
      </c>
      <c r="P670" s="132"/>
      <c r="Q670" s="132"/>
      <c r="R670" s="132"/>
      <c r="S670" s="132"/>
      <c r="T670" s="132"/>
      <c r="U670" s="132"/>
      <c r="V670" s="132"/>
      <c r="W670" s="132"/>
      <c r="X670" s="167"/>
      <c r="Y670" s="453"/>
    </row>
    <row r="671" spans="1:71" ht="0.6" hidden="1" customHeight="1">
      <c r="A671" s="455" t="s">
        <v>95</v>
      </c>
      <c r="B671" s="167" t="s">
        <v>89</v>
      </c>
      <c r="C671" s="167">
        <v>176</v>
      </c>
      <c r="D671" s="167" t="s">
        <v>15</v>
      </c>
      <c r="E671" s="167">
        <v>6100404</v>
      </c>
      <c r="F671" s="167">
        <v>243</v>
      </c>
      <c r="G671" s="74">
        <v>0</v>
      </c>
      <c r="H671" s="74">
        <v>0</v>
      </c>
      <c r="I671" s="74">
        <v>0</v>
      </c>
      <c r="J671" s="74">
        <v>0</v>
      </c>
      <c r="K671" s="74">
        <v>0</v>
      </c>
      <c r="L671" s="132">
        <v>0</v>
      </c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67"/>
      <c r="Y671" s="338" t="s">
        <v>259</v>
      </c>
    </row>
    <row r="672" spans="1:71" s="55" customFormat="1" ht="24" hidden="1" customHeight="1">
      <c r="A672" s="455"/>
      <c r="B672" s="167" t="s">
        <v>284</v>
      </c>
      <c r="C672" s="167"/>
      <c r="D672" s="167"/>
      <c r="E672" s="167"/>
      <c r="F672" s="167"/>
      <c r="G672" s="74"/>
      <c r="H672" s="74"/>
      <c r="I672" s="74"/>
      <c r="J672" s="74"/>
      <c r="K672" s="74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67"/>
      <c r="Y672" s="338"/>
      <c r="AT672" s="150"/>
      <c r="AU672" s="150"/>
      <c r="AV672" s="150"/>
      <c r="AW672" s="150"/>
      <c r="AX672" s="150"/>
      <c r="AY672" s="150"/>
      <c r="AZ672" s="150"/>
      <c r="BA672" s="150"/>
      <c r="BB672" s="150"/>
      <c r="BC672" s="150"/>
      <c r="BD672" s="150"/>
      <c r="BE672" s="150"/>
      <c r="BF672" s="150"/>
      <c r="BG672" s="150"/>
      <c r="BH672" s="150"/>
      <c r="BI672" s="150"/>
      <c r="BJ672" s="150"/>
      <c r="BK672" s="150"/>
      <c r="BL672" s="150"/>
      <c r="BM672" s="150"/>
      <c r="BN672" s="150"/>
      <c r="BO672" s="150"/>
      <c r="BP672" s="150"/>
      <c r="BQ672" s="150"/>
      <c r="BR672" s="150"/>
      <c r="BS672" s="150"/>
    </row>
    <row r="673" spans="1:71" s="55" customFormat="1" ht="24.6" hidden="1" customHeight="1">
      <c r="A673" s="455" t="s">
        <v>185</v>
      </c>
      <c r="B673" s="167" t="s">
        <v>89</v>
      </c>
      <c r="C673" s="167">
        <v>176</v>
      </c>
      <c r="D673" s="167" t="s">
        <v>15</v>
      </c>
      <c r="E673" s="167">
        <v>6100404</v>
      </c>
      <c r="F673" s="167">
        <v>243</v>
      </c>
      <c r="G673" s="74">
        <f>SUM(H673:K673)</f>
        <v>0</v>
      </c>
      <c r="H673" s="74"/>
      <c r="I673" s="74">
        <v>0</v>
      </c>
      <c r="J673" s="74">
        <v>0</v>
      </c>
      <c r="K673" s="74"/>
      <c r="L673" s="132"/>
      <c r="M673" s="132"/>
      <c r="N673" s="132"/>
      <c r="O673" s="132"/>
      <c r="P673" s="132"/>
      <c r="Q673" s="132">
        <v>0</v>
      </c>
      <c r="R673" s="132"/>
      <c r="S673" s="132"/>
      <c r="T673" s="132"/>
      <c r="U673" s="132"/>
      <c r="V673" s="132"/>
      <c r="W673" s="132"/>
      <c r="X673" s="167"/>
      <c r="Y673" s="453" t="s">
        <v>31</v>
      </c>
      <c r="AT673" s="150"/>
      <c r="AU673" s="150"/>
      <c r="AV673" s="150"/>
      <c r="AW673" s="150"/>
      <c r="AX673" s="150"/>
      <c r="AY673" s="150"/>
      <c r="AZ673" s="150"/>
      <c r="BA673" s="150"/>
      <c r="BB673" s="150"/>
      <c r="BC673" s="150"/>
      <c r="BD673" s="150"/>
      <c r="BE673" s="150"/>
      <c r="BF673" s="150"/>
      <c r="BG673" s="150"/>
      <c r="BH673" s="150"/>
      <c r="BI673" s="150"/>
      <c r="BJ673" s="150"/>
      <c r="BK673" s="150"/>
      <c r="BL673" s="150"/>
      <c r="BM673" s="150"/>
      <c r="BN673" s="150"/>
      <c r="BO673" s="150"/>
      <c r="BP673" s="150"/>
      <c r="BQ673" s="150"/>
      <c r="BR673" s="150"/>
      <c r="BS673" s="150"/>
    </row>
    <row r="674" spans="1:71" ht="24.6" hidden="1" customHeight="1">
      <c r="A674" s="455"/>
      <c r="B674" s="167" t="s">
        <v>284</v>
      </c>
      <c r="C674" s="167"/>
      <c r="D674" s="167"/>
      <c r="E674" s="167"/>
      <c r="F674" s="167"/>
      <c r="G674" s="74">
        <f>SUM(H674:K674)</f>
        <v>6950.3</v>
      </c>
      <c r="H674" s="74">
        <v>6950.3</v>
      </c>
      <c r="I674" s="74"/>
      <c r="J674" s="74"/>
      <c r="K674" s="74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67"/>
      <c r="Y674" s="453"/>
    </row>
    <row r="675" spans="1:71" ht="24.95" customHeight="1">
      <c r="A675" s="461" t="s">
        <v>140</v>
      </c>
      <c r="B675" s="82" t="s">
        <v>89</v>
      </c>
      <c r="C675" s="82"/>
      <c r="D675" s="82"/>
      <c r="E675" s="82"/>
      <c r="F675" s="82"/>
      <c r="G675" s="80">
        <f>G679+G681+G685</f>
        <v>0</v>
      </c>
      <c r="H675" s="80">
        <f t="shared" ref="H675:P675" si="315">H679+H681+H685</f>
        <v>0</v>
      </c>
      <c r="I675" s="80">
        <f t="shared" si="315"/>
        <v>0</v>
      </c>
      <c r="J675" s="80">
        <f t="shared" si="315"/>
        <v>0</v>
      </c>
      <c r="K675" s="80">
        <f t="shared" si="315"/>
        <v>0</v>
      </c>
      <c r="L675" s="131">
        <f t="shared" si="315"/>
        <v>2.3820000000000001</v>
      </c>
      <c r="M675" s="131">
        <f t="shared" si="315"/>
        <v>1.157</v>
      </c>
      <c r="N675" s="131">
        <f t="shared" si="315"/>
        <v>0</v>
      </c>
      <c r="O675" s="131">
        <f t="shared" si="315"/>
        <v>1.2250000000000001</v>
      </c>
      <c r="P675" s="131">
        <f t="shared" si="315"/>
        <v>0</v>
      </c>
      <c r="Q675" s="131">
        <f>-Q679+Q681+Q685</f>
        <v>1.6180000000000001</v>
      </c>
      <c r="R675" s="131">
        <f t="shared" ref="R675:U675" si="316">-R679+R681+R685</f>
        <v>0</v>
      </c>
      <c r="S675" s="131">
        <f t="shared" si="316"/>
        <v>0</v>
      </c>
      <c r="T675" s="131">
        <f t="shared" si="316"/>
        <v>1.6180000000000001</v>
      </c>
      <c r="U675" s="131">
        <f t="shared" si="316"/>
        <v>0</v>
      </c>
      <c r="V675" s="131">
        <f t="shared" ref="V675:W675" si="317">-V679+V681+V685</f>
        <v>0</v>
      </c>
      <c r="W675" s="131">
        <f t="shared" si="317"/>
        <v>0</v>
      </c>
      <c r="X675" s="167"/>
      <c r="Y675" s="82"/>
    </row>
    <row r="676" spans="1:71" ht="24.95" customHeight="1">
      <c r="A676" s="461"/>
      <c r="B676" s="82" t="s">
        <v>284</v>
      </c>
      <c r="C676" s="82"/>
      <c r="D676" s="82"/>
      <c r="E676" s="82"/>
      <c r="F676" s="82"/>
      <c r="G676" s="80"/>
      <c r="H676" s="80"/>
      <c r="I676" s="80"/>
      <c r="J676" s="80"/>
      <c r="K676" s="80"/>
      <c r="L676" s="131"/>
      <c r="M676" s="131"/>
      <c r="N676" s="131"/>
      <c r="O676" s="131"/>
      <c r="P676" s="131"/>
      <c r="Q676" s="131">
        <f>Q682</f>
        <v>500</v>
      </c>
      <c r="R676" s="131">
        <f t="shared" ref="R676:T676" si="318">R677</f>
        <v>0</v>
      </c>
      <c r="S676" s="131">
        <f t="shared" si="318"/>
        <v>0</v>
      </c>
      <c r="T676" s="131">
        <f t="shared" si="318"/>
        <v>500</v>
      </c>
      <c r="U676" s="131">
        <f>U682</f>
        <v>0</v>
      </c>
      <c r="V676" s="131">
        <f>V680</f>
        <v>10800</v>
      </c>
      <c r="W676" s="131">
        <f>W677</f>
        <v>0</v>
      </c>
      <c r="X676" s="167"/>
      <c r="Y676" s="82"/>
    </row>
    <row r="677" spans="1:71" ht="24" hidden="1" customHeight="1">
      <c r="A677" s="461"/>
      <c r="B677" s="82" t="s">
        <v>410</v>
      </c>
      <c r="C677" s="82"/>
      <c r="D677" s="82"/>
      <c r="E677" s="82"/>
      <c r="F677" s="82"/>
      <c r="G677" s="80"/>
      <c r="H677" s="80"/>
      <c r="I677" s="80"/>
      <c r="J677" s="80"/>
      <c r="K677" s="80"/>
      <c r="L677" s="131"/>
      <c r="M677" s="131"/>
      <c r="N677" s="131"/>
      <c r="O677" s="131"/>
      <c r="P677" s="131"/>
      <c r="Q677" s="131">
        <f>Q683</f>
        <v>500</v>
      </c>
      <c r="R677" s="131">
        <f t="shared" ref="R677:U677" si="319">R683</f>
        <v>0</v>
      </c>
      <c r="S677" s="131">
        <f t="shared" si="319"/>
        <v>0</v>
      </c>
      <c r="T677" s="131">
        <f t="shared" si="319"/>
        <v>500</v>
      </c>
      <c r="U677" s="131">
        <f t="shared" si="319"/>
        <v>0</v>
      </c>
      <c r="V677" s="131">
        <f>V683+V680</f>
        <v>10800</v>
      </c>
      <c r="W677" s="131">
        <f>W680</f>
        <v>0</v>
      </c>
      <c r="X677" s="167"/>
      <c r="Y677" s="82"/>
    </row>
    <row r="678" spans="1:71" ht="24.6" hidden="1" customHeight="1">
      <c r="A678" s="461"/>
      <c r="B678" s="82" t="s">
        <v>428</v>
      </c>
      <c r="C678" s="82"/>
      <c r="D678" s="82"/>
      <c r="E678" s="82"/>
      <c r="F678" s="82"/>
      <c r="G678" s="80">
        <f>G680+G684+G686</f>
        <v>0</v>
      </c>
      <c r="H678" s="80">
        <f t="shared" ref="H678:Q678" si="320">H680+H684+H686</f>
        <v>0</v>
      </c>
      <c r="I678" s="80">
        <f t="shared" si="320"/>
        <v>0</v>
      </c>
      <c r="J678" s="80">
        <f t="shared" si="320"/>
        <v>0</v>
      </c>
      <c r="K678" s="80">
        <f t="shared" si="320"/>
        <v>0</v>
      </c>
      <c r="L678" s="131">
        <f t="shared" si="320"/>
        <v>44860.7</v>
      </c>
      <c r="M678" s="131">
        <f t="shared" si="320"/>
        <v>30597.599999999999</v>
      </c>
      <c r="N678" s="131">
        <f t="shared" si="320"/>
        <v>0</v>
      </c>
      <c r="O678" s="131">
        <f t="shared" si="320"/>
        <v>14263.1</v>
      </c>
      <c r="P678" s="131">
        <f t="shared" si="320"/>
        <v>0</v>
      </c>
      <c r="Q678" s="131">
        <f t="shared" si="320"/>
        <v>0</v>
      </c>
      <c r="R678" s="131"/>
      <c r="S678" s="131"/>
      <c r="T678" s="131"/>
      <c r="U678" s="131"/>
      <c r="V678" s="131">
        <f>V684</f>
        <v>0</v>
      </c>
      <c r="W678" s="131"/>
      <c r="X678" s="167"/>
      <c r="Y678" s="82"/>
    </row>
    <row r="679" spans="1:71" ht="24.95" customHeight="1">
      <c r="A679" s="455" t="s">
        <v>110</v>
      </c>
      <c r="B679" s="167" t="s">
        <v>89</v>
      </c>
      <c r="C679" s="167">
        <v>176</v>
      </c>
      <c r="D679" s="167" t="s">
        <v>15</v>
      </c>
      <c r="E679" s="167">
        <v>6100404</v>
      </c>
      <c r="F679" s="167">
        <v>243</v>
      </c>
      <c r="G679" s="74">
        <v>0</v>
      </c>
      <c r="H679" s="74">
        <v>0</v>
      </c>
      <c r="I679" s="74">
        <v>0</v>
      </c>
      <c r="J679" s="74">
        <v>0</v>
      </c>
      <c r="K679" s="74">
        <v>0</v>
      </c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67"/>
      <c r="Y679" s="453" t="s">
        <v>343</v>
      </c>
    </row>
    <row r="680" spans="1:71" ht="24.95" customHeight="1">
      <c r="A680" s="455"/>
      <c r="B680" s="167" t="s">
        <v>284</v>
      </c>
      <c r="C680" s="167"/>
      <c r="D680" s="167"/>
      <c r="E680" s="167"/>
      <c r="F680" s="167"/>
      <c r="G680" s="74"/>
      <c r="H680" s="74"/>
      <c r="I680" s="74"/>
      <c r="J680" s="74"/>
      <c r="K680" s="74"/>
      <c r="L680" s="132">
        <f>3294.6-117.8</f>
        <v>3176.7999999999997</v>
      </c>
      <c r="M680" s="132">
        <v>3176.7999999999997</v>
      </c>
      <c r="N680" s="132"/>
      <c r="O680" s="132"/>
      <c r="P680" s="132"/>
      <c r="Q680" s="132"/>
      <c r="R680" s="132"/>
      <c r="S680" s="132"/>
      <c r="T680" s="132"/>
      <c r="U680" s="132"/>
      <c r="V680" s="132">
        <f>3000+7800</f>
        <v>10800</v>
      </c>
      <c r="W680" s="132"/>
      <c r="X680" s="167"/>
      <c r="Y680" s="453"/>
    </row>
    <row r="681" spans="1:71" ht="24.95" customHeight="1">
      <c r="A681" s="455" t="s">
        <v>242</v>
      </c>
      <c r="B681" s="167" t="s">
        <v>89</v>
      </c>
      <c r="C681" s="167">
        <v>176</v>
      </c>
      <c r="D681" s="167" t="s">
        <v>15</v>
      </c>
      <c r="E681" s="167">
        <v>6100404</v>
      </c>
      <c r="F681" s="167">
        <v>243</v>
      </c>
      <c r="G681" s="74">
        <v>0</v>
      </c>
      <c r="H681" s="74">
        <v>0</v>
      </c>
      <c r="I681" s="74">
        <v>0</v>
      </c>
      <c r="J681" s="74">
        <v>0</v>
      </c>
      <c r="K681" s="74">
        <v>0</v>
      </c>
      <c r="L681" s="132">
        <v>1.157</v>
      </c>
      <c r="M681" s="132">
        <v>1.157</v>
      </c>
      <c r="N681" s="132"/>
      <c r="O681" s="132"/>
      <c r="P681" s="132"/>
      <c r="Q681" s="132">
        <v>1.6180000000000001</v>
      </c>
      <c r="R681" s="132"/>
      <c r="S681" s="132"/>
      <c r="T681" s="132">
        <v>1.6180000000000001</v>
      </c>
      <c r="U681" s="132"/>
      <c r="V681" s="132"/>
      <c r="W681" s="132"/>
      <c r="X681" s="167"/>
      <c r="Y681" s="453" t="s">
        <v>544</v>
      </c>
    </row>
    <row r="682" spans="1:71" ht="24" customHeight="1">
      <c r="A682" s="455"/>
      <c r="B682" s="167" t="s">
        <v>284</v>
      </c>
      <c r="C682" s="167"/>
      <c r="D682" s="167"/>
      <c r="E682" s="167"/>
      <c r="F682" s="167"/>
      <c r="G682" s="74"/>
      <c r="H682" s="74"/>
      <c r="I682" s="74"/>
      <c r="J682" s="74"/>
      <c r="K682" s="74"/>
      <c r="L682" s="132"/>
      <c r="M682" s="132"/>
      <c r="N682" s="132"/>
      <c r="O682" s="132"/>
      <c r="P682" s="132"/>
      <c r="Q682" s="132">
        <f>Q683</f>
        <v>500</v>
      </c>
      <c r="R682" s="132"/>
      <c r="S682" s="132"/>
      <c r="T682" s="132">
        <f>T683</f>
        <v>500</v>
      </c>
      <c r="U682" s="132"/>
      <c r="V682" s="132"/>
      <c r="W682" s="132"/>
      <c r="X682" s="167"/>
      <c r="Y682" s="453"/>
    </row>
    <row r="683" spans="1:71" ht="24" customHeight="1">
      <c r="A683" s="455"/>
      <c r="B683" s="167" t="s">
        <v>410</v>
      </c>
      <c r="C683" s="167"/>
      <c r="D683" s="167"/>
      <c r="E683" s="167"/>
      <c r="F683" s="167"/>
      <c r="G683" s="74"/>
      <c r="H683" s="74"/>
      <c r="I683" s="74"/>
      <c r="J683" s="74"/>
      <c r="K683" s="74"/>
      <c r="L683" s="132"/>
      <c r="M683" s="132"/>
      <c r="N683" s="132"/>
      <c r="O683" s="132"/>
      <c r="P683" s="132"/>
      <c r="Q683" s="132">
        <f>T683</f>
        <v>500</v>
      </c>
      <c r="R683" s="132"/>
      <c r="S683" s="132"/>
      <c r="T683" s="132">
        <f>2033.2-1533.2</f>
        <v>500</v>
      </c>
      <c r="U683" s="132"/>
      <c r="V683" s="132"/>
      <c r="W683" s="132"/>
      <c r="X683" s="167"/>
      <c r="Y683" s="453"/>
    </row>
    <row r="684" spans="1:71" s="55" customFormat="1" ht="24.6" hidden="1" customHeight="1">
      <c r="A684" s="455"/>
      <c r="B684" s="167" t="s">
        <v>428</v>
      </c>
      <c r="C684" s="167"/>
      <c r="D684" s="167"/>
      <c r="E684" s="167"/>
      <c r="F684" s="167"/>
      <c r="G684" s="74"/>
      <c r="H684" s="74"/>
      <c r="I684" s="74"/>
      <c r="J684" s="74"/>
      <c r="K684" s="74"/>
      <c r="L684" s="132">
        <f>27454.6-33.8</f>
        <v>27420.799999999999</v>
      </c>
      <c r="M684" s="132">
        <v>27420.799999999999</v>
      </c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67"/>
      <c r="Y684" s="453"/>
      <c r="AT684" s="150"/>
      <c r="AU684" s="150"/>
      <c r="AV684" s="150"/>
      <c r="AW684" s="150"/>
      <c r="AX684" s="150"/>
      <c r="AY684" s="150"/>
      <c r="AZ684" s="150"/>
      <c r="BA684" s="150"/>
      <c r="BB684" s="150"/>
      <c r="BC684" s="150"/>
      <c r="BD684" s="150"/>
      <c r="BE684" s="150"/>
      <c r="BF684" s="150"/>
      <c r="BG684" s="150"/>
      <c r="BH684" s="150"/>
      <c r="BI684" s="150"/>
      <c r="BJ684" s="150"/>
      <c r="BK684" s="150"/>
      <c r="BL684" s="150"/>
      <c r="BM684" s="150"/>
      <c r="BN684" s="150"/>
      <c r="BO684" s="150"/>
      <c r="BP684" s="150"/>
      <c r="BQ684" s="150"/>
      <c r="BR684" s="150"/>
      <c r="BS684" s="150"/>
    </row>
    <row r="685" spans="1:71" s="55" customFormat="1" ht="23.45" hidden="1" customHeight="1">
      <c r="A685" s="455" t="s">
        <v>290</v>
      </c>
      <c r="B685" s="167" t="s">
        <v>89</v>
      </c>
      <c r="C685" s="167">
        <v>176</v>
      </c>
      <c r="D685" s="167" t="s">
        <v>15</v>
      </c>
      <c r="E685" s="167">
        <v>6100404</v>
      </c>
      <c r="F685" s="167">
        <v>243</v>
      </c>
      <c r="G685" s="74">
        <v>0</v>
      </c>
      <c r="H685" s="74">
        <v>0</v>
      </c>
      <c r="I685" s="74">
        <v>0</v>
      </c>
      <c r="J685" s="74">
        <v>0</v>
      </c>
      <c r="K685" s="74">
        <v>0</v>
      </c>
      <c r="L685" s="132">
        <v>1.2250000000000001</v>
      </c>
      <c r="M685" s="132"/>
      <c r="N685" s="132"/>
      <c r="O685" s="132">
        <v>1.2250000000000001</v>
      </c>
      <c r="P685" s="132"/>
      <c r="Q685" s="132">
        <v>0</v>
      </c>
      <c r="R685" s="132"/>
      <c r="S685" s="132"/>
      <c r="T685" s="132"/>
      <c r="U685" s="132"/>
      <c r="V685" s="132"/>
      <c r="W685" s="132"/>
      <c r="X685" s="167"/>
      <c r="Y685" s="453" t="s">
        <v>382</v>
      </c>
      <c r="AT685" s="150"/>
      <c r="AU685" s="150"/>
      <c r="AV685" s="150"/>
      <c r="AW685" s="150"/>
      <c r="AX685" s="150"/>
      <c r="AY685" s="150"/>
      <c r="AZ685" s="150"/>
      <c r="BA685" s="150"/>
      <c r="BB685" s="150"/>
      <c r="BC685" s="150"/>
      <c r="BD685" s="150"/>
      <c r="BE685" s="150"/>
      <c r="BF685" s="150"/>
      <c r="BG685" s="150"/>
      <c r="BH685" s="150"/>
      <c r="BI685" s="150"/>
      <c r="BJ685" s="150"/>
      <c r="BK685" s="150"/>
      <c r="BL685" s="150"/>
      <c r="BM685" s="150"/>
      <c r="BN685" s="150"/>
      <c r="BO685" s="150"/>
      <c r="BP685" s="150"/>
      <c r="BQ685" s="150"/>
      <c r="BR685" s="150"/>
      <c r="BS685" s="150"/>
    </row>
    <row r="686" spans="1:71" ht="25.15" hidden="1" customHeight="1">
      <c r="A686" s="455"/>
      <c r="B686" s="167" t="s">
        <v>284</v>
      </c>
      <c r="C686" s="167"/>
      <c r="D686" s="167"/>
      <c r="E686" s="167"/>
      <c r="F686" s="167"/>
      <c r="G686" s="74"/>
      <c r="H686" s="74"/>
      <c r="I686" s="74"/>
      <c r="J686" s="74"/>
      <c r="K686" s="74"/>
      <c r="L686" s="132">
        <f>O686</f>
        <v>14263.1</v>
      </c>
      <c r="M686" s="132"/>
      <c r="N686" s="132"/>
      <c r="O686" s="132">
        <f>13701.6-753.5+1315</f>
        <v>14263.1</v>
      </c>
      <c r="P686" s="132"/>
      <c r="Q686" s="132">
        <v>0</v>
      </c>
      <c r="R686" s="132"/>
      <c r="S686" s="132"/>
      <c r="T686" s="132"/>
      <c r="U686" s="132"/>
      <c r="V686" s="132"/>
      <c r="W686" s="132"/>
      <c r="X686" s="167"/>
      <c r="Y686" s="453"/>
    </row>
    <row r="687" spans="1:71" ht="23.45" customHeight="1">
      <c r="A687" s="461" t="s">
        <v>141</v>
      </c>
      <c r="B687" s="82" t="s">
        <v>89</v>
      </c>
      <c r="C687" s="82"/>
      <c r="D687" s="82"/>
      <c r="E687" s="82"/>
      <c r="F687" s="82"/>
      <c r="G687" s="80">
        <f>G689+G691</f>
        <v>0</v>
      </c>
      <c r="H687" s="80">
        <f t="shared" ref="H687:P688" si="321">H689+H691</f>
        <v>0</v>
      </c>
      <c r="I687" s="80">
        <f t="shared" si="321"/>
        <v>0</v>
      </c>
      <c r="J687" s="80">
        <f t="shared" si="321"/>
        <v>0</v>
      </c>
      <c r="K687" s="80">
        <f t="shared" si="321"/>
        <v>0</v>
      </c>
      <c r="L687" s="131">
        <f t="shared" si="321"/>
        <v>0.9</v>
      </c>
      <c r="M687" s="131">
        <f t="shared" si="321"/>
        <v>0.9</v>
      </c>
      <c r="N687" s="131">
        <f t="shared" si="321"/>
        <v>0</v>
      </c>
      <c r="O687" s="131">
        <f t="shared" si="321"/>
        <v>0</v>
      </c>
      <c r="P687" s="131">
        <f t="shared" si="321"/>
        <v>0</v>
      </c>
      <c r="Q687" s="131">
        <f>Q689</f>
        <v>0</v>
      </c>
      <c r="R687" s="131"/>
      <c r="S687" s="131"/>
      <c r="T687" s="131"/>
      <c r="U687" s="131"/>
      <c r="V687" s="131">
        <f t="shared" ref="V687:W687" si="322">V689</f>
        <v>0</v>
      </c>
      <c r="W687" s="131">
        <f t="shared" si="322"/>
        <v>0.9</v>
      </c>
      <c r="X687" s="167"/>
      <c r="Y687" s="82"/>
    </row>
    <row r="688" spans="1:71" ht="24.6" customHeight="1">
      <c r="A688" s="461"/>
      <c r="B688" s="82" t="s">
        <v>284</v>
      </c>
      <c r="C688" s="82"/>
      <c r="D688" s="82"/>
      <c r="E688" s="82"/>
      <c r="F688" s="82"/>
      <c r="G688" s="80">
        <f>G690+G692</f>
        <v>0</v>
      </c>
      <c r="H688" s="80">
        <f t="shared" si="321"/>
        <v>0</v>
      </c>
      <c r="I688" s="80">
        <f t="shared" si="321"/>
        <v>0</v>
      </c>
      <c r="J688" s="80">
        <f t="shared" si="321"/>
        <v>0</v>
      </c>
      <c r="K688" s="80">
        <f t="shared" si="321"/>
        <v>0</v>
      </c>
      <c r="L688" s="131">
        <f t="shared" si="321"/>
        <v>14278.7</v>
      </c>
      <c r="M688" s="131">
        <f t="shared" si="321"/>
        <v>14278.7</v>
      </c>
      <c r="N688" s="131">
        <f t="shared" si="321"/>
        <v>0</v>
      </c>
      <c r="O688" s="131">
        <f t="shared" si="321"/>
        <v>0</v>
      </c>
      <c r="P688" s="131">
        <f t="shared" si="321"/>
        <v>0</v>
      </c>
      <c r="Q688" s="131">
        <f>Q690</f>
        <v>0</v>
      </c>
      <c r="R688" s="131"/>
      <c r="S688" s="131"/>
      <c r="T688" s="131"/>
      <c r="U688" s="131"/>
      <c r="V688" s="131">
        <f t="shared" ref="V688:W688" si="323">V690</f>
        <v>0</v>
      </c>
      <c r="W688" s="131">
        <f t="shared" si="323"/>
        <v>25000</v>
      </c>
      <c r="X688" s="167"/>
      <c r="Y688" s="82"/>
    </row>
    <row r="689" spans="1:71" ht="24.6" customHeight="1">
      <c r="A689" s="451" t="s">
        <v>508</v>
      </c>
      <c r="B689" s="167" t="s">
        <v>89</v>
      </c>
      <c r="C689" s="167">
        <v>176</v>
      </c>
      <c r="D689" s="167" t="s">
        <v>15</v>
      </c>
      <c r="E689" s="167">
        <v>6100404</v>
      </c>
      <c r="F689" s="167">
        <v>243</v>
      </c>
      <c r="G689" s="74">
        <f>SUM(H689:K689)</f>
        <v>0</v>
      </c>
      <c r="H689" s="74">
        <v>0</v>
      </c>
      <c r="I689" s="74">
        <v>0</v>
      </c>
      <c r="J689" s="74">
        <v>0</v>
      </c>
      <c r="K689" s="74">
        <v>0</v>
      </c>
      <c r="L689" s="132">
        <v>0.9</v>
      </c>
      <c r="M689" s="132">
        <v>0.9</v>
      </c>
      <c r="N689" s="132"/>
      <c r="O689" s="132"/>
      <c r="P689" s="132"/>
      <c r="Q689" s="132">
        <v>0</v>
      </c>
      <c r="R689" s="132"/>
      <c r="S689" s="132"/>
      <c r="T689" s="132"/>
      <c r="U689" s="132"/>
      <c r="V689" s="132"/>
      <c r="W689" s="132">
        <v>0.9</v>
      </c>
      <c r="X689" s="167"/>
      <c r="Y689" s="453" t="s">
        <v>509</v>
      </c>
    </row>
    <row r="690" spans="1:71" s="55" customFormat="1" ht="28.9" customHeight="1">
      <c r="A690" s="452"/>
      <c r="B690" s="167" t="s">
        <v>284</v>
      </c>
      <c r="C690" s="167"/>
      <c r="D690" s="167"/>
      <c r="E690" s="167"/>
      <c r="F690" s="167"/>
      <c r="G690" s="74"/>
      <c r="H690" s="74"/>
      <c r="I690" s="74"/>
      <c r="J690" s="74"/>
      <c r="K690" s="74"/>
      <c r="L690" s="132">
        <f>M690</f>
        <v>14278.7</v>
      </c>
      <c r="M690" s="132">
        <f>14278.7</f>
        <v>14278.7</v>
      </c>
      <c r="N690" s="132"/>
      <c r="O690" s="132"/>
      <c r="P690" s="132"/>
      <c r="Q690" s="132"/>
      <c r="R690" s="132"/>
      <c r="S690" s="132"/>
      <c r="T690" s="132"/>
      <c r="U690" s="132"/>
      <c r="V690" s="132">
        <f>20000-20000</f>
        <v>0</v>
      </c>
      <c r="W690" s="132">
        <v>25000</v>
      </c>
      <c r="X690" s="167"/>
      <c r="Y690" s="453"/>
      <c r="AT690" s="150"/>
      <c r="AU690" s="150"/>
      <c r="AV690" s="150"/>
      <c r="AW690" s="150"/>
      <c r="AX690" s="150"/>
      <c r="AY690" s="150"/>
      <c r="AZ690" s="150"/>
      <c r="BA690" s="150"/>
      <c r="BB690" s="150"/>
      <c r="BC690" s="150"/>
      <c r="BD690" s="150"/>
      <c r="BE690" s="150"/>
      <c r="BF690" s="150"/>
      <c r="BG690" s="150"/>
      <c r="BH690" s="150"/>
      <c r="BI690" s="150"/>
      <c r="BJ690" s="150"/>
      <c r="BK690" s="150"/>
      <c r="BL690" s="150"/>
      <c r="BM690" s="150"/>
      <c r="BN690" s="150"/>
      <c r="BO690" s="150"/>
      <c r="BP690" s="150"/>
      <c r="BQ690" s="150"/>
      <c r="BR690" s="150"/>
      <c r="BS690" s="150"/>
    </row>
    <row r="691" spans="1:71" s="55" customFormat="1" ht="22.9" hidden="1" customHeight="1">
      <c r="A691" s="172" t="s">
        <v>110</v>
      </c>
      <c r="B691" s="167" t="s">
        <v>89</v>
      </c>
      <c r="C691" s="167">
        <v>176</v>
      </c>
      <c r="D691" s="167" t="s">
        <v>15</v>
      </c>
      <c r="E691" s="167">
        <v>6100404</v>
      </c>
      <c r="F691" s="167">
        <v>243</v>
      </c>
      <c r="G691" s="74">
        <f>SUM(H691:K691)</f>
        <v>0</v>
      </c>
      <c r="H691" s="74">
        <v>0</v>
      </c>
      <c r="I691" s="74">
        <v>0</v>
      </c>
      <c r="J691" s="74">
        <v>0</v>
      </c>
      <c r="K691" s="74">
        <v>0</v>
      </c>
      <c r="L691" s="132">
        <v>0</v>
      </c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67"/>
      <c r="Y691" s="453" t="s">
        <v>31</v>
      </c>
      <c r="AT691" s="150"/>
      <c r="AU691" s="150"/>
      <c r="AV691" s="150"/>
      <c r="AW691" s="150"/>
      <c r="AX691" s="150"/>
      <c r="AY691" s="150"/>
      <c r="AZ691" s="150"/>
      <c r="BA691" s="150"/>
      <c r="BB691" s="150"/>
      <c r="BC691" s="150"/>
      <c r="BD691" s="150"/>
      <c r="BE691" s="150"/>
      <c r="BF691" s="150"/>
      <c r="BG691" s="150"/>
      <c r="BH691" s="150"/>
      <c r="BI691" s="150"/>
      <c r="BJ691" s="150"/>
      <c r="BK691" s="150"/>
      <c r="BL691" s="150"/>
      <c r="BM691" s="150"/>
      <c r="BN691" s="150"/>
      <c r="BO691" s="150"/>
      <c r="BP691" s="150"/>
      <c r="BQ691" s="150"/>
      <c r="BR691" s="150"/>
      <c r="BS691" s="150"/>
    </row>
    <row r="692" spans="1:71" ht="24.6" hidden="1" customHeight="1">
      <c r="A692" s="172"/>
      <c r="B692" s="167" t="s">
        <v>284</v>
      </c>
      <c r="C692" s="167"/>
      <c r="D692" s="167"/>
      <c r="E692" s="167"/>
      <c r="F692" s="167"/>
      <c r="G692" s="74"/>
      <c r="H692" s="74"/>
      <c r="I692" s="74"/>
      <c r="J692" s="74"/>
      <c r="K692" s="74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67"/>
      <c r="Y692" s="453"/>
    </row>
    <row r="693" spans="1:71" ht="22.9" customHeight="1">
      <c r="A693" s="461" t="s">
        <v>142</v>
      </c>
      <c r="B693" s="82" t="s">
        <v>89</v>
      </c>
      <c r="C693" s="82"/>
      <c r="D693" s="82"/>
      <c r="E693" s="82"/>
      <c r="F693" s="82"/>
      <c r="G693" s="80">
        <f>G695+G697+G699</f>
        <v>0.80300000000000005</v>
      </c>
      <c r="H693" s="80">
        <f t="shared" ref="H693:V694" si="324">H695+H697+H699</f>
        <v>0</v>
      </c>
      <c r="I693" s="80">
        <f t="shared" si="324"/>
        <v>0</v>
      </c>
      <c r="J693" s="80">
        <f t="shared" si="324"/>
        <v>0</v>
      </c>
      <c r="K693" s="80">
        <f t="shared" si="324"/>
        <v>0.80300000000000005</v>
      </c>
      <c r="L693" s="131">
        <f t="shared" si="324"/>
        <v>1.3</v>
      </c>
      <c r="M693" s="131">
        <f t="shared" si="324"/>
        <v>0</v>
      </c>
      <c r="N693" s="131">
        <f t="shared" si="324"/>
        <v>0</v>
      </c>
      <c r="O693" s="131">
        <f t="shared" si="324"/>
        <v>1.3</v>
      </c>
      <c r="P693" s="131">
        <f t="shared" si="324"/>
        <v>0</v>
      </c>
      <c r="Q693" s="131">
        <f t="shared" si="324"/>
        <v>0</v>
      </c>
      <c r="R693" s="131"/>
      <c r="S693" s="131"/>
      <c r="T693" s="131"/>
      <c r="U693" s="131"/>
      <c r="V693" s="131">
        <f t="shared" si="324"/>
        <v>0</v>
      </c>
      <c r="W693" s="131"/>
      <c r="X693" s="167"/>
      <c r="Y693" s="82"/>
    </row>
    <row r="694" spans="1:71" ht="24" customHeight="1">
      <c r="A694" s="461"/>
      <c r="B694" s="82" t="s">
        <v>284</v>
      </c>
      <c r="C694" s="82"/>
      <c r="D694" s="82"/>
      <c r="E694" s="82"/>
      <c r="F694" s="82"/>
      <c r="G694" s="80">
        <f>G696+G698+G700</f>
        <v>9564.1</v>
      </c>
      <c r="H694" s="80">
        <f t="shared" si="324"/>
        <v>0</v>
      </c>
      <c r="I694" s="80">
        <f t="shared" si="324"/>
        <v>5000</v>
      </c>
      <c r="J694" s="80">
        <f t="shared" si="324"/>
        <v>4564.1000000000004</v>
      </c>
      <c r="K694" s="80">
        <f t="shared" si="324"/>
        <v>0</v>
      </c>
      <c r="L694" s="131">
        <f t="shared" si="324"/>
        <v>27039.7</v>
      </c>
      <c r="M694" s="131">
        <f t="shared" si="324"/>
        <v>0</v>
      </c>
      <c r="N694" s="131">
        <f t="shared" si="324"/>
        <v>0</v>
      </c>
      <c r="O694" s="131">
        <f t="shared" si="324"/>
        <v>27039.7</v>
      </c>
      <c r="P694" s="131">
        <f t="shared" si="324"/>
        <v>0</v>
      </c>
      <c r="Q694" s="131">
        <f t="shared" si="324"/>
        <v>6284.2</v>
      </c>
      <c r="R694" s="131"/>
      <c r="S694" s="131"/>
      <c r="T694" s="131">
        <f>T698</f>
        <v>6284.2</v>
      </c>
      <c r="U694" s="131">
        <f>U698</f>
        <v>0</v>
      </c>
      <c r="V694" s="131">
        <f t="shared" si="324"/>
        <v>0</v>
      </c>
      <c r="W694" s="131"/>
      <c r="X694" s="167"/>
      <c r="Y694" s="82"/>
    </row>
    <row r="695" spans="1:71" ht="1.1499999999999999" hidden="1" customHeight="1">
      <c r="A695" s="455" t="s">
        <v>184</v>
      </c>
      <c r="B695" s="167" t="s">
        <v>89</v>
      </c>
      <c r="C695" s="167">
        <v>176</v>
      </c>
      <c r="D695" s="167" t="s">
        <v>15</v>
      </c>
      <c r="E695" s="167">
        <v>6100404</v>
      </c>
      <c r="F695" s="167">
        <v>243</v>
      </c>
      <c r="G695" s="74">
        <f>SUM(H695:K695)</f>
        <v>0.80300000000000005</v>
      </c>
      <c r="H695" s="74">
        <v>0</v>
      </c>
      <c r="I695" s="74"/>
      <c r="J695" s="74"/>
      <c r="K695" s="74">
        <v>0.80300000000000005</v>
      </c>
      <c r="L695" s="132">
        <v>0</v>
      </c>
      <c r="M695" s="132"/>
      <c r="N695" s="132"/>
      <c r="O695" s="132"/>
      <c r="P695" s="132"/>
      <c r="Q695" s="132">
        <v>0</v>
      </c>
      <c r="R695" s="132"/>
      <c r="S695" s="132"/>
      <c r="T695" s="132"/>
      <c r="U695" s="132"/>
      <c r="V695" s="132"/>
      <c r="W695" s="132"/>
      <c r="X695" s="167"/>
      <c r="Y695" s="453" t="s">
        <v>266</v>
      </c>
    </row>
    <row r="696" spans="1:71" ht="24.6" hidden="1" customHeight="1">
      <c r="A696" s="455"/>
      <c r="B696" s="167" t="s">
        <v>284</v>
      </c>
      <c r="C696" s="167"/>
      <c r="D696" s="167"/>
      <c r="E696" s="167"/>
      <c r="F696" s="167"/>
      <c r="G696" s="74">
        <f>SUM(H696:K696)</f>
        <v>9564.1</v>
      </c>
      <c r="H696" s="74"/>
      <c r="I696" s="74">
        <v>5000</v>
      </c>
      <c r="J696" s="74">
        <f>5000-435.9</f>
        <v>4564.1000000000004</v>
      </c>
      <c r="K696" s="74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67"/>
      <c r="Y696" s="453"/>
    </row>
    <row r="697" spans="1:71" ht="24.95" customHeight="1">
      <c r="A697" s="451" t="s">
        <v>110</v>
      </c>
      <c r="B697" s="167" t="s">
        <v>89</v>
      </c>
      <c r="C697" s="167">
        <v>176</v>
      </c>
      <c r="D697" s="167" t="s">
        <v>15</v>
      </c>
      <c r="E697" s="167">
        <v>6100404</v>
      </c>
      <c r="F697" s="167">
        <v>243</v>
      </c>
      <c r="G697" s="74">
        <v>0</v>
      </c>
      <c r="H697" s="74">
        <v>0</v>
      </c>
      <c r="I697" s="74">
        <v>0</v>
      </c>
      <c r="J697" s="74">
        <v>0</v>
      </c>
      <c r="K697" s="74">
        <v>0</v>
      </c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67"/>
      <c r="Y697" s="453" t="s">
        <v>378</v>
      </c>
    </row>
    <row r="698" spans="1:71" s="55" customFormat="1" ht="24.6" customHeight="1">
      <c r="A698" s="452"/>
      <c r="B698" s="167" t="s">
        <v>284</v>
      </c>
      <c r="C698" s="167"/>
      <c r="D698" s="167"/>
      <c r="E698" s="167"/>
      <c r="F698" s="167"/>
      <c r="G698" s="74"/>
      <c r="H698" s="74"/>
      <c r="I698" s="74"/>
      <c r="J698" s="74"/>
      <c r="K698" s="74"/>
      <c r="L698" s="132"/>
      <c r="M698" s="132"/>
      <c r="N698" s="132"/>
      <c r="O698" s="132"/>
      <c r="P698" s="132"/>
      <c r="Q698" s="132">
        <f>T698</f>
        <v>6284.2</v>
      </c>
      <c r="R698" s="132"/>
      <c r="S698" s="132"/>
      <c r="T698" s="132">
        <f>6385.4-101.2</f>
        <v>6284.2</v>
      </c>
      <c r="U698" s="132"/>
      <c r="V698" s="132"/>
      <c r="W698" s="132"/>
      <c r="X698" s="167"/>
      <c r="Y698" s="453"/>
      <c r="AT698" s="150"/>
      <c r="AU698" s="150"/>
      <c r="AV698" s="150"/>
      <c r="AW698" s="150"/>
      <c r="AX698" s="150"/>
      <c r="AY698" s="150"/>
      <c r="AZ698" s="150"/>
      <c r="BA698" s="150"/>
      <c r="BB698" s="150"/>
      <c r="BC698" s="150"/>
      <c r="BD698" s="150"/>
      <c r="BE698" s="150"/>
      <c r="BF698" s="150"/>
      <c r="BG698" s="150"/>
      <c r="BH698" s="150"/>
      <c r="BI698" s="150"/>
      <c r="BJ698" s="150"/>
      <c r="BK698" s="150"/>
      <c r="BL698" s="150"/>
      <c r="BM698" s="150"/>
      <c r="BN698" s="150"/>
      <c r="BO698" s="150"/>
      <c r="BP698" s="150"/>
      <c r="BQ698" s="150"/>
      <c r="BR698" s="150"/>
      <c r="BS698" s="150"/>
    </row>
    <row r="699" spans="1:71" s="55" customFormat="1" ht="0.6" customHeight="1">
      <c r="A699" s="455" t="s">
        <v>260</v>
      </c>
      <c r="B699" s="167" t="s">
        <v>89</v>
      </c>
      <c r="C699" s="167"/>
      <c r="D699" s="167"/>
      <c r="E699" s="167"/>
      <c r="F699" s="167"/>
      <c r="G699" s="74"/>
      <c r="H699" s="74"/>
      <c r="I699" s="74"/>
      <c r="J699" s="74"/>
      <c r="K699" s="74"/>
      <c r="L699" s="132">
        <v>1.3</v>
      </c>
      <c r="M699" s="132"/>
      <c r="N699" s="132"/>
      <c r="O699" s="132">
        <v>1.3</v>
      </c>
      <c r="P699" s="132"/>
      <c r="Q699" s="132"/>
      <c r="R699" s="132"/>
      <c r="S699" s="132"/>
      <c r="T699" s="132"/>
      <c r="U699" s="132"/>
      <c r="V699" s="132"/>
      <c r="W699" s="132"/>
      <c r="X699" s="167"/>
      <c r="Y699" s="453" t="s">
        <v>261</v>
      </c>
      <c r="AT699" s="150"/>
      <c r="AU699" s="150"/>
      <c r="AV699" s="150"/>
      <c r="AW699" s="150"/>
      <c r="AX699" s="150"/>
      <c r="AY699" s="150"/>
      <c r="AZ699" s="150"/>
      <c r="BA699" s="150"/>
      <c r="BB699" s="150"/>
      <c r="BC699" s="150"/>
      <c r="BD699" s="150"/>
      <c r="BE699" s="150"/>
      <c r="BF699" s="150"/>
      <c r="BG699" s="150"/>
      <c r="BH699" s="150"/>
      <c r="BI699" s="150"/>
      <c r="BJ699" s="150"/>
      <c r="BK699" s="150"/>
      <c r="BL699" s="150"/>
      <c r="BM699" s="150"/>
      <c r="BN699" s="150"/>
      <c r="BO699" s="150"/>
      <c r="BP699" s="150"/>
      <c r="BQ699" s="150"/>
      <c r="BR699" s="150"/>
      <c r="BS699" s="150"/>
    </row>
    <row r="700" spans="1:71" ht="24.6" hidden="1" customHeight="1">
      <c r="A700" s="455"/>
      <c r="B700" s="167" t="s">
        <v>284</v>
      </c>
      <c r="C700" s="167"/>
      <c r="D700" s="167"/>
      <c r="E700" s="167"/>
      <c r="F700" s="167"/>
      <c r="G700" s="74"/>
      <c r="H700" s="74"/>
      <c r="I700" s="74"/>
      <c r="J700" s="74"/>
      <c r="K700" s="74"/>
      <c r="L700" s="132">
        <f>O700</f>
        <v>27039.7</v>
      </c>
      <c r="M700" s="132"/>
      <c r="N700" s="132"/>
      <c r="O700" s="132">
        <f>24207.7-121+2953</f>
        <v>27039.7</v>
      </c>
      <c r="P700" s="132"/>
      <c r="Q700" s="132"/>
      <c r="R700" s="132"/>
      <c r="S700" s="132"/>
      <c r="T700" s="132"/>
      <c r="U700" s="132"/>
      <c r="V700" s="132"/>
      <c r="W700" s="132"/>
      <c r="X700" s="167"/>
      <c r="Y700" s="453"/>
    </row>
    <row r="701" spans="1:71" ht="23.45" hidden="1" customHeight="1">
      <c r="A701" s="410" t="s">
        <v>143</v>
      </c>
      <c r="B701" s="82" t="s">
        <v>89</v>
      </c>
      <c r="C701" s="82"/>
      <c r="D701" s="82"/>
      <c r="E701" s="82"/>
      <c r="F701" s="82"/>
      <c r="G701" s="80">
        <f>G703+G705</f>
        <v>0.95</v>
      </c>
      <c r="H701" s="80">
        <f t="shared" ref="H701:V702" si="325">H703+H705</f>
        <v>0</v>
      </c>
      <c r="I701" s="80">
        <f t="shared" si="325"/>
        <v>0</v>
      </c>
      <c r="J701" s="80">
        <f t="shared" si="325"/>
        <v>0</v>
      </c>
      <c r="K701" s="80">
        <f t="shared" si="325"/>
        <v>0.95</v>
      </c>
      <c r="L701" s="131">
        <f t="shared" si="325"/>
        <v>0</v>
      </c>
      <c r="M701" s="131"/>
      <c r="N701" s="131"/>
      <c r="O701" s="131"/>
      <c r="P701" s="131"/>
      <c r="Q701" s="131">
        <f t="shared" si="325"/>
        <v>0</v>
      </c>
      <c r="R701" s="131"/>
      <c r="S701" s="131"/>
      <c r="T701" s="131"/>
      <c r="U701" s="131"/>
      <c r="V701" s="131">
        <f t="shared" si="325"/>
        <v>0</v>
      </c>
      <c r="W701" s="131"/>
      <c r="X701" s="167"/>
      <c r="Y701" s="82"/>
    </row>
    <row r="702" spans="1:71" ht="24.6" hidden="1" customHeight="1">
      <c r="A702" s="446"/>
      <c r="B702" s="82" t="s">
        <v>284</v>
      </c>
      <c r="C702" s="82"/>
      <c r="D702" s="82"/>
      <c r="E702" s="82"/>
      <c r="F702" s="82"/>
      <c r="G702" s="80">
        <f>G704+G706</f>
        <v>15558.3</v>
      </c>
      <c r="H702" s="80">
        <f t="shared" si="325"/>
        <v>0</v>
      </c>
      <c r="I702" s="80">
        <f t="shared" si="325"/>
        <v>5500</v>
      </c>
      <c r="J702" s="80">
        <f t="shared" si="325"/>
        <v>10058.299999999999</v>
      </c>
      <c r="K702" s="80">
        <f t="shared" si="325"/>
        <v>0</v>
      </c>
      <c r="L702" s="131">
        <f t="shared" si="325"/>
        <v>2679.2</v>
      </c>
      <c r="M702" s="131">
        <f t="shared" si="325"/>
        <v>2679.2</v>
      </c>
      <c r="N702" s="131">
        <f t="shared" si="325"/>
        <v>0</v>
      </c>
      <c r="O702" s="131">
        <f t="shared" si="325"/>
        <v>0</v>
      </c>
      <c r="P702" s="131">
        <f t="shared" si="325"/>
        <v>0</v>
      </c>
      <c r="Q702" s="131">
        <f t="shared" si="325"/>
        <v>0</v>
      </c>
      <c r="R702" s="131"/>
      <c r="S702" s="131"/>
      <c r="T702" s="131"/>
      <c r="U702" s="131"/>
      <c r="V702" s="131">
        <f t="shared" si="325"/>
        <v>0</v>
      </c>
      <c r="W702" s="131"/>
      <c r="X702" s="167"/>
      <c r="Y702" s="82"/>
    </row>
    <row r="703" spans="1:71" ht="24.6" hidden="1" customHeight="1">
      <c r="A703" s="451" t="s">
        <v>110</v>
      </c>
      <c r="B703" s="167" t="s">
        <v>89</v>
      </c>
      <c r="C703" s="167">
        <v>176</v>
      </c>
      <c r="D703" s="167" t="s">
        <v>15</v>
      </c>
      <c r="E703" s="167">
        <v>6100404</v>
      </c>
      <c r="F703" s="167">
        <v>243</v>
      </c>
      <c r="G703" s="74">
        <v>0</v>
      </c>
      <c r="H703" s="74">
        <v>0</v>
      </c>
      <c r="I703" s="74">
        <v>0</v>
      </c>
      <c r="J703" s="74">
        <v>0</v>
      </c>
      <c r="K703" s="74">
        <v>0</v>
      </c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67"/>
      <c r="Y703" s="453" t="s">
        <v>343</v>
      </c>
    </row>
    <row r="704" spans="1:71" ht="24" hidden="1" customHeight="1">
      <c r="A704" s="452"/>
      <c r="B704" s="167" t="s">
        <v>284</v>
      </c>
      <c r="C704" s="167"/>
      <c r="D704" s="167"/>
      <c r="E704" s="167"/>
      <c r="F704" s="167"/>
      <c r="G704" s="74"/>
      <c r="H704" s="74"/>
      <c r="I704" s="74"/>
      <c r="J704" s="74"/>
      <c r="K704" s="74"/>
      <c r="L704" s="132">
        <f>2719.5-40.3</f>
        <v>2679.2</v>
      </c>
      <c r="M704" s="132">
        <v>2679.2</v>
      </c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67"/>
      <c r="Y704" s="453"/>
    </row>
    <row r="705" spans="1:71" ht="24.6" hidden="1" customHeight="1">
      <c r="A705" s="455" t="s">
        <v>183</v>
      </c>
      <c r="B705" s="167" t="s">
        <v>89</v>
      </c>
      <c r="C705" s="167">
        <v>176</v>
      </c>
      <c r="D705" s="167" t="s">
        <v>15</v>
      </c>
      <c r="E705" s="167">
        <v>6100404</v>
      </c>
      <c r="F705" s="167">
        <v>243</v>
      </c>
      <c r="G705" s="74">
        <f>SUM(H705:K705)</f>
        <v>0.95</v>
      </c>
      <c r="H705" s="74">
        <v>0</v>
      </c>
      <c r="I705" s="74"/>
      <c r="J705" s="74"/>
      <c r="K705" s="74">
        <v>0.95</v>
      </c>
      <c r="L705" s="132">
        <v>0</v>
      </c>
      <c r="M705" s="132"/>
      <c r="N705" s="132"/>
      <c r="O705" s="132"/>
      <c r="P705" s="132"/>
      <c r="Q705" s="132">
        <v>0</v>
      </c>
      <c r="R705" s="132"/>
      <c r="S705" s="132"/>
      <c r="T705" s="132"/>
      <c r="U705" s="132"/>
      <c r="V705" s="132"/>
      <c r="W705" s="132"/>
      <c r="X705" s="167"/>
      <c r="Y705" s="453" t="s">
        <v>267</v>
      </c>
    </row>
    <row r="706" spans="1:71" s="55" customFormat="1" ht="24.6" hidden="1" customHeight="1">
      <c r="A706" s="455"/>
      <c r="B706" s="167" t="s">
        <v>284</v>
      </c>
      <c r="C706" s="167"/>
      <c r="D706" s="167"/>
      <c r="E706" s="167"/>
      <c r="F706" s="167"/>
      <c r="G706" s="74">
        <f>SUM(H706:K706)</f>
        <v>15558.3</v>
      </c>
      <c r="H706" s="74">
        <v>0</v>
      </c>
      <c r="I706" s="74">
        <v>5500</v>
      </c>
      <c r="J706" s="74">
        <f>11500-1441.7</f>
        <v>10058.299999999999</v>
      </c>
      <c r="K706" s="74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67"/>
      <c r="Y706" s="453"/>
      <c r="AT706" s="150"/>
      <c r="AU706" s="150"/>
      <c r="AV706" s="150"/>
      <c r="AW706" s="150"/>
      <c r="AX706" s="150"/>
      <c r="AY706" s="150"/>
      <c r="AZ706" s="150"/>
      <c r="BA706" s="150"/>
      <c r="BB706" s="150"/>
      <c r="BC706" s="150"/>
      <c r="BD706" s="150"/>
      <c r="BE706" s="150"/>
      <c r="BF706" s="150"/>
      <c r="BG706" s="150"/>
      <c r="BH706" s="150"/>
      <c r="BI706" s="150"/>
      <c r="BJ706" s="150"/>
      <c r="BK706" s="150"/>
      <c r="BL706" s="150"/>
      <c r="BM706" s="150"/>
      <c r="BN706" s="150"/>
      <c r="BO706" s="150"/>
      <c r="BP706" s="150"/>
      <c r="BQ706" s="150"/>
      <c r="BR706" s="150"/>
      <c r="BS706" s="150"/>
    </row>
    <row r="707" spans="1:71" s="55" customFormat="1" ht="0.6" hidden="1" customHeight="1">
      <c r="A707" s="172" t="s">
        <v>116</v>
      </c>
      <c r="B707" s="167" t="s">
        <v>89</v>
      </c>
      <c r="C707" s="167">
        <v>176</v>
      </c>
      <c r="D707" s="167" t="s">
        <v>15</v>
      </c>
      <c r="E707" s="167">
        <v>6100404</v>
      </c>
      <c r="F707" s="167">
        <v>243</v>
      </c>
      <c r="G707" s="74">
        <v>0</v>
      </c>
      <c r="H707" s="74">
        <v>0</v>
      </c>
      <c r="I707" s="74">
        <v>0</v>
      </c>
      <c r="J707" s="74">
        <v>0</v>
      </c>
      <c r="K707" s="74">
        <v>0</v>
      </c>
      <c r="L707" s="132">
        <v>0</v>
      </c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67"/>
      <c r="Y707" s="338" t="s">
        <v>35</v>
      </c>
      <c r="AT707" s="150"/>
      <c r="AU707" s="150"/>
      <c r="AV707" s="150"/>
      <c r="AW707" s="150"/>
      <c r="AX707" s="150"/>
      <c r="AY707" s="150"/>
      <c r="AZ707" s="150"/>
      <c r="BA707" s="150"/>
      <c r="BB707" s="150"/>
      <c r="BC707" s="150"/>
      <c r="BD707" s="150"/>
      <c r="BE707" s="150"/>
      <c r="BF707" s="150"/>
      <c r="BG707" s="150"/>
      <c r="BH707" s="150"/>
      <c r="BI707" s="150"/>
      <c r="BJ707" s="150"/>
      <c r="BK707" s="150"/>
      <c r="BL707" s="150"/>
      <c r="BM707" s="150"/>
      <c r="BN707" s="150"/>
      <c r="BO707" s="150"/>
      <c r="BP707" s="150"/>
      <c r="BQ707" s="150"/>
      <c r="BR707" s="150"/>
      <c r="BS707" s="150"/>
    </row>
    <row r="708" spans="1:71" ht="24.6" hidden="1" customHeight="1">
      <c r="A708" s="172"/>
      <c r="B708" s="167" t="s">
        <v>284</v>
      </c>
      <c r="C708" s="167"/>
      <c r="D708" s="167"/>
      <c r="E708" s="167"/>
      <c r="F708" s="167"/>
      <c r="G708" s="74"/>
      <c r="H708" s="74"/>
      <c r="I708" s="74"/>
      <c r="J708" s="74"/>
      <c r="K708" s="74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67"/>
      <c r="Y708" s="338"/>
    </row>
    <row r="709" spans="1:71" ht="24.95" customHeight="1">
      <c r="A709" s="461" t="s">
        <v>144</v>
      </c>
      <c r="B709" s="82" t="s">
        <v>89</v>
      </c>
      <c r="C709" s="82"/>
      <c r="D709" s="82"/>
      <c r="E709" s="82"/>
      <c r="F709" s="82"/>
      <c r="G709" s="80">
        <f>G711+G713+G717</f>
        <v>0</v>
      </c>
      <c r="H709" s="80">
        <f t="shared" ref="H709:W710" si="326">H711+H713+H717</f>
        <v>0</v>
      </c>
      <c r="I709" s="80">
        <f t="shared" si="326"/>
        <v>0</v>
      </c>
      <c r="J709" s="80">
        <f t="shared" si="326"/>
        <v>0</v>
      </c>
      <c r="K709" s="80">
        <f t="shared" si="326"/>
        <v>0</v>
      </c>
      <c r="L709" s="131">
        <f t="shared" si="326"/>
        <v>0</v>
      </c>
      <c r="M709" s="131"/>
      <c r="N709" s="131"/>
      <c r="O709" s="131"/>
      <c r="P709" s="131"/>
      <c r="Q709" s="131">
        <f t="shared" si="326"/>
        <v>1.73</v>
      </c>
      <c r="R709" s="131">
        <f t="shared" si="326"/>
        <v>0</v>
      </c>
      <c r="S709" s="131">
        <f t="shared" si="326"/>
        <v>0</v>
      </c>
      <c r="T709" s="131">
        <f t="shared" si="326"/>
        <v>0</v>
      </c>
      <c r="U709" s="131">
        <f t="shared" si="326"/>
        <v>1.73</v>
      </c>
      <c r="V709" s="131">
        <f t="shared" si="326"/>
        <v>0</v>
      </c>
      <c r="W709" s="131">
        <f t="shared" si="326"/>
        <v>0</v>
      </c>
      <c r="X709" s="167"/>
      <c r="Y709" s="82"/>
    </row>
    <row r="710" spans="1:71" ht="24.6" customHeight="1">
      <c r="A710" s="461"/>
      <c r="B710" s="82" t="s">
        <v>284</v>
      </c>
      <c r="C710" s="82"/>
      <c r="D710" s="82"/>
      <c r="E710" s="82"/>
      <c r="F710" s="82"/>
      <c r="G710" s="80">
        <f>G712+G714+G718</f>
        <v>4955.5</v>
      </c>
      <c r="H710" s="80">
        <f t="shared" si="326"/>
        <v>4955.4740000000002</v>
      </c>
      <c r="I710" s="80">
        <f t="shared" si="326"/>
        <v>0</v>
      </c>
      <c r="J710" s="80">
        <f t="shared" si="326"/>
        <v>0</v>
      </c>
      <c r="K710" s="80">
        <f t="shared" si="326"/>
        <v>0</v>
      </c>
      <c r="L710" s="131">
        <f t="shared" si="326"/>
        <v>4736.2</v>
      </c>
      <c r="M710" s="131">
        <f t="shared" si="326"/>
        <v>4736.2</v>
      </c>
      <c r="N710" s="131">
        <f t="shared" si="326"/>
        <v>0</v>
      </c>
      <c r="O710" s="131">
        <f t="shared" si="326"/>
        <v>0</v>
      </c>
      <c r="P710" s="131">
        <f t="shared" si="326"/>
        <v>0</v>
      </c>
      <c r="Q710" s="131">
        <f t="shared" si="326"/>
        <v>43038.3</v>
      </c>
      <c r="R710" s="131">
        <f t="shared" si="326"/>
        <v>0</v>
      </c>
      <c r="S710" s="131">
        <f t="shared" si="326"/>
        <v>0</v>
      </c>
      <c r="T710" s="131">
        <f t="shared" si="326"/>
        <v>3238.3</v>
      </c>
      <c r="U710" s="131">
        <f t="shared" si="326"/>
        <v>39800</v>
      </c>
      <c r="V710" s="131">
        <f t="shared" si="326"/>
        <v>0</v>
      </c>
      <c r="W710" s="131">
        <f t="shared" si="326"/>
        <v>0</v>
      </c>
      <c r="X710" s="167"/>
      <c r="Y710" s="82"/>
    </row>
    <row r="711" spans="1:71" ht="24.6" customHeight="1">
      <c r="A711" s="455" t="s">
        <v>110</v>
      </c>
      <c r="B711" s="167" t="s">
        <v>89</v>
      </c>
      <c r="C711" s="167">
        <v>176</v>
      </c>
      <c r="D711" s="167" t="s">
        <v>15</v>
      </c>
      <c r="E711" s="167">
        <v>6100404</v>
      </c>
      <c r="F711" s="167">
        <v>243</v>
      </c>
      <c r="G711" s="74">
        <v>0</v>
      </c>
      <c r="H711" s="74">
        <v>0</v>
      </c>
      <c r="I711" s="74">
        <v>0</v>
      </c>
      <c r="J711" s="74">
        <v>0</v>
      </c>
      <c r="K711" s="74">
        <v>0</v>
      </c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67"/>
      <c r="Y711" s="453" t="s">
        <v>343</v>
      </c>
    </row>
    <row r="712" spans="1:71" ht="23.45" customHeight="1">
      <c r="A712" s="455"/>
      <c r="B712" s="167" t="s">
        <v>284</v>
      </c>
      <c r="C712" s="167"/>
      <c r="D712" s="167"/>
      <c r="E712" s="167"/>
      <c r="F712" s="167"/>
      <c r="G712" s="74"/>
      <c r="H712" s="74"/>
      <c r="I712" s="74"/>
      <c r="J712" s="74"/>
      <c r="K712" s="74"/>
      <c r="L712" s="132">
        <f>4736.2</f>
        <v>4736.2</v>
      </c>
      <c r="M712" s="132">
        <v>4736.2</v>
      </c>
      <c r="N712" s="132"/>
      <c r="O712" s="132"/>
      <c r="P712" s="132"/>
      <c r="Q712" s="132">
        <f>T712</f>
        <v>3238.3</v>
      </c>
      <c r="R712" s="132"/>
      <c r="S712" s="132"/>
      <c r="T712" s="132">
        <f>3483.4-245.1</f>
        <v>3238.3</v>
      </c>
      <c r="U712" s="132"/>
      <c r="V712" s="132"/>
      <c r="W712" s="132"/>
      <c r="X712" s="167"/>
      <c r="Y712" s="453"/>
    </row>
    <row r="713" spans="1:71" ht="0.6" customHeight="1">
      <c r="A713" s="455" t="s">
        <v>182</v>
      </c>
      <c r="B713" s="167" t="s">
        <v>89</v>
      </c>
      <c r="C713" s="167">
        <v>176</v>
      </c>
      <c r="D713" s="167" t="s">
        <v>15</v>
      </c>
      <c r="E713" s="167">
        <v>6100404</v>
      </c>
      <c r="F713" s="167">
        <v>243</v>
      </c>
      <c r="G713" s="74">
        <v>0</v>
      </c>
      <c r="H713" s="74">
        <v>0</v>
      </c>
      <c r="I713" s="74">
        <v>0</v>
      </c>
      <c r="J713" s="74">
        <v>0</v>
      </c>
      <c r="K713" s="74">
        <v>0</v>
      </c>
      <c r="L713" s="132">
        <v>0</v>
      </c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67"/>
      <c r="Y713" s="453" t="s">
        <v>35</v>
      </c>
    </row>
    <row r="714" spans="1:71" ht="24.6" hidden="1" customHeight="1">
      <c r="A714" s="455"/>
      <c r="B714" s="167" t="s">
        <v>284</v>
      </c>
      <c r="C714" s="167"/>
      <c r="D714" s="167"/>
      <c r="E714" s="167"/>
      <c r="F714" s="167"/>
      <c r="G714" s="74"/>
      <c r="H714" s="74"/>
      <c r="I714" s="74"/>
      <c r="J714" s="74"/>
      <c r="K714" s="74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67"/>
      <c r="Y714" s="453"/>
    </row>
    <row r="715" spans="1:71" ht="0.6" hidden="1" customHeight="1">
      <c r="A715" s="172" t="s">
        <v>181</v>
      </c>
      <c r="B715" s="167" t="s">
        <v>89</v>
      </c>
      <c r="C715" s="167">
        <v>176</v>
      </c>
      <c r="D715" s="167" t="s">
        <v>15</v>
      </c>
      <c r="E715" s="167">
        <v>6100404</v>
      </c>
      <c r="F715" s="167">
        <v>243</v>
      </c>
      <c r="G715" s="74">
        <v>0</v>
      </c>
      <c r="H715" s="74">
        <v>0</v>
      </c>
      <c r="I715" s="74">
        <v>0</v>
      </c>
      <c r="J715" s="74">
        <v>0</v>
      </c>
      <c r="K715" s="74">
        <v>0</v>
      </c>
      <c r="L715" s="132">
        <v>0</v>
      </c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67"/>
      <c r="Y715" s="338" t="s">
        <v>35</v>
      </c>
    </row>
    <row r="716" spans="1:71" s="55" customFormat="1" ht="24.6" hidden="1" customHeight="1">
      <c r="A716" s="172"/>
      <c r="B716" s="167" t="s">
        <v>284</v>
      </c>
      <c r="C716" s="167"/>
      <c r="D716" s="167"/>
      <c r="E716" s="167"/>
      <c r="F716" s="167"/>
      <c r="G716" s="74"/>
      <c r="H716" s="74"/>
      <c r="I716" s="74"/>
      <c r="J716" s="74"/>
      <c r="K716" s="74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67"/>
      <c r="Y716" s="338"/>
      <c r="AT716" s="150"/>
      <c r="AU716" s="150"/>
      <c r="AV716" s="150"/>
      <c r="AW716" s="150"/>
      <c r="AX716" s="150"/>
      <c r="AY716" s="150"/>
      <c r="AZ716" s="150"/>
      <c r="BA716" s="150"/>
      <c r="BB716" s="150"/>
      <c r="BC716" s="150"/>
      <c r="BD716" s="150"/>
      <c r="BE716" s="150"/>
      <c r="BF716" s="150"/>
      <c r="BG716" s="150"/>
      <c r="BH716" s="150"/>
      <c r="BI716" s="150"/>
      <c r="BJ716" s="150"/>
      <c r="BK716" s="150"/>
      <c r="BL716" s="150"/>
      <c r="BM716" s="150"/>
      <c r="BN716" s="150"/>
      <c r="BO716" s="150"/>
      <c r="BP716" s="150"/>
      <c r="BQ716" s="150"/>
      <c r="BR716" s="150"/>
      <c r="BS716" s="150"/>
    </row>
    <row r="717" spans="1:71" s="55" customFormat="1" ht="23.45" customHeight="1">
      <c r="A717" s="455" t="s">
        <v>180</v>
      </c>
      <c r="B717" s="345" t="s">
        <v>89</v>
      </c>
      <c r="C717" s="345">
        <v>176</v>
      </c>
      <c r="D717" s="345" t="s">
        <v>15</v>
      </c>
      <c r="E717" s="345">
        <v>6100404</v>
      </c>
      <c r="F717" s="345">
        <v>243</v>
      </c>
      <c r="G717" s="74"/>
      <c r="H717" s="74"/>
      <c r="I717" s="74">
        <f>G717-H717</f>
        <v>0</v>
      </c>
      <c r="J717" s="74">
        <v>0</v>
      </c>
      <c r="K717" s="74"/>
      <c r="L717" s="132">
        <v>0</v>
      </c>
      <c r="M717" s="132"/>
      <c r="N717" s="132"/>
      <c r="O717" s="132"/>
      <c r="P717" s="132"/>
      <c r="Q717" s="132">
        <f>U717</f>
        <v>1.73</v>
      </c>
      <c r="R717" s="132"/>
      <c r="S717" s="132"/>
      <c r="T717" s="132"/>
      <c r="U717" s="132">
        <v>1.73</v>
      </c>
      <c r="V717" s="132"/>
      <c r="W717" s="132"/>
      <c r="X717" s="345"/>
      <c r="Y717" s="453" t="s">
        <v>261</v>
      </c>
      <c r="AT717" s="150"/>
      <c r="AU717" s="150"/>
      <c r="AV717" s="150"/>
      <c r="AW717" s="150"/>
      <c r="AX717" s="150"/>
      <c r="AY717" s="150"/>
      <c r="AZ717" s="150"/>
      <c r="BA717" s="150"/>
      <c r="BB717" s="150"/>
      <c r="BC717" s="150"/>
      <c r="BD717" s="150"/>
      <c r="BE717" s="150"/>
      <c r="BF717" s="150"/>
      <c r="BG717" s="150"/>
      <c r="BH717" s="150"/>
      <c r="BI717" s="150"/>
      <c r="BJ717" s="150"/>
      <c r="BK717" s="150"/>
      <c r="BL717" s="150"/>
      <c r="BM717" s="150"/>
      <c r="BN717" s="150"/>
      <c r="BO717" s="150"/>
      <c r="BP717" s="150"/>
      <c r="BQ717" s="150"/>
      <c r="BR717" s="150"/>
      <c r="BS717" s="150"/>
    </row>
    <row r="718" spans="1:71" ht="27.6" customHeight="1">
      <c r="A718" s="455"/>
      <c r="B718" s="345" t="s">
        <v>284</v>
      </c>
      <c r="C718" s="345"/>
      <c r="D718" s="345"/>
      <c r="E718" s="345"/>
      <c r="F718" s="345"/>
      <c r="G718" s="74">
        <f>5000-44.5</f>
        <v>4955.5</v>
      </c>
      <c r="H718" s="74">
        <v>4955.4740000000002</v>
      </c>
      <c r="I718" s="74"/>
      <c r="J718" s="74"/>
      <c r="K718" s="74"/>
      <c r="L718" s="132"/>
      <c r="M718" s="132"/>
      <c r="N718" s="132"/>
      <c r="O718" s="132"/>
      <c r="P718" s="132"/>
      <c r="Q718" s="132">
        <f>U718</f>
        <v>39800</v>
      </c>
      <c r="R718" s="132"/>
      <c r="S718" s="132"/>
      <c r="T718" s="132"/>
      <c r="U718" s="132">
        <f>40000-200</f>
        <v>39800</v>
      </c>
      <c r="V718" s="132"/>
      <c r="W718" s="132"/>
      <c r="X718" s="345"/>
      <c r="Y718" s="453"/>
    </row>
    <row r="719" spans="1:71" ht="24.6" customHeight="1">
      <c r="A719" s="461" t="s">
        <v>108</v>
      </c>
      <c r="B719" s="82" t="s">
        <v>89</v>
      </c>
      <c r="C719" s="82"/>
      <c r="D719" s="82"/>
      <c r="E719" s="82"/>
      <c r="F719" s="82"/>
      <c r="G719" s="80">
        <f>G721+G723</f>
        <v>0</v>
      </c>
      <c r="H719" s="80">
        <f t="shared" ref="H719:V720" si="327">H721+H723</f>
        <v>0</v>
      </c>
      <c r="I719" s="80">
        <f t="shared" si="327"/>
        <v>0</v>
      </c>
      <c r="J719" s="80">
        <f t="shared" si="327"/>
        <v>0</v>
      </c>
      <c r="K719" s="80">
        <f t="shared" si="327"/>
        <v>0</v>
      </c>
      <c r="L719" s="131">
        <f t="shared" si="327"/>
        <v>1.24</v>
      </c>
      <c r="M719" s="131">
        <f t="shared" si="327"/>
        <v>0</v>
      </c>
      <c r="N719" s="131">
        <f t="shared" si="327"/>
        <v>0</v>
      </c>
      <c r="O719" s="131">
        <f t="shared" si="327"/>
        <v>1.24</v>
      </c>
      <c r="P719" s="131">
        <f t="shared" si="327"/>
        <v>0</v>
      </c>
      <c r="Q719" s="131">
        <f t="shared" si="327"/>
        <v>1.4350000000000001</v>
      </c>
      <c r="R719" s="131">
        <f t="shared" si="327"/>
        <v>0</v>
      </c>
      <c r="S719" s="131">
        <f t="shared" si="327"/>
        <v>0</v>
      </c>
      <c r="T719" s="131">
        <f t="shared" si="327"/>
        <v>1.4350000000000001</v>
      </c>
      <c r="U719" s="131"/>
      <c r="V719" s="131">
        <f t="shared" si="327"/>
        <v>0</v>
      </c>
      <c r="W719" s="131">
        <f>W721</f>
        <v>0</v>
      </c>
      <c r="X719" s="167"/>
      <c r="Y719" s="82"/>
    </row>
    <row r="720" spans="1:71" ht="24.6" customHeight="1">
      <c r="A720" s="461"/>
      <c r="B720" s="82" t="s">
        <v>284</v>
      </c>
      <c r="C720" s="82"/>
      <c r="D720" s="82"/>
      <c r="E720" s="82"/>
      <c r="F720" s="82"/>
      <c r="G720" s="80">
        <f>G722+G724</f>
        <v>0</v>
      </c>
      <c r="H720" s="80">
        <f t="shared" si="327"/>
        <v>0</v>
      </c>
      <c r="I720" s="80">
        <f t="shared" si="327"/>
        <v>0</v>
      </c>
      <c r="J720" s="80">
        <f t="shared" si="327"/>
        <v>0</v>
      </c>
      <c r="K720" s="80">
        <f t="shared" si="327"/>
        <v>0</v>
      </c>
      <c r="L720" s="131">
        <f t="shared" si="327"/>
        <v>13000</v>
      </c>
      <c r="M720" s="131">
        <f t="shared" si="327"/>
        <v>0</v>
      </c>
      <c r="N720" s="131">
        <f t="shared" si="327"/>
        <v>0</v>
      </c>
      <c r="O720" s="131">
        <f t="shared" si="327"/>
        <v>13000</v>
      </c>
      <c r="P720" s="131">
        <f t="shared" si="327"/>
        <v>0</v>
      </c>
      <c r="Q720" s="131">
        <f t="shared" si="327"/>
        <v>15966.2</v>
      </c>
      <c r="R720" s="131">
        <f t="shared" si="327"/>
        <v>0</v>
      </c>
      <c r="S720" s="131">
        <f t="shared" si="327"/>
        <v>0</v>
      </c>
      <c r="T720" s="131">
        <f t="shared" si="327"/>
        <v>15966.2</v>
      </c>
      <c r="U720" s="131"/>
      <c r="V720" s="131">
        <f t="shared" si="327"/>
        <v>0</v>
      </c>
      <c r="W720" s="131">
        <f>W722</f>
        <v>0</v>
      </c>
      <c r="X720" s="167"/>
      <c r="Y720" s="82"/>
    </row>
    <row r="721" spans="1:71" ht="29.45" customHeight="1">
      <c r="A721" s="455" t="s">
        <v>145</v>
      </c>
      <c r="B721" s="167" t="s">
        <v>89</v>
      </c>
      <c r="C721" s="167">
        <v>176</v>
      </c>
      <c r="D721" s="167" t="s">
        <v>15</v>
      </c>
      <c r="E721" s="167">
        <v>6100404</v>
      </c>
      <c r="F721" s="167">
        <v>243</v>
      </c>
      <c r="G721" s="74">
        <v>0</v>
      </c>
      <c r="H721" s="74">
        <v>0</v>
      </c>
      <c r="I721" s="74">
        <v>0</v>
      </c>
      <c r="J721" s="74">
        <v>0</v>
      </c>
      <c r="K721" s="74">
        <v>0</v>
      </c>
      <c r="L721" s="132">
        <v>1.24</v>
      </c>
      <c r="M721" s="132"/>
      <c r="N721" s="132"/>
      <c r="O721" s="132">
        <v>1.24</v>
      </c>
      <c r="P721" s="132"/>
      <c r="Q721" s="132">
        <f>T721</f>
        <v>1.4350000000000001</v>
      </c>
      <c r="R721" s="132"/>
      <c r="S721" s="132"/>
      <c r="T721" s="132">
        <v>1.4350000000000001</v>
      </c>
      <c r="U721" s="132"/>
      <c r="V721" s="132"/>
      <c r="W721" s="132"/>
      <c r="X721" s="167"/>
      <c r="Y721" s="453" t="s">
        <v>564</v>
      </c>
    </row>
    <row r="722" spans="1:71" s="55" customFormat="1" ht="22.15" customHeight="1">
      <c r="A722" s="455"/>
      <c r="B722" s="167" t="s">
        <v>284</v>
      </c>
      <c r="C722" s="167"/>
      <c r="D722" s="167"/>
      <c r="E722" s="167"/>
      <c r="F722" s="167"/>
      <c r="G722" s="74"/>
      <c r="H722" s="74"/>
      <c r="I722" s="74"/>
      <c r="J722" s="74"/>
      <c r="K722" s="74"/>
      <c r="L722" s="132">
        <v>13000</v>
      </c>
      <c r="M722" s="132"/>
      <c r="N722" s="132"/>
      <c r="O722" s="132">
        <v>13000</v>
      </c>
      <c r="P722" s="132"/>
      <c r="Q722" s="132">
        <f>T722</f>
        <v>15966.2</v>
      </c>
      <c r="R722" s="132"/>
      <c r="S722" s="132"/>
      <c r="T722" s="132">
        <f>20000-3624.4-409.4</f>
        <v>15966.2</v>
      </c>
      <c r="U722" s="132"/>
      <c r="V722" s="132"/>
      <c r="W722" s="132"/>
      <c r="X722" s="167"/>
      <c r="Y722" s="453"/>
      <c r="AT722" s="150"/>
      <c r="AU722" s="150"/>
      <c r="AV722" s="150"/>
      <c r="AW722" s="150"/>
      <c r="AX722" s="150"/>
      <c r="AY722" s="150"/>
      <c r="AZ722" s="150"/>
      <c r="BA722" s="150"/>
      <c r="BB722" s="150"/>
      <c r="BC722" s="150"/>
      <c r="BD722" s="150"/>
      <c r="BE722" s="150"/>
      <c r="BF722" s="150"/>
      <c r="BG722" s="150"/>
      <c r="BH722" s="150"/>
      <c r="BI722" s="150"/>
      <c r="BJ722" s="150"/>
      <c r="BK722" s="150"/>
      <c r="BL722" s="150"/>
      <c r="BM722" s="150"/>
      <c r="BN722" s="150"/>
      <c r="BO722" s="150"/>
      <c r="BP722" s="150"/>
      <c r="BQ722" s="150"/>
      <c r="BR722" s="150"/>
      <c r="BS722" s="150"/>
    </row>
    <row r="723" spans="1:71" s="55" customFormat="1" ht="24.6" hidden="1" customHeight="1">
      <c r="A723" s="455" t="s">
        <v>110</v>
      </c>
      <c r="B723" s="167" t="s">
        <v>89</v>
      </c>
      <c r="C723" s="167">
        <v>176</v>
      </c>
      <c r="D723" s="167" t="s">
        <v>15</v>
      </c>
      <c r="E723" s="167">
        <v>6100404</v>
      </c>
      <c r="F723" s="167">
        <v>243</v>
      </c>
      <c r="G723" s="74">
        <v>0</v>
      </c>
      <c r="H723" s="74">
        <v>0</v>
      </c>
      <c r="I723" s="74">
        <v>0</v>
      </c>
      <c r="J723" s="74">
        <v>0</v>
      </c>
      <c r="K723" s="74">
        <v>0</v>
      </c>
      <c r="L723" s="132">
        <v>0</v>
      </c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67"/>
      <c r="Y723" s="453" t="s">
        <v>343</v>
      </c>
      <c r="AT723" s="150"/>
      <c r="AU723" s="150"/>
      <c r="AV723" s="150"/>
      <c r="AW723" s="150"/>
      <c r="AX723" s="150"/>
      <c r="AY723" s="150"/>
      <c r="AZ723" s="150"/>
      <c r="BA723" s="150"/>
      <c r="BB723" s="150"/>
      <c r="BC723" s="150"/>
      <c r="BD723" s="150"/>
      <c r="BE723" s="150"/>
      <c r="BF723" s="150"/>
      <c r="BG723" s="150"/>
      <c r="BH723" s="150"/>
      <c r="BI723" s="150"/>
      <c r="BJ723" s="150"/>
      <c r="BK723" s="150"/>
      <c r="BL723" s="150"/>
      <c r="BM723" s="150"/>
      <c r="BN723" s="150"/>
      <c r="BO723" s="150"/>
      <c r="BP723" s="150"/>
      <c r="BQ723" s="150"/>
      <c r="BR723" s="150"/>
      <c r="BS723" s="150"/>
    </row>
    <row r="724" spans="1:71" ht="24.6" hidden="1" customHeight="1">
      <c r="A724" s="455"/>
      <c r="B724" s="167" t="s">
        <v>284</v>
      </c>
      <c r="C724" s="167"/>
      <c r="D724" s="167"/>
      <c r="E724" s="167"/>
      <c r="F724" s="167"/>
      <c r="G724" s="74"/>
      <c r="H724" s="74"/>
      <c r="I724" s="74"/>
      <c r="J724" s="74"/>
      <c r="K724" s="74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67"/>
      <c r="Y724" s="453"/>
    </row>
    <row r="725" spans="1:71" ht="24.95" hidden="1" customHeight="1">
      <c r="A725" s="461" t="s">
        <v>146</v>
      </c>
      <c r="B725" s="82" t="s">
        <v>89</v>
      </c>
      <c r="C725" s="82"/>
      <c r="D725" s="82"/>
      <c r="E725" s="82"/>
      <c r="F725" s="82"/>
      <c r="G725" s="80">
        <f>G727+G729</f>
        <v>0</v>
      </c>
      <c r="H725" s="80">
        <f t="shared" ref="H725:W726" si="328">H727+H729</f>
        <v>0</v>
      </c>
      <c r="I725" s="80">
        <f t="shared" si="328"/>
        <v>0</v>
      </c>
      <c r="J725" s="80">
        <f t="shared" si="328"/>
        <v>0</v>
      </c>
      <c r="K725" s="80">
        <f t="shared" si="328"/>
        <v>0</v>
      </c>
      <c r="L725" s="131">
        <f t="shared" si="328"/>
        <v>1.3</v>
      </c>
      <c r="M725" s="131">
        <f t="shared" si="328"/>
        <v>1.3</v>
      </c>
      <c r="N725" s="131">
        <f t="shared" si="328"/>
        <v>0</v>
      </c>
      <c r="O725" s="131">
        <f t="shared" si="328"/>
        <v>0</v>
      </c>
      <c r="P725" s="131">
        <f t="shared" si="328"/>
        <v>0</v>
      </c>
      <c r="Q725" s="131"/>
      <c r="R725" s="131">
        <f t="shared" si="328"/>
        <v>0</v>
      </c>
      <c r="S725" s="131">
        <f t="shared" si="328"/>
        <v>0</v>
      </c>
      <c r="T725" s="131">
        <f t="shared" si="328"/>
        <v>0</v>
      </c>
      <c r="U725" s="131">
        <f t="shared" si="328"/>
        <v>0</v>
      </c>
      <c r="V725" s="131">
        <f t="shared" si="328"/>
        <v>0</v>
      </c>
      <c r="W725" s="131">
        <f t="shared" si="328"/>
        <v>0</v>
      </c>
      <c r="X725" s="167"/>
      <c r="Y725" s="82"/>
    </row>
    <row r="726" spans="1:71" ht="24.95" hidden="1" customHeight="1">
      <c r="A726" s="461"/>
      <c r="B726" s="82" t="s">
        <v>284</v>
      </c>
      <c r="C726" s="82"/>
      <c r="D726" s="82"/>
      <c r="E726" s="82"/>
      <c r="F726" s="82"/>
      <c r="G726" s="80">
        <f>G728+G730</f>
        <v>0</v>
      </c>
      <c r="H726" s="80">
        <f t="shared" si="328"/>
        <v>0</v>
      </c>
      <c r="I726" s="80">
        <f t="shared" si="328"/>
        <v>0</v>
      </c>
      <c r="J726" s="80">
        <f t="shared" si="328"/>
        <v>0</v>
      </c>
      <c r="K726" s="80">
        <f t="shared" si="328"/>
        <v>0</v>
      </c>
      <c r="L726" s="131">
        <f t="shared" si="328"/>
        <v>18777.3</v>
      </c>
      <c r="M726" s="131">
        <f t="shared" si="328"/>
        <v>11777.3</v>
      </c>
      <c r="N726" s="131">
        <f t="shared" si="328"/>
        <v>0</v>
      </c>
      <c r="O726" s="131">
        <f t="shared" si="328"/>
        <v>0</v>
      </c>
      <c r="P726" s="131">
        <f t="shared" si="328"/>
        <v>7000</v>
      </c>
      <c r="Q726" s="131">
        <f t="shared" si="328"/>
        <v>0</v>
      </c>
      <c r="R726" s="131">
        <f t="shared" si="328"/>
        <v>0</v>
      </c>
      <c r="S726" s="131">
        <f t="shared" si="328"/>
        <v>0</v>
      </c>
      <c r="T726" s="131">
        <f t="shared" si="328"/>
        <v>0</v>
      </c>
      <c r="U726" s="131">
        <f t="shared" si="328"/>
        <v>0</v>
      </c>
      <c r="V726" s="131">
        <f t="shared" si="328"/>
        <v>0</v>
      </c>
      <c r="W726" s="131">
        <f t="shared" si="328"/>
        <v>0</v>
      </c>
      <c r="X726" s="167"/>
      <c r="Y726" s="82"/>
    </row>
    <row r="727" spans="1:71" ht="24.95" hidden="1" customHeight="1">
      <c r="A727" s="455" t="s">
        <v>383</v>
      </c>
      <c r="B727" s="167" t="s">
        <v>89</v>
      </c>
      <c r="C727" s="167">
        <v>176</v>
      </c>
      <c r="D727" s="167" t="s">
        <v>15</v>
      </c>
      <c r="E727" s="167">
        <v>6100404</v>
      </c>
      <c r="F727" s="167">
        <v>243</v>
      </c>
      <c r="G727" s="74">
        <v>0</v>
      </c>
      <c r="H727" s="74">
        <v>0</v>
      </c>
      <c r="I727" s="74">
        <v>0</v>
      </c>
      <c r="J727" s="74">
        <v>0</v>
      </c>
      <c r="K727" s="74">
        <v>0</v>
      </c>
      <c r="L727" s="132">
        <v>1.3</v>
      </c>
      <c r="M727" s="132">
        <v>1.3</v>
      </c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67"/>
      <c r="Y727" s="453" t="s">
        <v>266</v>
      </c>
    </row>
    <row r="728" spans="1:71" ht="24" hidden="1" customHeight="1">
      <c r="A728" s="455"/>
      <c r="B728" s="167" t="s">
        <v>284</v>
      </c>
      <c r="C728" s="167"/>
      <c r="D728" s="167"/>
      <c r="E728" s="167"/>
      <c r="F728" s="167"/>
      <c r="G728" s="74"/>
      <c r="H728" s="74"/>
      <c r="I728" s="74"/>
      <c r="J728" s="74"/>
      <c r="K728" s="74"/>
      <c r="L728" s="132">
        <f>12196.5-419.2</f>
        <v>11777.3</v>
      </c>
      <c r="M728" s="132">
        <v>11777.3</v>
      </c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67"/>
      <c r="Y728" s="453"/>
    </row>
    <row r="729" spans="1:71" ht="24.6" hidden="1" customHeight="1">
      <c r="A729" s="455" t="s">
        <v>110</v>
      </c>
      <c r="B729" s="167" t="s">
        <v>89</v>
      </c>
      <c r="C729" s="167">
        <v>176</v>
      </c>
      <c r="D729" s="167" t="s">
        <v>15</v>
      </c>
      <c r="E729" s="167">
        <v>6100404</v>
      </c>
      <c r="F729" s="167">
        <v>243</v>
      </c>
      <c r="G729" s="74">
        <v>0</v>
      </c>
      <c r="H729" s="74">
        <v>0</v>
      </c>
      <c r="I729" s="74">
        <v>0</v>
      </c>
      <c r="J729" s="74">
        <v>0</v>
      </c>
      <c r="K729" s="74">
        <v>0</v>
      </c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67"/>
      <c r="Y729" s="453" t="s">
        <v>343</v>
      </c>
    </row>
    <row r="730" spans="1:71" ht="24.6" hidden="1" customHeight="1">
      <c r="A730" s="455"/>
      <c r="B730" s="167" t="s">
        <v>284</v>
      </c>
      <c r="C730" s="167"/>
      <c r="D730" s="167"/>
      <c r="E730" s="167"/>
      <c r="F730" s="167"/>
      <c r="G730" s="74"/>
      <c r="H730" s="74"/>
      <c r="I730" s="74"/>
      <c r="J730" s="74"/>
      <c r="K730" s="74"/>
      <c r="L730" s="132">
        <f>8000-1000</f>
        <v>7000</v>
      </c>
      <c r="M730" s="132"/>
      <c r="N730" s="132"/>
      <c r="O730" s="132"/>
      <c r="P730" s="132">
        <v>7000</v>
      </c>
      <c r="Q730" s="132">
        <f>U730</f>
        <v>0</v>
      </c>
      <c r="R730" s="132"/>
      <c r="S730" s="132"/>
      <c r="T730" s="132"/>
      <c r="U730" s="132"/>
      <c r="V730" s="132"/>
      <c r="W730" s="132"/>
      <c r="X730" s="167"/>
      <c r="Y730" s="453"/>
    </row>
    <row r="731" spans="1:71" ht="60" customHeight="1">
      <c r="A731" s="101" t="s">
        <v>32</v>
      </c>
      <c r="B731" s="345" t="s">
        <v>284</v>
      </c>
      <c r="C731" s="345">
        <v>176</v>
      </c>
      <c r="D731" s="345" t="s">
        <v>15</v>
      </c>
      <c r="E731" s="345">
        <v>6100404</v>
      </c>
      <c r="F731" s="345">
        <v>243</v>
      </c>
      <c r="G731" s="74">
        <f>SUM(H731:K731)</f>
        <v>300.5</v>
      </c>
      <c r="H731" s="74">
        <v>5.4</v>
      </c>
      <c r="I731" s="74">
        <v>41.1</v>
      </c>
      <c r="J731" s="74">
        <f>450-196</f>
        <v>254</v>
      </c>
      <c r="K731" s="74"/>
      <c r="L731" s="132">
        <f>P731</f>
        <v>685</v>
      </c>
      <c r="M731" s="132"/>
      <c r="N731" s="132"/>
      <c r="O731" s="132"/>
      <c r="P731" s="132">
        <f>4000-2000-1315</f>
        <v>685</v>
      </c>
      <c r="Q731" s="131">
        <f>T731</f>
        <v>1622.2</v>
      </c>
      <c r="R731" s="132"/>
      <c r="S731" s="132"/>
      <c r="T731" s="132">
        <v>1622.2</v>
      </c>
      <c r="U731" s="132"/>
      <c r="V731" s="131">
        <v>1500</v>
      </c>
      <c r="W731" s="131">
        <v>2000</v>
      </c>
      <c r="X731" s="167"/>
      <c r="Y731" s="306" t="s">
        <v>521</v>
      </c>
    </row>
    <row r="732" spans="1:71" ht="40.15" hidden="1" customHeight="1">
      <c r="A732" s="254" t="s">
        <v>238</v>
      </c>
      <c r="B732" s="167" t="s">
        <v>284</v>
      </c>
      <c r="C732" s="167"/>
      <c r="D732" s="167"/>
      <c r="E732" s="167"/>
      <c r="F732" s="167"/>
      <c r="G732" s="74">
        <f>SUM(H732:K732)</f>
        <v>162473.5</v>
      </c>
      <c r="H732" s="74">
        <f>157953.4+4520.1</f>
        <v>162473.5</v>
      </c>
      <c r="I732" s="74"/>
      <c r="J732" s="74"/>
      <c r="K732" s="74"/>
      <c r="L732" s="132"/>
      <c r="M732" s="132"/>
      <c r="N732" s="132"/>
      <c r="O732" s="132"/>
      <c r="P732" s="132"/>
      <c r="Q732" s="131"/>
      <c r="R732" s="132"/>
      <c r="S732" s="132"/>
      <c r="T732" s="132"/>
      <c r="U732" s="132"/>
      <c r="V732" s="132"/>
      <c r="W732" s="132"/>
      <c r="X732" s="167"/>
      <c r="Y732" s="338" t="s">
        <v>480</v>
      </c>
    </row>
    <row r="733" spans="1:71" ht="27" hidden="1" customHeight="1">
      <c r="A733" s="101"/>
      <c r="B733" s="167"/>
      <c r="C733" s="167"/>
      <c r="D733" s="167"/>
      <c r="E733" s="167"/>
      <c r="F733" s="167"/>
      <c r="G733" s="74"/>
      <c r="H733" s="74"/>
      <c r="I733" s="74"/>
      <c r="J733" s="74"/>
      <c r="K733" s="74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67"/>
      <c r="Y733" s="338"/>
    </row>
    <row r="734" spans="1:71" ht="24.95" customHeight="1">
      <c r="A734" s="461" t="s">
        <v>225</v>
      </c>
      <c r="B734" s="82" t="s">
        <v>89</v>
      </c>
      <c r="C734" s="82"/>
      <c r="D734" s="82"/>
      <c r="E734" s="82"/>
      <c r="F734" s="82"/>
      <c r="G734" s="80">
        <f>Z738</f>
        <v>0</v>
      </c>
      <c r="H734" s="80"/>
      <c r="I734" s="80"/>
      <c r="J734" s="80"/>
      <c r="K734" s="80">
        <f>K742+K746+K758+K764+K768+K780+K784+K790+K798+K809+K815+K821+K829+K845+K885+K889+K893+K899+K920</f>
        <v>12.702999999999998</v>
      </c>
      <c r="L734" s="131">
        <f>L742+L746+L758+L768+L780+L784+L790+L798+L809+L815+L845+L885+L889+L893+L899</f>
        <v>112.32999999999998</v>
      </c>
      <c r="M734" s="131"/>
      <c r="N734" s="131"/>
      <c r="O734" s="131"/>
      <c r="P734" s="131"/>
      <c r="Q734" s="131">
        <f>Q758+Q784+Q790+Q798+Q815+Q822+Q825+Q845+Q885+Q889+Q893+Q899+Q916+Q920+Q924</f>
        <v>46.566000000000003</v>
      </c>
      <c r="R734" s="131">
        <f>R758+R784+R790+R798+R815+R822+R825+R845+R885+R889+R893+R899+R916+R920+R924</f>
        <v>0</v>
      </c>
      <c r="S734" s="131">
        <f>S758+S784+S790+S798+S815+S822+S825+S845+S885+S889+S893+S899+S916+S920+S924</f>
        <v>0</v>
      </c>
      <c r="T734" s="131">
        <f>T758+T784+T790+T798+T815+T822+T825+T845+T885+T889+T893+T899+T916+T920+T924</f>
        <v>46.566000000000003</v>
      </c>
      <c r="U734" s="131"/>
      <c r="V734" s="131">
        <f>V784+V790+V798+V845+V885+V893+V899+V920+V924</f>
        <v>24.6</v>
      </c>
      <c r="W734" s="131">
        <f>W784+W790+W798+W845+W885+W893+W899+W920+W924</f>
        <v>18.48</v>
      </c>
      <c r="X734" s="453" t="s">
        <v>26</v>
      </c>
      <c r="Y734" s="453" t="s">
        <v>457</v>
      </c>
    </row>
    <row r="735" spans="1:71" ht="24.95" customHeight="1">
      <c r="A735" s="461"/>
      <c r="B735" s="82" t="s">
        <v>24</v>
      </c>
      <c r="C735" s="82"/>
      <c r="D735" s="82"/>
      <c r="E735" s="82"/>
      <c r="F735" s="82"/>
      <c r="G735" s="80" t="e">
        <f>G736/G734</f>
        <v>#REF!</v>
      </c>
      <c r="H735" s="80"/>
      <c r="I735" s="80"/>
      <c r="J735" s="80"/>
      <c r="K735" s="80"/>
      <c r="L735" s="131" t="e">
        <f>L736/L734</f>
        <v>#REF!</v>
      </c>
      <c r="M735" s="131"/>
      <c r="N735" s="131"/>
      <c r="O735" s="131"/>
      <c r="P735" s="131"/>
      <c r="Q735" s="131">
        <f>Q736/Q734</f>
        <v>9002.7079843662759</v>
      </c>
      <c r="R735" s="131"/>
      <c r="S735" s="131"/>
      <c r="T735" s="131"/>
      <c r="U735" s="131"/>
      <c r="V735" s="131">
        <f t="shared" ref="V735:W735" si="329">V736/V734</f>
        <v>11670.41869918699</v>
      </c>
      <c r="W735" s="131">
        <f t="shared" si="329"/>
        <v>10524.632034632035</v>
      </c>
      <c r="X735" s="453"/>
      <c r="Y735" s="453"/>
    </row>
    <row r="736" spans="1:71" ht="24.95" customHeight="1">
      <c r="A736" s="461"/>
      <c r="B736" s="82" t="s">
        <v>25</v>
      </c>
      <c r="C736" s="82">
        <v>176</v>
      </c>
      <c r="D736" s="82" t="s">
        <v>15</v>
      </c>
      <c r="E736" s="82">
        <v>6100404</v>
      </c>
      <c r="F736" s="82">
        <v>244</v>
      </c>
      <c r="G736" s="80" t="e">
        <f t="shared" ref="G736:P736" si="330">G738</f>
        <v>#REF!</v>
      </c>
      <c r="H736" s="80" t="e">
        <f>H738</f>
        <v>#REF!</v>
      </c>
      <c r="I736" s="80" t="e">
        <f t="shared" si="330"/>
        <v>#REF!</v>
      </c>
      <c r="J736" s="80" t="e">
        <f t="shared" si="330"/>
        <v>#REF!</v>
      </c>
      <c r="K736" s="80" t="e">
        <f t="shared" si="330"/>
        <v>#REF!</v>
      </c>
      <c r="L736" s="131" t="e">
        <f t="shared" si="330"/>
        <v>#REF!</v>
      </c>
      <c r="M736" s="131" t="e">
        <f t="shared" si="330"/>
        <v>#REF!</v>
      </c>
      <c r="N736" s="131" t="e">
        <f t="shared" si="330"/>
        <v>#REF!</v>
      </c>
      <c r="O736" s="131" t="e">
        <f t="shared" si="330"/>
        <v>#REF!</v>
      </c>
      <c r="P736" s="131" t="e">
        <f t="shared" si="330"/>
        <v>#REF!</v>
      </c>
      <c r="Q736" s="131">
        <f>Q738+Q739</f>
        <v>419220.10000000003</v>
      </c>
      <c r="R736" s="131">
        <f t="shared" ref="R736:U736" si="331">R738+R739</f>
        <v>0</v>
      </c>
      <c r="S736" s="131">
        <f t="shared" si="331"/>
        <v>15936.9</v>
      </c>
      <c r="T736" s="131">
        <f t="shared" si="331"/>
        <v>368508</v>
      </c>
      <c r="U736" s="131">
        <f t="shared" si="331"/>
        <v>34775.199999999997</v>
      </c>
      <c r="V736" s="131">
        <f t="shared" ref="V736:W736" si="332">V738+V739</f>
        <v>287092.3</v>
      </c>
      <c r="W736" s="131">
        <f t="shared" si="332"/>
        <v>194495.2</v>
      </c>
      <c r="X736" s="453"/>
      <c r="Y736" s="453"/>
    </row>
    <row r="737" spans="1:71" ht="24.95" customHeight="1">
      <c r="A737" s="461"/>
      <c r="B737" s="82" t="s">
        <v>9</v>
      </c>
      <c r="C737" s="82"/>
      <c r="D737" s="82"/>
      <c r="E737" s="82"/>
      <c r="F737" s="82"/>
      <c r="G737" s="80"/>
      <c r="H737" s="80"/>
      <c r="I737" s="80"/>
      <c r="J737" s="80"/>
      <c r="K737" s="80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453"/>
      <c r="Y737" s="453"/>
    </row>
    <row r="738" spans="1:71" ht="24.95" customHeight="1">
      <c r="A738" s="461"/>
      <c r="B738" s="82" t="s">
        <v>10</v>
      </c>
      <c r="C738" s="82">
        <v>176</v>
      </c>
      <c r="D738" s="82" t="s">
        <v>15</v>
      </c>
      <c r="E738" s="82">
        <v>6100404</v>
      </c>
      <c r="F738" s="82">
        <v>244</v>
      </c>
      <c r="G738" s="80" t="e">
        <f>SUM(H738:K738)</f>
        <v>#REF!</v>
      </c>
      <c r="H738" s="80" t="e">
        <f>H743+H747+H759+H765+H769+H781+H785+H791+H801+H810+H816+H822+H830+H848+H886+H890+H894+H902+H921+H928+#REF!</f>
        <v>#REF!</v>
      </c>
      <c r="I738" s="80" t="e">
        <f>I743+I747+I759+I765+I769+I781+I785+I791+I801+I810+I816+I822+I830+I848+I886+I890+I894+I902+I921+I928+#REF!</f>
        <v>#REF!</v>
      </c>
      <c r="J738" s="80" t="e">
        <f>J743+J747+J759+J765+J769+J781+J785+J791+J801+J810+J816+J822+J830+J848+J886+J890+J894+J902+J921+J928+#REF!</f>
        <v>#REF!</v>
      </c>
      <c r="K738" s="80" t="e">
        <f>K743+K747+K759+K765+K769+K781+K785+K791+K801+K810+K816+K822+K830+K848+K886+K890+K894+K902+K921+K928+#REF!</f>
        <v>#REF!</v>
      </c>
      <c r="L738" s="131" t="e">
        <f>L743+L747+L759+L765+L769+L781+L785+L791+L801+L810+L816+L822+L830+L848+L886+L890+L894+L902+L921+L928+#REF!</f>
        <v>#REF!</v>
      </c>
      <c r="M738" s="131" t="e">
        <f>M743+M747+M759+M765+M769+M781+M785+M791+M801+M810+M816+M822+M830+M848+M886+M890+M894+M902+M921+M928+#REF!</f>
        <v>#REF!</v>
      </c>
      <c r="N738" s="131" t="e">
        <f>N743+N747+N759+N765+N769+N781+N785+N791+N801+N810+N816+N822+N830+N848+N886+N890+N894+N902+N921+N928+#REF!</f>
        <v>#REF!</v>
      </c>
      <c r="O738" s="131" t="e">
        <f>O743+O747+O759+O765+O769+O781+O785+O791+O801+O810+O816+O822+O830+O848+O886+O890+O894+O902+O921+O928+#REF!</f>
        <v>#REF!</v>
      </c>
      <c r="P738" s="131" t="e">
        <f>P743+P747+P759+P765+P769+P781+P785+P791+P801+P810+P816+P822+P830+P848+P886+P890+P894+P902+P921+P928+#REF!</f>
        <v>#REF!</v>
      </c>
      <c r="Q738" s="131">
        <f>Q785+Q792+Q800+Q816+Q826+Q847+Q886+Q890+Q901+Q917+Q921+Q925+Q928+Q759</f>
        <v>363912.10000000003</v>
      </c>
      <c r="R738" s="131">
        <f>R792+R800+R847+R886+R901+R921+R925+R928+R785</f>
        <v>0</v>
      </c>
      <c r="S738" s="131">
        <f>S792+S800+S847+S886+S901+S921+S925+S928+S785</f>
        <v>1620</v>
      </c>
      <c r="T738" s="131">
        <f>SUM(T759,T785,T792,T800,T816,T826,T847,T886,T890,T901,T917,T921,T925,T928)</f>
        <v>327516.90000000002</v>
      </c>
      <c r="U738" s="131">
        <f>U792+U800+U847+U886+U901+U921+U925+U928+U785</f>
        <v>34775.199999999997</v>
      </c>
      <c r="V738" s="131">
        <f>V792+V800+V847+V886+V901+V921+V925+V928+V785+V894</f>
        <v>226042.3</v>
      </c>
      <c r="W738" s="131">
        <f>W792+W800+W847+W886+W901+W921+W925+W928+W785</f>
        <v>194495.2</v>
      </c>
      <c r="X738" s="453"/>
      <c r="Y738" s="453"/>
      <c r="Z738" s="160"/>
      <c r="AA738" s="57"/>
    </row>
    <row r="739" spans="1:71" s="55" customFormat="1" ht="24.6" customHeight="1">
      <c r="A739" s="461"/>
      <c r="B739" s="82" t="s">
        <v>427</v>
      </c>
      <c r="C739" s="82"/>
      <c r="D739" s="82"/>
      <c r="E739" s="82"/>
      <c r="F739" s="82"/>
      <c r="G739" s="80">
        <v>0</v>
      </c>
      <c r="H739" s="80"/>
      <c r="I739" s="80"/>
      <c r="J739" s="80"/>
      <c r="K739" s="80"/>
      <c r="L739" s="131">
        <v>0</v>
      </c>
      <c r="M739" s="131"/>
      <c r="N739" s="131"/>
      <c r="O739" s="131"/>
      <c r="P739" s="131"/>
      <c r="Q739" s="131">
        <f>Q793+Q848+Q902</f>
        <v>55308</v>
      </c>
      <c r="R739" s="131">
        <f>R793+R848+R902</f>
        <v>0</v>
      </c>
      <c r="S739" s="131">
        <f>S793+S848+S902</f>
        <v>14316.9</v>
      </c>
      <c r="T739" s="131">
        <f>T793+T848+T902</f>
        <v>40991.1</v>
      </c>
      <c r="U739" s="131">
        <f>U793+U848+U902</f>
        <v>0</v>
      </c>
      <c r="V739" s="131">
        <f>V793+V848+V902+V801</f>
        <v>61050</v>
      </c>
      <c r="W739" s="131">
        <f>W793+W848+W902</f>
        <v>0</v>
      </c>
      <c r="X739" s="453"/>
      <c r="Y739" s="453"/>
      <c r="AT739" s="150"/>
      <c r="AU739" s="150"/>
      <c r="AV739" s="150"/>
      <c r="AW739" s="150"/>
      <c r="AX739" s="150"/>
      <c r="AY739" s="150"/>
      <c r="AZ739" s="150"/>
      <c r="BA739" s="150"/>
      <c r="BB739" s="150"/>
      <c r="BC739" s="150"/>
      <c r="BD739" s="150"/>
      <c r="BE739" s="150"/>
      <c r="BF739" s="150"/>
      <c r="BG739" s="150"/>
      <c r="BH739" s="150"/>
      <c r="BI739" s="150"/>
      <c r="BJ739" s="150"/>
      <c r="BK739" s="150"/>
      <c r="BL739" s="150"/>
      <c r="BM739" s="150"/>
      <c r="BN739" s="150"/>
      <c r="BO739" s="150"/>
      <c r="BP739" s="150"/>
      <c r="BQ739" s="150"/>
      <c r="BR739" s="150"/>
      <c r="BS739" s="150"/>
    </row>
    <row r="740" spans="1:71" s="55" customFormat="1" ht="24.95" hidden="1" customHeight="1">
      <c r="A740" s="461"/>
      <c r="B740" s="82" t="s">
        <v>462</v>
      </c>
      <c r="C740" s="82"/>
      <c r="D740" s="82"/>
      <c r="E740" s="82"/>
      <c r="F740" s="82"/>
      <c r="G740" s="80">
        <v>0</v>
      </c>
      <c r="H740" s="80"/>
      <c r="I740" s="80"/>
      <c r="J740" s="80"/>
      <c r="K740" s="80"/>
      <c r="L740" s="131">
        <v>0</v>
      </c>
      <c r="M740" s="131"/>
      <c r="N740" s="131"/>
      <c r="O740" s="131"/>
      <c r="P740" s="131"/>
      <c r="Q740" s="131">
        <v>0</v>
      </c>
      <c r="R740" s="131"/>
      <c r="S740" s="131"/>
      <c r="T740" s="131"/>
      <c r="U740" s="131"/>
      <c r="V740" s="131"/>
      <c r="W740" s="131"/>
      <c r="X740" s="453"/>
      <c r="Y740" s="453"/>
      <c r="AT740" s="150"/>
      <c r="AU740" s="150"/>
      <c r="AV740" s="150"/>
      <c r="AW740" s="150"/>
      <c r="AX740" s="150"/>
      <c r="AY740" s="150"/>
      <c r="AZ740" s="150"/>
      <c r="BA740" s="150"/>
      <c r="BB740" s="150"/>
      <c r="BC740" s="150"/>
      <c r="BD740" s="150"/>
      <c r="BE740" s="150"/>
      <c r="BF740" s="150"/>
      <c r="BG740" s="150"/>
      <c r="BH740" s="150"/>
      <c r="BI740" s="150"/>
      <c r="BJ740" s="150"/>
      <c r="BK740" s="150"/>
      <c r="BL740" s="150"/>
      <c r="BM740" s="150"/>
      <c r="BN740" s="150"/>
      <c r="BO740" s="150"/>
      <c r="BP740" s="150"/>
      <c r="BQ740" s="150"/>
      <c r="BR740" s="150"/>
      <c r="BS740" s="150"/>
    </row>
    <row r="741" spans="1:71" ht="24.95" hidden="1" customHeight="1">
      <c r="A741" s="461"/>
      <c r="B741" s="82" t="s">
        <v>484</v>
      </c>
      <c r="C741" s="82"/>
      <c r="D741" s="82"/>
      <c r="E741" s="82"/>
      <c r="F741" s="82"/>
      <c r="G741" s="80">
        <v>0</v>
      </c>
      <c r="H741" s="80">
        <v>0</v>
      </c>
      <c r="I741" s="80">
        <v>0</v>
      </c>
      <c r="J741" s="80">
        <v>0</v>
      </c>
      <c r="K741" s="80">
        <v>0</v>
      </c>
      <c r="L741" s="131">
        <v>0</v>
      </c>
      <c r="M741" s="131"/>
      <c r="N741" s="131"/>
      <c r="O741" s="131"/>
      <c r="P741" s="131"/>
      <c r="Q741" s="131">
        <v>0</v>
      </c>
      <c r="R741" s="131"/>
      <c r="S741" s="131"/>
      <c r="T741" s="131"/>
      <c r="U741" s="131"/>
      <c r="V741" s="131"/>
      <c r="W741" s="131"/>
      <c r="X741" s="453"/>
      <c r="Y741" s="453"/>
    </row>
    <row r="742" spans="1:71" ht="24.95" hidden="1" customHeight="1">
      <c r="A742" s="461" t="s">
        <v>96</v>
      </c>
      <c r="B742" s="82" t="s">
        <v>89</v>
      </c>
      <c r="C742" s="82"/>
      <c r="D742" s="82"/>
      <c r="E742" s="82"/>
      <c r="F742" s="82"/>
      <c r="G742" s="80">
        <f>G744</f>
        <v>0</v>
      </c>
      <c r="H742" s="80">
        <f t="shared" ref="H742:Q743" si="333">H744</f>
        <v>0</v>
      </c>
      <c r="I742" s="80">
        <f t="shared" si="333"/>
        <v>0</v>
      </c>
      <c r="J742" s="80">
        <f t="shared" si="333"/>
        <v>0</v>
      </c>
      <c r="K742" s="80">
        <f t="shared" si="333"/>
        <v>0</v>
      </c>
      <c r="L742" s="131">
        <f t="shared" si="333"/>
        <v>1</v>
      </c>
      <c r="M742" s="131">
        <f t="shared" si="333"/>
        <v>0</v>
      </c>
      <c r="N742" s="131">
        <f t="shared" si="333"/>
        <v>0</v>
      </c>
      <c r="O742" s="131">
        <f t="shared" si="333"/>
        <v>1</v>
      </c>
      <c r="P742" s="131">
        <f t="shared" si="333"/>
        <v>0</v>
      </c>
      <c r="Q742" s="131">
        <f t="shared" si="333"/>
        <v>0</v>
      </c>
      <c r="R742" s="131"/>
      <c r="S742" s="131"/>
      <c r="T742" s="131"/>
      <c r="U742" s="131"/>
      <c r="V742" s="131">
        <f>V744</f>
        <v>0</v>
      </c>
      <c r="W742" s="131">
        <f>W744</f>
        <v>0</v>
      </c>
      <c r="X742" s="82"/>
      <c r="Y742" s="82"/>
    </row>
    <row r="743" spans="1:71" s="55" customFormat="1" ht="24.95" hidden="1" customHeight="1">
      <c r="A743" s="461"/>
      <c r="B743" s="82" t="s">
        <v>284</v>
      </c>
      <c r="C743" s="82"/>
      <c r="D743" s="82"/>
      <c r="E743" s="82"/>
      <c r="F743" s="82"/>
      <c r="G743" s="80">
        <f>G745</f>
        <v>0</v>
      </c>
      <c r="H743" s="80">
        <f t="shared" si="333"/>
        <v>0</v>
      </c>
      <c r="I743" s="80">
        <f t="shared" si="333"/>
        <v>0</v>
      </c>
      <c r="J743" s="80">
        <f t="shared" si="333"/>
        <v>0</v>
      </c>
      <c r="K743" s="80">
        <f t="shared" si="333"/>
        <v>0</v>
      </c>
      <c r="L743" s="131">
        <f t="shared" si="333"/>
        <v>14724.6</v>
      </c>
      <c r="M743" s="131">
        <f t="shared" si="333"/>
        <v>0</v>
      </c>
      <c r="N743" s="131">
        <f t="shared" si="333"/>
        <v>0</v>
      </c>
      <c r="O743" s="131">
        <f t="shared" si="333"/>
        <v>14724.6</v>
      </c>
      <c r="P743" s="131">
        <f t="shared" si="333"/>
        <v>0</v>
      </c>
      <c r="Q743" s="131">
        <f t="shared" si="333"/>
        <v>0</v>
      </c>
      <c r="R743" s="131"/>
      <c r="S743" s="131"/>
      <c r="T743" s="131"/>
      <c r="U743" s="131"/>
      <c r="V743" s="131">
        <f>V745</f>
        <v>0</v>
      </c>
      <c r="W743" s="131">
        <f>W745</f>
        <v>0</v>
      </c>
      <c r="X743" s="82"/>
      <c r="Y743" s="82"/>
      <c r="AT743" s="150"/>
      <c r="AU743" s="150"/>
      <c r="AV743" s="150"/>
      <c r="AW743" s="150"/>
      <c r="AX743" s="150"/>
      <c r="AY743" s="150"/>
      <c r="AZ743" s="150"/>
      <c r="BA743" s="150"/>
      <c r="BB743" s="150"/>
      <c r="BC743" s="150"/>
      <c r="BD743" s="150"/>
      <c r="BE743" s="150"/>
      <c r="BF743" s="150"/>
      <c r="BG743" s="150"/>
      <c r="BH743" s="150"/>
      <c r="BI743" s="150"/>
      <c r="BJ743" s="150"/>
      <c r="BK743" s="150"/>
      <c r="BL743" s="150"/>
      <c r="BM743" s="150"/>
      <c r="BN743" s="150"/>
      <c r="BO743" s="150"/>
      <c r="BP743" s="150"/>
      <c r="BQ743" s="150"/>
      <c r="BR743" s="150"/>
      <c r="BS743" s="150"/>
    </row>
    <row r="744" spans="1:71" s="55" customFormat="1" ht="24.95" hidden="1" customHeight="1">
      <c r="A744" s="455" t="s">
        <v>154</v>
      </c>
      <c r="B744" s="167" t="s">
        <v>89</v>
      </c>
      <c r="C744" s="167">
        <v>176</v>
      </c>
      <c r="D744" s="167" t="s">
        <v>15</v>
      </c>
      <c r="E744" s="167">
        <v>6100404</v>
      </c>
      <c r="F744" s="167">
        <v>244</v>
      </c>
      <c r="G744" s="74">
        <v>0</v>
      </c>
      <c r="H744" s="74">
        <v>0</v>
      </c>
      <c r="I744" s="74">
        <v>0</v>
      </c>
      <c r="J744" s="74">
        <v>0</v>
      </c>
      <c r="K744" s="74">
        <v>0</v>
      </c>
      <c r="L744" s="132">
        <v>1</v>
      </c>
      <c r="M744" s="132"/>
      <c r="N744" s="132"/>
      <c r="O744" s="132">
        <v>1</v>
      </c>
      <c r="P744" s="132"/>
      <c r="Q744" s="132"/>
      <c r="R744" s="132"/>
      <c r="S744" s="132"/>
      <c r="T744" s="132"/>
      <c r="U744" s="132"/>
      <c r="V744" s="132"/>
      <c r="W744" s="132"/>
      <c r="X744" s="167"/>
      <c r="Y744" s="453" t="s">
        <v>386</v>
      </c>
      <c r="AT744" s="150"/>
      <c r="AU744" s="150"/>
      <c r="AV744" s="150"/>
      <c r="AW744" s="150"/>
      <c r="AX744" s="150"/>
      <c r="AY744" s="150"/>
      <c r="AZ744" s="150"/>
      <c r="BA744" s="150"/>
      <c r="BB744" s="150"/>
      <c r="BC744" s="150"/>
      <c r="BD744" s="150"/>
      <c r="BE744" s="150"/>
      <c r="BF744" s="150"/>
      <c r="BG744" s="150"/>
      <c r="BH744" s="150"/>
      <c r="BI744" s="150"/>
      <c r="BJ744" s="150"/>
      <c r="BK744" s="150"/>
      <c r="BL744" s="150"/>
      <c r="BM744" s="150"/>
      <c r="BN744" s="150"/>
      <c r="BO744" s="150"/>
      <c r="BP744" s="150"/>
      <c r="BQ744" s="150"/>
      <c r="BR744" s="150"/>
      <c r="BS744" s="150"/>
    </row>
    <row r="745" spans="1:71" ht="24.95" hidden="1" customHeight="1">
      <c r="A745" s="455"/>
      <c r="B745" s="167" t="s">
        <v>284</v>
      </c>
      <c r="C745" s="167"/>
      <c r="D745" s="167"/>
      <c r="E745" s="167"/>
      <c r="F745" s="167"/>
      <c r="G745" s="74"/>
      <c r="H745" s="74"/>
      <c r="I745" s="74"/>
      <c r="J745" s="74"/>
      <c r="K745" s="74"/>
      <c r="L745" s="132">
        <f>29000-12000-2275.4</f>
        <v>14724.6</v>
      </c>
      <c r="M745" s="132"/>
      <c r="N745" s="132"/>
      <c r="O745" s="132">
        <f>17000-2275.4</f>
        <v>14724.6</v>
      </c>
      <c r="P745" s="132"/>
      <c r="Q745" s="132"/>
      <c r="R745" s="132"/>
      <c r="S745" s="132"/>
      <c r="T745" s="132"/>
      <c r="U745" s="132"/>
      <c r="V745" s="132"/>
      <c r="W745" s="132"/>
      <c r="X745" s="167"/>
      <c r="Y745" s="453"/>
    </row>
    <row r="746" spans="1:71" ht="24" hidden="1" customHeight="1">
      <c r="A746" s="461" t="s">
        <v>117</v>
      </c>
      <c r="B746" s="82" t="s">
        <v>89</v>
      </c>
      <c r="C746" s="82"/>
      <c r="D746" s="82"/>
      <c r="E746" s="82"/>
      <c r="F746" s="82"/>
      <c r="G746" s="80">
        <f>G748+G750</f>
        <v>0</v>
      </c>
      <c r="H746" s="80">
        <f t="shared" ref="H746:W747" si="334">H748+H750</f>
        <v>0</v>
      </c>
      <c r="I746" s="80">
        <f t="shared" si="334"/>
        <v>0</v>
      </c>
      <c r="J746" s="80">
        <f t="shared" si="334"/>
        <v>0</v>
      </c>
      <c r="K746" s="80">
        <f t="shared" si="334"/>
        <v>0</v>
      </c>
      <c r="L746" s="131">
        <f t="shared" si="334"/>
        <v>0.38500000000000001</v>
      </c>
      <c r="M746" s="131">
        <f t="shared" si="334"/>
        <v>0.38500000000000001</v>
      </c>
      <c r="N746" s="131">
        <f t="shared" si="334"/>
        <v>0</v>
      </c>
      <c r="O746" s="131">
        <f t="shared" si="334"/>
        <v>0</v>
      </c>
      <c r="P746" s="131">
        <f t="shared" si="334"/>
        <v>0</v>
      </c>
      <c r="Q746" s="131">
        <f t="shared" si="334"/>
        <v>0</v>
      </c>
      <c r="R746" s="131"/>
      <c r="S746" s="131"/>
      <c r="T746" s="131"/>
      <c r="U746" s="131"/>
      <c r="V746" s="131">
        <f t="shared" si="334"/>
        <v>0</v>
      </c>
      <c r="W746" s="131">
        <f t="shared" si="334"/>
        <v>0</v>
      </c>
      <c r="X746" s="167"/>
      <c r="Y746" s="82"/>
    </row>
    <row r="747" spans="1:71" ht="24.6" hidden="1" customHeight="1">
      <c r="A747" s="461"/>
      <c r="B747" s="82" t="s">
        <v>284</v>
      </c>
      <c r="C747" s="82"/>
      <c r="D747" s="82"/>
      <c r="E747" s="82"/>
      <c r="F747" s="82"/>
      <c r="G747" s="80">
        <f>G749+G751</f>
        <v>0</v>
      </c>
      <c r="H747" s="80">
        <f t="shared" si="334"/>
        <v>0</v>
      </c>
      <c r="I747" s="80">
        <f t="shared" si="334"/>
        <v>0</v>
      </c>
      <c r="J747" s="80">
        <f t="shared" si="334"/>
        <v>0</v>
      </c>
      <c r="K747" s="80">
        <f t="shared" si="334"/>
        <v>0</v>
      </c>
      <c r="L747" s="131">
        <f t="shared" si="334"/>
        <v>5497.6</v>
      </c>
      <c r="M747" s="131">
        <f t="shared" si="334"/>
        <v>5497.6</v>
      </c>
      <c r="N747" s="131">
        <f t="shared" si="334"/>
        <v>0</v>
      </c>
      <c r="O747" s="131">
        <f t="shared" si="334"/>
        <v>0</v>
      </c>
      <c r="P747" s="131">
        <f t="shared" si="334"/>
        <v>0</v>
      </c>
      <c r="Q747" s="131">
        <f t="shared" si="334"/>
        <v>0</v>
      </c>
      <c r="R747" s="131"/>
      <c r="S747" s="131"/>
      <c r="T747" s="131"/>
      <c r="U747" s="131"/>
      <c r="V747" s="131">
        <f t="shared" si="334"/>
        <v>0</v>
      </c>
      <c r="W747" s="131">
        <f t="shared" si="334"/>
        <v>0</v>
      </c>
      <c r="X747" s="167"/>
      <c r="Y747" s="82"/>
    </row>
    <row r="748" spans="1:71" ht="25.15" hidden="1" customHeight="1">
      <c r="A748" s="455" t="s">
        <v>155</v>
      </c>
      <c r="B748" s="167" t="s">
        <v>89</v>
      </c>
      <c r="C748" s="167">
        <v>176</v>
      </c>
      <c r="D748" s="167" t="s">
        <v>15</v>
      </c>
      <c r="E748" s="167">
        <v>6100404</v>
      </c>
      <c r="F748" s="167">
        <v>244</v>
      </c>
      <c r="G748" s="74">
        <f>SUM(H748:K748)</f>
        <v>0</v>
      </c>
      <c r="H748" s="74"/>
      <c r="I748" s="74"/>
      <c r="J748" s="74"/>
      <c r="K748" s="74">
        <v>0</v>
      </c>
      <c r="L748" s="132">
        <v>0.38500000000000001</v>
      </c>
      <c r="M748" s="132">
        <v>0.38500000000000001</v>
      </c>
      <c r="N748" s="132"/>
      <c r="O748" s="132"/>
      <c r="P748" s="132"/>
      <c r="Q748" s="132">
        <v>0</v>
      </c>
      <c r="R748" s="132"/>
      <c r="S748" s="132"/>
      <c r="T748" s="132"/>
      <c r="U748" s="132"/>
      <c r="V748" s="132"/>
      <c r="W748" s="132"/>
      <c r="X748" s="167"/>
      <c r="Y748" s="453" t="s">
        <v>387</v>
      </c>
    </row>
    <row r="749" spans="1:71" s="55" customFormat="1" ht="24" hidden="1" customHeight="1">
      <c r="A749" s="455"/>
      <c r="B749" s="167" t="s">
        <v>284</v>
      </c>
      <c r="C749" s="167"/>
      <c r="D749" s="167"/>
      <c r="E749" s="167"/>
      <c r="F749" s="167"/>
      <c r="G749" s="74"/>
      <c r="H749" s="74"/>
      <c r="I749" s="74"/>
      <c r="J749" s="74"/>
      <c r="K749" s="74"/>
      <c r="L749" s="132">
        <v>5497.6</v>
      </c>
      <c r="M749" s="132">
        <v>5497.6</v>
      </c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67"/>
      <c r="Y749" s="453"/>
      <c r="AT749" s="150"/>
      <c r="AU749" s="150"/>
      <c r="AV749" s="150"/>
      <c r="AW749" s="150"/>
      <c r="AX749" s="150"/>
      <c r="AY749" s="150"/>
      <c r="AZ749" s="150"/>
      <c r="BA749" s="150"/>
      <c r="BB749" s="150"/>
      <c r="BC749" s="150"/>
      <c r="BD749" s="150"/>
      <c r="BE749" s="150"/>
      <c r="BF749" s="150"/>
      <c r="BG749" s="150"/>
      <c r="BH749" s="150"/>
      <c r="BI749" s="150"/>
      <c r="BJ749" s="150"/>
      <c r="BK749" s="150"/>
      <c r="BL749" s="150"/>
      <c r="BM749" s="150"/>
      <c r="BN749" s="150"/>
      <c r="BO749" s="150"/>
      <c r="BP749" s="150"/>
      <c r="BQ749" s="150"/>
      <c r="BR749" s="150"/>
      <c r="BS749" s="150"/>
    </row>
    <row r="750" spans="1:71" ht="1.1499999999999999" hidden="1" customHeight="1">
      <c r="A750" s="455" t="s">
        <v>163</v>
      </c>
      <c r="B750" s="167" t="s">
        <v>89</v>
      </c>
      <c r="C750" s="167">
        <v>176</v>
      </c>
      <c r="D750" s="167" t="s">
        <v>15</v>
      </c>
      <c r="E750" s="167">
        <v>6100404</v>
      </c>
      <c r="F750" s="167">
        <v>244</v>
      </c>
      <c r="G750" s="74">
        <f>SUM(H750:K750)</f>
        <v>0</v>
      </c>
      <c r="H750" s="74">
        <v>0</v>
      </c>
      <c r="I750" s="74"/>
      <c r="J750" s="74"/>
      <c r="K750" s="74">
        <v>0</v>
      </c>
      <c r="L750" s="132"/>
      <c r="M750" s="132"/>
      <c r="N750" s="132"/>
      <c r="O750" s="132"/>
      <c r="P750" s="132"/>
      <c r="Q750" s="132">
        <v>0</v>
      </c>
      <c r="R750" s="132"/>
      <c r="S750" s="132"/>
      <c r="T750" s="132"/>
      <c r="U750" s="132"/>
      <c r="V750" s="132"/>
      <c r="W750" s="132"/>
      <c r="X750" s="167"/>
      <c r="Y750" s="453" t="s">
        <v>40</v>
      </c>
    </row>
    <row r="751" spans="1:71" s="55" customFormat="1" ht="24.6" hidden="1" customHeight="1">
      <c r="A751" s="455"/>
      <c r="B751" s="167" t="s">
        <v>284</v>
      </c>
      <c r="C751" s="167"/>
      <c r="D751" s="167"/>
      <c r="E751" s="167"/>
      <c r="F751" s="167"/>
      <c r="G751" s="74"/>
      <c r="H751" s="74"/>
      <c r="I751" s="74"/>
      <c r="J751" s="74"/>
      <c r="K751" s="74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67"/>
      <c r="Y751" s="453"/>
      <c r="AT751" s="150"/>
      <c r="AU751" s="150"/>
      <c r="AV751" s="150"/>
      <c r="AW751" s="150"/>
      <c r="AX751" s="150"/>
      <c r="AY751" s="150"/>
      <c r="AZ751" s="150"/>
      <c r="BA751" s="150"/>
      <c r="BB751" s="150"/>
      <c r="BC751" s="150"/>
      <c r="BD751" s="150"/>
      <c r="BE751" s="150"/>
      <c r="BF751" s="150"/>
      <c r="BG751" s="150"/>
      <c r="BH751" s="150"/>
      <c r="BI751" s="150"/>
      <c r="BJ751" s="150"/>
      <c r="BK751" s="150"/>
      <c r="BL751" s="150"/>
      <c r="BM751" s="150"/>
      <c r="BN751" s="150"/>
      <c r="BO751" s="150"/>
      <c r="BP751" s="150"/>
      <c r="BQ751" s="150"/>
      <c r="BR751" s="150"/>
      <c r="BS751" s="150"/>
    </row>
    <row r="752" spans="1:71" s="55" customFormat="1" ht="1.1499999999999999" hidden="1" customHeight="1">
      <c r="A752" s="168" t="s">
        <v>97</v>
      </c>
      <c r="B752" s="82"/>
      <c r="C752" s="82"/>
      <c r="D752" s="82"/>
      <c r="E752" s="82"/>
      <c r="F752" s="82"/>
      <c r="G752" s="80">
        <f>G753</f>
        <v>0</v>
      </c>
      <c r="H752" s="80">
        <f t="shared" ref="H752:Q752" si="335">H753</f>
        <v>0</v>
      </c>
      <c r="I752" s="80">
        <f t="shared" si="335"/>
        <v>0</v>
      </c>
      <c r="J752" s="80">
        <f t="shared" si="335"/>
        <v>0</v>
      </c>
      <c r="K752" s="80">
        <f t="shared" si="335"/>
        <v>0</v>
      </c>
      <c r="L752" s="131">
        <f t="shared" si="335"/>
        <v>0</v>
      </c>
      <c r="M752" s="131"/>
      <c r="N752" s="131"/>
      <c r="O752" s="131"/>
      <c r="P752" s="131"/>
      <c r="Q752" s="131">
        <f t="shared" si="335"/>
        <v>0</v>
      </c>
      <c r="R752" s="131"/>
      <c r="S752" s="131"/>
      <c r="T752" s="131"/>
      <c r="U752" s="131"/>
      <c r="V752" s="131"/>
      <c r="W752" s="131"/>
      <c r="X752" s="167"/>
      <c r="Y752" s="82"/>
      <c r="AT752" s="150"/>
      <c r="AU752" s="150"/>
      <c r="AV752" s="150"/>
      <c r="AW752" s="150"/>
      <c r="AX752" s="150"/>
      <c r="AY752" s="150"/>
      <c r="AZ752" s="150"/>
      <c r="BA752" s="150"/>
      <c r="BB752" s="150"/>
      <c r="BC752" s="150"/>
      <c r="BD752" s="150"/>
      <c r="BE752" s="150"/>
      <c r="BF752" s="150"/>
      <c r="BG752" s="150"/>
      <c r="BH752" s="150"/>
      <c r="BI752" s="150"/>
      <c r="BJ752" s="150"/>
      <c r="BK752" s="150"/>
      <c r="BL752" s="150"/>
      <c r="BM752" s="150"/>
      <c r="BN752" s="150"/>
      <c r="BO752" s="150"/>
      <c r="BP752" s="150"/>
      <c r="BQ752" s="150"/>
      <c r="BR752" s="150"/>
      <c r="BS752" s="150"/>
    </row>
    <row r="753" spans="1:71" ht="24.6" hidden="1" customHeight="1">
      <c r="A753" s="172" t="s">
        <v>156</v>
      </c>
      <c r="B753" s="167" t="s">
        <v>33</v>
      </c>
      <c r="C753" s="167">
        <v>176</v>
      </c>
      <c r="D753" s="167" t="s">
        <v>15</v>
      </c>
      <c r="E753" s="167">
        <v>6100404</v>
      </c>
      <c r="F753" s="167">
        <v>244</v>
      </c>
      <c r="G753" s="74">
        <v>0</v>
      </c>
      <c r="H753" s="74">
        <v>0</v>
      </c>
      <c r="I753" s="74">
        <v>0</v>
      </c>
      <c r="J753" s="74">
        <v>0</v>
      </c>
      <c r="K753" s="74">
        <v>0</v>
      </c>
      <c r="L753" s="132">
        <v>0</v>
      </c>
      <c r="M753" s="132"/>
      <c r="N753" s="132"/>
      <c r="O753" s="132"/>
      <c r="P753" s="132"/>
      <c r="Q753" s="132">
        <v>0</v>
      </c>
      <c r="R753" s="132"/>
      <c r="S753" s="132"/>
      <c r="T753" s="132"/>
      <c r="U753" s="132"/>
      <c r="V753" s="132"/>
      <c r="W753" s="132"/>
      <c r="X753" s="167"/>
      <c r="Y753" s="338"/>
    </row>
    <row r="754" spans="1:71" ht="24.6" hidden="1" customHeight="1">
      <c r="A754" s="410" t="s">
        <v>385</v>
      </c>
      <c r="B754" s="82" t="s">
        <v>89</v>
      </c>
      <c r="C754" s="167"/>
      <c r="D754" s="167"/>
      <c r="E754" s="167"/>
      <c r="F754" s="167"/>
      <c r="G754" s="74"/>
      <c r="H754" s="74"/>
      <c r="I754" s="74"/>
      <c r="J754" s="74"/>
      <c r="K754" s="74"/>
      <c r="L754" s="132"/>
      <c r="M754" s="132"/>
      <c r="N754" s="132"/>
      <c r="O754" s="132"/>
      <c r="P754" s="132"/>
      <c r="Q754" s="132">
        <f>Q756</f>
        <v>0</v>
      </c>
      <c r="R754" s="132"/>
      <c r="S754" s="132"/>
      <c r="T754" s="132"/>
      <c r="U754" s="132"/>
      <c r="V754" s="132">
        <f t="shared" ref="V754:W754" si="336">V756</f>
        <v>0</v>
      </c>
      <c r="W754" s="131">
        <f t="shared" si="336"/>
        <v>0</v>
      </c>
      <c r="X754" s="167"/>
      <c r="Y754" s="338"/>
    </row>
    <row r="755" spans="1:71" ht="24.6" hidden="1" customHeight="1">
      <c r="A755" s="446"/>
      <c r="B755" s="82" t="s">
        <v>284</v>
      </c>
      <c r="C755" s="167"/>
      <c r="D755" s="167"/>
      <c r="E755" s="167"/>
      <c r="F755" s="167"/>
      <c r="G755" s="74"/>
      <c r="H755" s="74"/>
      <c r="I755" s="74"/>
      <c r="J755" s="74"/>
      <c r="K755" s="74"/>
      <c r="L755" s="132"/>
      <c r="M755" s="132"/>
      <c r="N755" s="132"/>
      <c r="O755" s="132"/>
      <c r="P755" s="132"/>
      <c r="Q755" s="132">
        <f>Q757</f>
        <v>0</v>
      </c>
      <c r="R755" s="132"/>
      <c r="S755" s="132"/>
      <c r="T755" s="132"/>
      <c r="U755" s="132"/>
      <c r="V755" s="132">
        <f t="shared" ref="V755:W755" si="337">V757</f>
        <v>0</v>
      </c>
      <c r="W755" s="131">
        <f t="shared" si="337"/>
        <v>0</v>
      </c>
      <c r="X755" s="167"/>
      <c r="Y755" s="338"/>
    </row>
    <row r="756" spans="1:71" ht="24.6" hidden="1" customHeight="1">
      <c r="A756" s="451" t="s">
        <v>299</v>
      </c>
      <c r="B756" s="167" t="s">
        <v>89</v>
      </c>
      <c r="C756" s="167"/>
      <c r="D756" s="167"/>
      <c r="E756" s="167"/>
      <c r="F756" s="167"/>
      <c r="G756" s="74"/>
      <c r="H756" s="74"/>
      <c r="I756" s="74"/>
      <c r="J756" s="74"/>
      <c r="K756" s="74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67"/>
      <c r="Y756" s="453" t="s">
        <v>388</v>
      </c>
    </row>
    <row r="757" spans="1:71" ht="31.15" hidden="1" customHeight="1">
      <c r="A757" s="452"/>
      <c r="B757" s="167" t="s">
        <v>284</v>
      </c>
      <c r="C757" s="167"/>
      <c r="D757" s="167"/>
      <c r="E757" s="167"/>
      <c r="F757" s="167"/>
      <c r="G757" s="74"/>
      <c r="H757" s="74"/>
      <c r="I757" s="74"/>
      <c r="J757" s="74"/>
      <c r="K757" s="74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67"/>
      <c r="Y757" s="453"/>
    </row>
    <row r="758" spans="1:71" ht="23.45" customHeight="1">
      <c r="A758" s="461" t="s">
        <v>99</v>
      </c>
      <c r="B758" s="82" t="s">
        <v>89</v>
      </c>
      <c r="C758" s="82"/>
      <c r="D758" s="82"/>
      <c r="E758" s="82"/>
      <c r="F758" s="82"/>
      <c r="G758" s="80">
        <f>G760+G762</f>
        <v>0</v>
      </c>
      <c r="H758" s="80">
        <f t="shared" ref="H758:V759" si="338">H760+H762</f>
        <v>0</v>
      </c>
      <c r="I758" s="80">
        <f t="shared" si="338"/>
        <v>0</v>
      </c>
      <c r="J758" s="80">
        <f t="shared" si="338"/>
        <v>0</v>
      </c>
      <c r="K758" s="80">
        <f t="shared" si="338"/>
        <v>0</v>
      </c>
      <c r="L758" s="131">
        <f t="shared" si="338"/>
        <v>0.81</v>
      </c>
      <c r="M758" s="131">
        <f>M760</f>
        <v>0.8</v>
      </c>
      <c r="N758" s="131">
        <f t="shared" si="338"/>
        <v>0</v>
      </c>
      <c r="O758" s="131">
        <f t="shared" si="338"/>
        <v>0</v>
      </c>
      <c r="P758" s="131"/>
      <c r="Q758" s="131">
        <f t="shared" si="338"/>
        <v>1.63</v>
      </c>
      <c r="R758" s="131">
        <f t="shared" si="338"/>
        <v>0</v>
      </c>
      <c r="S758" s="131">
        <f t="shared" si="338"/>
        <v>0</v>
      </c>
      <c r="T758" s="131">
        <f t="shared" si="338"/>
        <v>1.63</v>
      </c>
      <c r="U758" s="131"/>
      <c r="V758" s="131">
        <f t="shared" si="338"/>
        <v>0</v>
      </c>
      <c r="W758" s="131"/>
      <c r="X758" s="167"/>
      <c r="Y758" s="82"/>
    </row>
    <row r="759" spans="1:71" ht="30" customHeight="1">
      <c r="A759" s="461"/>
      <c r="B759" s="82" t="s">
        <v>284</v>
      </c>
      <c r="C759" s="82"/>
      <c r="D759" s="82"/>
      <c r="E759" s="82"/>
      <c r="F759" s="82"/>
      <c r="G759" s="80">
        <f>G761+G763</f>
        <v>8495.2000000000007</v>
      </c>
      <c r="H759" s="80">
        <f t="shared" si="338"/>
        <v>8495.1</v>
      </c>
      <c r="I759" s="80">
        <f t="shared" si="338"/>
        <v>0.1000000000003638</v>
      </c>
      <c r="J759" s="80">
        <f t="shared" si="338"/>
        <v>0</v>
      </c>
      <c r="K759" s="80">
        <f t="shared" si="338"/>
        <v>0</v>
      </c>
      <c r="L759" s="131">
        <f t="shared" si="338"/>
        <v>7493.9</v>
      </c>
      <c r="M759" s="131">
        <f t="shared" si="338"/>
        <v>7493.9</v>
      </c>
      <c r="N759" s="131">
        <f t="shared" si="338"/>
        <v>0</v>
      </c>
      <c r="O759" s="131">
        <f t="shared" si="338"/>
        <v>0</v>
      </c>
      <c r="P759" s="131">
        <f t="shared" si="338"/>
        <v>0</v>
      </c>
      <c r="Q759" s="131">
        <f t="shared" si="338"/>
        <v>39029.200000000004</v>
      </c>
      <c r="R759" s="131">
        <f t="shared" si="338"/>
        <v>0</v>
      </c>
      <c r="S759" s="131">
        <f t="shared" si="338"/>
        <v>0</v>
      </c>
      <c r="T759" s="131">
        <f t="shared" si="338"/>
        <v>39029.200000000004</v>
      </c>
      <c r="U759" s="131"/>
      <c r="V759" s="131">
        <f t="shared" si="338"/>
        <v>0</v>
      </c>
      <c r="W759" s="131"/>
      <c r="X759" s="167"/>
      <c r="Y759" s="82"/>
    </row>
    <row r="760" spans="1:71" ht="24.6" hidden="1" customHeight="1">
      <c r="A760" s="174" t="s">
        <v>157</v>
      </c>
      <c r="B760" s="167" t="s">
        <v>89</v>
      </c>
      <c r="C760" s="167">
        <v>176</v>
      </c>
      <c r="D760" s="167" t="s">
        <v>15</v>
      </c>
      <c r="E760" s="167">
        <v>6100404</v>
      </c>
      <c r="F760" s="167">
        <v>244</v>
      </c>
      <c r="G760" s="74">
        <v>0</v>
      </c>
      <c r="H760" s="74">
        <v>0</v>
      </c>
      <c r="I760" s="74">
        <v>0</v>
      </c>
      <c r="J760" s="74">
        <v>0</v>
      </c>
      <c r="K760" s="74">
        <v>0</v>
      </c>
      <c r="L760" s="132">
        <v>0.81</v>
      </c>
      <c r="M760" s="132">
        <v>0.8</v>
      </c>
      <c r="N760" s="132"/>
      <c r="O760" s="132"/>
      <c r="P760" s="133"/>
      <c r="Q760" s="132">
        <v>0</v>
      </c>
      <c r="R760" s="132"/>
      <c r="S760" s="132"/>
      <c r="T760" s="132"/>
      <c r="U760" s="132"/>
      <c r="V760" s="132"/>
      <c r="W760" s="132"/>
      <c r="X760" s="167"/>
      <c r="Y760" s="338" t="s">
        <v>293</v>
      </c>
    </row>
    <row r="761" spans="1:71" s="55" customFormat="1" ht="24.6" hidden="1" customHeight="1">
      <c r="A761" s="100"/>
      <c r="B761" s="167" t="s">
        <v>284</v>
      </c>
      <c r="C761" s="167"/>
      <c r="D761" s="167"/>
      <c r="E761" s="167"/>
      <c r="F761" s="167"/>
      <c r="G761" s="74"/>
      <c r="H761" s="74"/>
      <c r="I761" s="74"/>
      <c r="J761" s="74"/>
      <c r="K761" s="74"/>
      <c r="L761" s="132">
        <v>7493.9</v>
      </c>
      <c r="M761" s="132">
        <v>7493.9</v>
      </c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67"/>
      <c r="Y761" s="338"/>
      <c r="AT761" s="150"/>
      <c r="AU761" s="150"/>
      <c r="AV761" s="150"/>
      <c r="AW761" s="150"/>
      <c r="AX761" s="150"/>
      <c r="AY761" s="150"/>
      <c r="AZ761" s="150"/>
      <c r="BA761" s="150"/>
      <c r="BB761" s="150"/>
      <c r="BC761" s="150"/>
      <c r="BD761" s="150"/>
      <c r="BE761" s="150"/>
      <c r="BF761" s="150"/>
      <c r="BG761" s="150"/>
      <c r="BH761" s="150"/>
      <c r="BI761" s="150"/>
      <c r="BJ761" s="150"/>
      <c r="BK761" s="150"/>
      <c r="BL761" s="150"/>
      <c r="BM761" s="150"/>
      <c r="BN761" s="150"/>
      <c r="BO761" s="150"/>
      <c r="BP761" s="150"/>
      <c r="BQ761" s="150"/>
      <c r="BR761" s="150"/>
      <c r="BS761" s="150"/>
    </row>
    <row r="762" spans="1:71" s="55" customFormat="1" ht="22.15" customHeight="1">
      <c r="A762" s="455" t="s">
        <v>164</v>
      </c>
      <c r="B762" s="167" t="s">
        <v>89</v>
      </c>
      <c r="C762" s="167">
        <v>176</v>
      </c>
      <c r="D762" s="167" t="s">
        <v>15</v>
      </c>
      <c r="E762" s="167">
        <v>6100404</v>
      </c>
      <c r="F762" s="167">
        <v>244</v>
      </c>
      <c r="G762" s="74"/>
      <c r="H762" s="74"/>
      <c r="I762" s="74"/>
      <c r="J762" s="74">
        <v>0</v>
      </c>
      <c r="K762" s="74">
        <f>G762-H762-I762-J762</f>
        <v>0</v>
      </c>
      <c r="L762" s="132"/>
      <c r="M762" s="132"/>
      <c r="N762" s="132"/>
      <c r="O762" s="132"/>
      <c r="P762" s="132"/>
      <c r="Q762" s="132">
        <f>T762</f>
        <v>1.63</v>
      </c>
      <c r="R762" s="132"/>
      <c r="S762" s="132"/>
      <c r="T762" s="132">
        <v>1.63</v>
      </c>
      <c r="U762" s="132"/>
      <c r="V762" s="132"/>
      <c r="W762" s="132"/>
      <c r="X762" s="167"/>
      <c r="Y762" s="453" t="s">
        <v>537</v>
      </c>
      <c r="AT762" s="150"/>
      <c r="AU762" s="150"/>
      <c r="AV762" s="150"/>
      <c r="AW762" s="150"/>
      <c r="AX762" s="150"/>
      <c r="AY762" s="150"/>
      <c r="AZ762" s="150"/>
      <c r="BA762" s="150"/>
      <c r="BB762" s="150"/>
      <c r="BC762" s="150"/>
      <c r="BD762" s="150"/>
      <c r="BE762" s="150"/>
      <c r="BF762" s="150"/>
      <c r="BG762" s="150"/>
      <c r="BH762" s="150"/>
      <c r="BI762" s="150"/>
      <c r="BJ762" s="150"/>
      <c r="BK762" s="150"/>
      <c r="BL762" s="150"/>
      <c r="BM762" s="150"/>
      <c r="BN762" s="150"/>
      <c r="BO762" s="150"/>
      <c r="BP762" s="150"/>
      <c r="BQ762" s="150"/>
      <c r="BR762" s="150"/>
      <c r="BS762" s="150"/>
    </row>
    <row r="763" spans="1:71" ht="24.6" customHeight="1">
      <c r="A763" s="455"/>
      <c r="B763" s="167" t="s">
        <v>284</v>
      </c>
      <c r="C763" s="167"/>
      <c r="D763" s="167"/>
      <c r="E763" s="167"/>
      <c r="F763" s="167"/>
      <c r="G763" s="74">
        <v>8495.2000000000007</v>
      </c>
      <c r="H763" s="74">
        <v>8495.1</v>
      </c>
      <c r="I763" s="74">
        <f>G763-H763</f>
        <v>0.1000000000003638</v>
      </c>
      <c r="J763" s="74"/>
      <c r="K763" s="74"/>
      <c r="L763" s="132"/>
      <c r="M763" s="132"/>
      <c r="N763" s="132"/>
      <c r="O763" s="132"/>
      <c r="P763" s="132"/>
      <c r="Q763" s="132">
        <f>T763</f>
        <v>39029.200000000004</v>
      </c>
      <c r="R763" s="132"/>
      <c r="S763" s="132"/>
      <c r="T763" s="132">
        <f>40284.8-1255.6</f>
        <v>39029.200000000004</v>
      </c>
      <c r="U763" s="132"/>
      <c r="V763" s="132"/>
      <c r="W763" s="132"/>
      <c r="X763" s="167"/>
      <c r="Y763" s="453"/>
    </row>
    <row r="764" spans="1:71" ht="25.9" hidden="1" customHeight="1">
      <c r="A764" s="461" t="s">
        <v>118</v>
      </c>
      <c r="B764" s="82" t="s">
        <v>89</v>
      </c>
      <c r="C764" s="82"/>
      <c r="D764" s="82"/>
      <c r="E764" s="82"/>
      <c r="F764" s="82"/>
      <c r="G764" s="80">
        <f>G766</f>
        <v>0</v>
      </c>
      <c r="H764" s="80">
        <f t="shared" ref="H764:W765" si="339">H766</f>
        <v>0</v>
      </c>
      <c r="I764" s="80">
        <f t="shared" si="339"/>
        <v>0</v>
      </c>
      <c r="J764" s="80">
        <f t="shared" si="339"/>
        <v>0</v>
      </c>
      <c r="K764" s="80">
        <f t="shared" si="339"/>
        <v>0</v>
      </c>
      <c r="L764" s="131">
        <f t="shared" si="339"/>
        <v>0</v>
      </c>
      <c r="M764" s="131"/>
      <c r="N764" s="131"/>
      <c r="O764" s="131"/>
      <c r="P764" s="131"/>
      <c r="Q764" s="131">
        <f t="shared" si="339"/>
        <v>0</v>
      </c>
      <c r="R764" s="131">
        <f t="shared" si="339"/>
        <v>0</v>
      </c>
      <c r="S764" s="131">
        <f t="shared" si="339"/>
        <v>0</v>
      </c>
      <c r="T764" s="131">
        <f t="shared" si="339"/>
        <v>0</v>
      </c>
      <c r="U764" s="131">
        <f t="shared" si="339"/>
        <v>0</v>
      </c>
      <c r="V764" s="152">
        <f t="shared" si="339"/>
        <v>0</v>
      </c>
      <c r="W764" s="131">
        <f t="shared" si="339"/>
        <v>0</v>
      </c>
      <c r="X764" s="167"/>
      <c r="Y764" s="82"/>
    </row>
    <row r="765" spans="1:71" s="55" customFormat="1" ht="30.6" hidden="1" customHeight="1">
      <c r="A765" s="461"/>
      <c r="B765" s="82" t="s">
        <v>284</v>
      </c>
      <c r="C765" s="82"/>
      <c r="D765" s="82"/>
      <c r="E765" s="82"/>
      <c r="F765" s="82"/>
      <c r="G765" s="80">
        <f>G767</f>
        <v>0</v>
      </c>
      <c r="H765" s="80">
        <f t="shared" si="339"/>
        <v>0</v>
      </c>
      <c r="I765" s="80">
        <f t="shared" si="339"/>
        <v>0</v>
      </c>
      <c r="J765" s="80">
        <f t="shared" si="339"/>
        <v>0</v>
      </c>
      <c r="K765" s="80">
        <f t="shared" si="339"/>
        <v>0</v>
      </c>
      <c r="L765" s="131">
        <f t="shared" si="339"/>
        <v>0</v>
      </c>
      <c r="M765" s="131"/>
      <c r="N765" s="131"/>
      <c r="O765" s="131"/>
      <c r="P765" s="131"/>
      <c r="Q765" s="131">
        <f t="shared" si="339"/>
        <v>0</v>
      </c>
      <c r="R765" s="131">
        <f t="shared" si="339"/>
        <v>0</v>
      </c>
      <c r="S765" s="131">
        <f t="shared" si="339"/>
        <v>0</v>
      </c>
      <c r="T765" s="131">
        <f t="shared" si="339"/>
        <v>0</v>
      </c>
      <c r="U765" s="131">
        <f t="shared" si="339"/>
        <v>0</v>
      </c>
      <c r="V765" s="131">
        <f t="shared" si="339"/>
        <v>0</v>
      </c>
      <c r="W765" s="131">
        <f t="shared" si="339"/>
        <v>0</v>
      </c>
      <c r="X765" s="167"/>
      <c r="Y765" s="82"/>
      <c r="AT765" s="150"/>
      <c r="AU765" s="150"/>
      <c r="AV765" s="150"/>
      <c r="AW765" s="150"/>
      <c r="AX765" s="150"/>
      <c r="AY765" s="150"/>
      <c r="AZ765" s="150"/>
      <c r="BA765" s="150"/>
      <c r="BB765" s="150"/>
      <c r="BC765" s="150"/>
      <c r="BD765" s="150"/>
      <c r="BE765" s="150"/>
      <c r="BF765" s="150"/>
      <c r="BG765" s="150"/>
      <c r="BH765" s="150"/>
      <c r="BI765" s="150"/>
      <c r="BJ765" s="150"/>
      <c r="BK765" s="150"/>
      <c r="BL765" s="150"/>
      <c r="BM765" s="150"/>
      <c r="BN765" s="150"/>
      <c r="BO765" s="150"/>
      <c r="BP765" s="150"/>
      <c r="BQ765" s="150"/>
      <c r="BR765" s="150"/>
      <c r="BS765" s="150"/>
    </row>
    <row r="766" spans="1:71" s="55" customFormat="1" ht="24.6" hidden="1" customHeight="1">
      <c r="A766" s="455" t="s">
        <v>158</v>
      </c>
      <c r="B766" s="167" t="s">
        <v>89</v>
      </c>
      <c r="C766" s="167">
        <v>176</v>
      </c>
      <c r="D766" s="167" t="s">
        <v>15</v>
      </c>
      <c r="E766" s="167">
        <v>6100404</v>
      </c>
      <c r="F766" s="167">
        <v>244</v>
      </c>
      <c r="G766" s="74">
        <v>0</v>
      </c>
      <c r="H766" s="74">
        <v>0</v>
      </c>
      <c r="I766" s="74">
        <v>0</v>
      </c>
      <c r="J766" s="74">
        <v>0</v>
      </c>
      <c r="K766" s="74">
        <v>0</v>
      </c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51"/>
      <c r="W766" s="132"/>
      <c r="X766" s="167"/>
      <c r="Y766" s="453" t="s">
        <v>300</v>
      </c>
      <c r="AT766" s="150"/>
      <c r="AU766" s="150"/>
      <c r="AV766" s="150"/>
      <c r="AW766" s="150"/>
      <c r="AX766" s="150"/>
      <c r="AY766" s="150"/>
      <c r="AZ766" s="150"/>
      <c r="BA766" s="150"/>
      <c r="BB766" s="150"/>
      <c r="BC766" s="150"/>
      <c r="BD766" s="150"/>
      <c r="BE766" s="150"/>
      <c r="BF766" s="150"/>
      <c r="BG766" s="150"/>
      <c r="BH766" s="150"/>
      <c r="BI766" s="150"/>
      <c r="BJ766" s="150"/>
      <c r="BK766" s="150"/>
      <c r="BL766" s="150"/>
      <c r="BM766" s="150"/>
      <c r="BN766" s="150"/>
      <c r="BO766" s="150"/>
      <c r="BP766" s="150"/>
      <c r="BQ766" s="150"/>
      <c r="BR766" s="150"/>
      <c r="BS766" s="150"/>
    </row>
    <row r="767" spans="1:71" ht="26.45" hidden="1" customHeight="1">
      <c r="A767" s="455"/>
      <c r="B767" s="167" t="s">
        <v>284</v>
      </c>
      <c r="C767" s="167"/>
      <c r="D767" s="167"/>
      <c r="E767" s="167"/>
      <c r="F767" s="167"/>
      <c r="G767" s="74"/>
      <c r="H767" s="74"/>
      <c r="I767" s="74"/>
      <c r="J767" s="74"/>
      <c r="K767" s="74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67"/>
      <c r="Y767" s="453"/>
    </row>
    <row r="768" spans="1:71" ht="24.6" hidden="1" customHeight="1">
      <c r="A768" s="461" t="s">
        <v>160</v>
      </c>
      <c r="B768" s="82" t="s">
        <v>89</v>
      </c>
      <c r="C768" s="82"/>
      <c r="D768" s="82"/>
      <c r="E768" s="82"/>
      <c r="F768" s="82"/>
      <c r="G768" s="80">
        <f>G770+G772+G774+G776+G778</f>
        <v>4.95</v>
      </c>
      <c r="H768" s="80">
        <f t="shared" ref="H768:W769" si="340">H770+H772+H774+H776+H778</f>
        <v>0</v>
      </c>
      <c r="I768" s="80">
        <f t="shared" si="340"/>
        <v>0</v>
      </c>
      <c r="J768" s="80">
        <f t="shared" si="340"/>
        <v>0</v>
      </c>
      <c r="K768" s="80">
        <f t="shared" si="340"/>
        <v>4.95</v>
      </c>
      <c r="L768" s="152">
        <f t="shared" si="340"/>
        <v>4.3999999999999997E-2</v>
      </c>
      <c r="M768" s="152">
        <f t="shared" si="340"/>
        <v>4.3999999999999997E-2</v>
      </c>
      <c r="N768" s="131"/>
      <c r="O768" s="131"/>
      <c r="P768" s="131"/>
      <c r="Q768" s="131">
        <f t="shared" si="340"/>
        <v>0</v>
      </c>
      <c r="R768" s="131"/>
      <c r="S768" s="131"/>
      <c r="T768" s="131"/>
      <c r="U768" s="131"/>
      <c r="V768" s="131">
        <f t="shared" si="340"/>
        <v>0</v>
      </c>
      <c r="W768" s="131">
        <f t="shared" si="340"/>
        <v>0</v>
      </c>
      <c r="X768" s="167"/>
      <c r="Y768" s="82"/>
    </row>
    <row r="769" spans="1:71" ht="30" hidden="1" customHeight="1">
      <c r="A769" s="461"/>
      <c r="B769" s="82" t="s">
        <v>284</v>
      </c>
      <c r="C769" s="82"/>
      <c r="D769" s="82"/>
      <c r="E769" s="82"/>
      <c r="F769" s="82"/>
      <c r="G769" s="80">
        <f>G771+G773+G775+G777+G779</f>
        <v>55695.199999999997</v>
      </c>
      <c r="H769" s="80">
        <f t="shared" si="340"/>
        <v>0</v>
      </c>
      <c r="I769" s="80">
        <f t="shared" si="340"/>
        <v>681.5</v>
      </c>
      <c r="J769" s="80">
        <f t="shared" si="340"/>
        <v>10000</v>
      </c>
      <c r="K769" s="80">
        <f t="shared" si="340"/>
        <v>45013.7</v>
      </c>
      <c r="L769" s="131">
        <f t="shared" si="340"/>
        <v>25081.3</v>
      </c>
      <c r="M769" s="131">
        <f t="shared" si="340"/>
        <v>25081.3</v>
      </c>
      <c r="N769" s="131">
        <f t="shared" si="340"/>
        <v>0</v>
      </c>
      <c r="O769" s="131">
        <f t="shared" si="340"/>
        <v>0</v>
      </c>
      <c r="P769" s="131">
        <f t="shared" si="340"/>
        <v>0</v>
      </c>
      <c r="Q769" s="131">
        <f t="shared" si="340"/>
        <v>0</v>
      </c>
      <c r="R769" s="131">
        <f t="shared" si="340"/>
        <v>0</v>
      </c>
      <c r="S769" s="131">
        <f t="shared" si="340"/>
        <v>0</v>
      </c>
      <c r="T769" s="131">
        <f t="shared" si="340"/>
        <v>0</v>
      </c>
      <c r="U769" s="131">
        <f t="shared" si="340"/>
        <v>0</v>
      </c>
      <c r="V769" s="131">
        <f t="shared" si="340"/>
        <v>0</v>
      </c>
      <c r="W769" s="131">
        <f t="shared" si="340"/>
        <v>0</v>
      </c>
      <c r="X769" s="167"/>
      <c r="Y769" s="82"/>
    </row>
    <row r="770" spans="1:71" ht="24.6" hidden="1" customHeight="1">
      <c r="A770" s="455" t="s">
        <v>159</v>
      </c>
      <c r="B770" s="167" t="s">
        <v>89</v>
      </c>
      <c r="C770" s="167">
        <v>176</v>
      </c>
      <c r="D770" s="167" t="s">
        <v>15</v>
      </c>
      <c r="E770" s="167">
        <v>6100404</v>
      </c>
      <c r="F770" s="167">
        <v>244</v>
      </c>
      <c r="G770" s="74">
        <f>SUM(H770:K770)</f>
        <v>0.45</v>
      </c>
      <c r="H770" s="74">
        <v>0</v>
      </c>
      <c r="I770" s="74">
        <v>0</v>
      </c>
      <c r="J770" s="74">
        <v>0</v>
      </c>
      <c r="K770" s="74">
        <v>0.45</v>
      </c>
      <c r="L770" s="132"/>
      <c r="M770" s="132"/>
      <c r="N770" s="132"/>
      <c r="O770" s="132"/>
      <c r="P770" s="132"/>
      <c r="Q770" s="132">
        <v>0</v>
      </c>
      <c r="R770" s="132"/>
      <c r="S770" s="132"/>
      <c r="T770" s="132"/>
      <c r="U770" s="132"/>
      <c r="V770" s="132"/>
      <c r="W770" s="132"/>
      <c r="X770" s="167"/>
      <c r="Y770" s="453" t="s">
        <v>263</v>
      </c>
    </row>
    <row r="771" spans="1:71" ht="24" hidden="1" customHeight="1">
      <c r="A771" s="455"/>
      <c r="B771" s="167" t="s">
        <v>284</v>
      </c>
      <c r="C771" s="167"/>
      <c r="D771" s="167"/>
      <c r="E771" s="167"/>
      <c r="F771" s="167"/>
      <c r="G771" s="74">
        <f t="shared" ref="G771:G777" si="341">SUM(H771:K771)</f>
        <v>2295.1</v>
      </c>
      <c r="H771" s="74"/>
      <c r="I771" s="74"/>
      <c r="J771" s="74"/>
      <c r="K771" s="74">
        <v>2295.1</v>
      </c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67"/>
      <c r="Y771" s="453"/>
    </row>
    <row r="772" spans="1:71" ht="24.6" hidden="1" customHeight="1">
      <c r="A772" s="455" t="s">
        <v>162</v>
      </c>
      <c r="B772" s="167" t="s">
        <v>89</v>
      </c>
      <c r="C772" s="167">
        <v>176</v>
      </c>
      <c r="D772" s="167" t="s">
        <v>15</v>
      </c>
      <c r="E772" s="167">
        <v>6100404</v>
      </c>
      <c r="F772" s="167">
        <v>244</v>
      </c>
      <c r="G772" s="74">
        <f t="shared" si="341"/>
        <v>4.5</v>
      </c>
      <c r="H772" s="74">
        <v>0</v>
      </c>
      <c r="I772" s="74"/>
      <c r="J772" s="74"/>
      <c r="K772" s="74">
        <v>4.5</v>
      </c>
      <c r="L772" s="132">
        <v>0</v>
      </c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67"/>
      <c r="Y772" s="453" t="s">
        <v>295</v>
      </c>
    </row>
    <row r="773" spans="1:71" ht="24.6" hidden="1" customHeight="1">
      <c r="A773" s="455"/>
      <c r="B773" s="167" t="s">
        <v>284</v>
      </c>
      <c r="C773" s="167"/>
      <c r="D773" s="167"/>
      <c r="E773" s="167"/>
      <c r="F773" s="167"/>
      <c r="G773" s="74">
        <f t="shared" si="341"/>
        <v>53400.1</v>
      </c>
      <c r="H773" s="74"/>
      <c r="I773" s="74">
        <v>681.5</v>
      </c>
      <c r="J773" s="74">
        <v>10000</v>
      </c>
      <c r="K773" s="74">
        <v>42718.6</v>
      </c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67"/>
      <c r="Y773" s="453"/>
    </row>
    <row r="774" spans="1:71" ht="0.6" hidden="1" customHeight="1">
      <c r="A774" s="455" t="s">
        <v>125</v>
      </c>
      <c r="B774" s="167" t="s">
        <v>89</v>
      </c>
      <c r="C774" s="167">
        <v>176</v>
      </c>
      <c r="D774" s="167" t="s">
        <v>15</v>
      </c>
      <c r="E774" s="167">
        <v>6100404</v>
      </c>
      <c r="F774" s="167">
        <v>243</v>
      </c>
      <c r="G774" s="74">
        <f t="shared" si="341"/>
        <v>0</v>
      </c>
      <c r="H774" s="74">
        <v>0</v>
      </c>
      <c r="I774" s="74">
        <v>0</v>
      </c>
      <c r="J774" s="74">
        <v>0</v>
      </c>
      <c r="K774" s="74"/>
      <c r="L774" s="151">
        <v>4.3999999999999997E-2</v>
      </c>
      <c r="M774" s="151">
        <v>4.3999999999999997E-2</v>
      </c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67"/>
      <c r="Y774" s="453" t="s">
        <v>294</v>
      </c>
    </row>
    <row r="775" spans="1:71" ht="25.15" hidden="1" customHeight="1">
      <c r="A775" s="455"/>
      <c r="B775" s="167" t="s">
        <v>284</v>
      </c>
      <c r="C775" s="167"/>
      <c r="D775" s="167"/>
      <c r="E775" s="167"/>
      <c r="F775" s="167"/>
      <c r="G775" s="74">
        <f t="shared" si="341"/>
        <v>0</v>
      </c>
      <c r="H775" s="74"/>
      <c r="I775" s="74"/>
      <c r="J775" s="74"/>
      <c r="K775" s="74"/>
      <c r="L775" s="132">
        <f>SUM(M775:P775)</f>
        <v>20452</v>
      </c>
      <c r="M775" s="132">
        <v>20452</v>
      </c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67"/>
      <c r="Y775" s="453"/>
    </row>
    <row r="776" spans="1:71" ht="25.15" hidden="1" customHeight="1">
      <c r="A776" s="455" t="s">
        <v>172</v>
      </c>
      <c r="B776" s="167" t="s">
        <v>89</v>
      </c>
      <c r="C776" s="167"/>
      <c r="D776" s="167"/>
      <c r="E776" s="167"/>
      <c r="F776" s="167"/>
      <c r="G776" s="74">
        <f t="shared" si="341"/>
        <v>0</v>
      </c>
      <c r="H776" s="74"/>
      <c r="I776" s="74"/>
      <c r="J776" s="74"/>
      <c r="K776" s="74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67"/>
      <c r="Y776" s="453" t="s">
        <v>344</v>
      </c>
    </row>
    <row r="777" spans="1:71" s="55" customFormat="1" ht="24.95" hidden="1" customHeight="1">
      <c r="A777" s="455"/>
      <c r="B777" s="167" t="s">
        <v>284</v>
      </c>
      <c r="C777" s="167"/>
      <c r="D777" s="167"/>
      <c r="E777" s="167"/>
      <c r="F777" s="167"/>
      <c r="G777" s="74">
        <f t="shared" si="341"/>
        <v>0</v>
      </c>
      <c r="H777" s="74"/>
      <c r="I777" s="74"/>
      <c r="J777" s="74"/>
      <c r="K777" s="74"/>
      <c r="L777" s="132">
        <v>4629.3</v>
      </c>
      <c r="M777" s="132">
        <v>4629.3</v>
      </c>
      <c r="N777" s="132"/>
      <c r="O777" s="132"/>
      <c r="P777" s="132"/>
      <c r="Q777" s="132">
        <f>T777</f>
        <v>0</v>
      </c>
      <c r="R777" s="132"/>
      <c r="S777" s="132"/>
      <c r="T777" s="132"/>
      <c r="U777" s="132"/>
      <c r="V777" s="132"/>
      <c r="W777" s="132"/>
      <c r="X777" s="167"/>
      <c r="Y777" s="453"/>
      <c r="AT777" s="150"/>
      <c r="AU777" s="150"/>
      <c r="AV777" s="150"/>
      <c r="AW777" s="150"/>
      <c r="AX777" s="150"/>
      <c r="AY777" s="150"/>
      <c r="AZ777" s="150"/>
      <c r="BA777" s="150"/>
      <c r="BB777" s="150"/>
      <c r="BC777" s="150"/>
      <c r="BD777" s="150"/>
      <c r="BE777" s="150"/>
      <c r="BF777" s="150"/>
      <c r="BG777" s="150"/>
      <c r="BH777" s="150"/>
      <c r="BI777" s="150"/>
      <c r="BJ777" s="150"/>
      <c r="BK777" s="150"/>
      <c r="BL777" s="150"/>
      <c r="BM777" s="150"/>
      <c r="BN777" s="150"/>
      <c r="BO777" s="150"/>
      <c r="BP777" s="150"/>
      <c r="BQ777" s="150"/>
      <c r="BR777" s="150"/>
      <c r="BS777" s="150"/>
    </row>
    <row r="778" spans="1:71" s="55" customFormat="1" ht="24.95" hidden="1" customHeight="1">
      <c r="A778" s="479" t="s">
        <v>296</v>
      </c>
      <c r="B778" s="167" t="s">
        <v>89</v>
      </c>
      <c r="C778" s="167"/>
      <c r="D778" s="167"/>
      <c r="E778" s="167"/>
      <c r="F778" s="167"/>
      <c r="G778" s="74"/>
      <c r="H778" s="74"/>
      <c r="I778" s="74"/>
      <c r="J778" s="74"/>
      <c r="K778" s="74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67"/>
      <c r="Y778" s="453"/>
      <c r="AT778" s="150"/>
      <c r="AU778" s="150"/>
      <c r="AV778" s="150"/>
      <c r="AW778" s="150"/>
      <c r="AX778" s="150"/>
      <c r="AY778" s="150"/>
      <c r="AZ778" s="150"/>
      <c r="BA778" s="150"/>
      <c r="BB778" s="150"/>
      <c r="BC778" s="150"/>
      <c r="BD778" s="150"/>
      <c r="BE778" s="150"/>
      <c r="BF778" s="150"/>
      <c r="BG778" s="150"/>
      <c r="BH778" s="150"/>
      <c r="BI778" s="150"/>
      <c r="BJ778" s="150"/>
      <c r="BK778" s="150"/>
      <c r="BL778" s="150"/>
      <c r="BM778" s="150"/>
      <c r="BN778" s="150"/>
      <c r="BO778" s="150"/>
      <c r="BP778" s="150"/>
      <c r="BQ778" s="150"/>
      <c r="BR778" s="150"/>
      <c r="BS778" s="150"/>
    </row>
    <row r="779" spans="1:71" ht="24.95" hidden="1" customHeight="1">
      <c r="A779" s="480"/>
      <c r="B779" s="167" t="s">
        <v>284</v>
      </c>
      <c r="C779" s="167"/>
      <c r="D779" s="167"/>
      <c r="E779" s="167"/>
      <c r="F779" s="167"/>
      <c r="G779" s="74"/>
      <c r="H779" s="74"/>
      <c r="I779" s="74"/>
      <c r="J779" s="74"/>
      <c r="K779" s="74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>
        <f>18250-18250</f>
        <v>0</v>
      </c>
      <c r="W779" s="132"/>
      <c r="X779" s="167"/>
      <c r="Y779" s="453"/>
    </row>
    <row r="780" spans="1:71" ht="24.6" hidden="1" customHeight="1">
      <c r="A780" s="461" t="s">
        <v>121</v>
      </c>
      <c r="B780" s="82" t="s">
        <v>89</v>
      </c>
      <c r="C780" s="82"/>
      <c r="D780" s="82"/>
      <c r="E780" s="82"/>
      <c r="F780" s="82"/>
      <c r="G780" s="80">
        <f>G782</f>
        <v>0</v>
      </c>
      <c r="H780" s="80">
        <f t="shared" ref="H780:W781" si="342">H782</f>
        <v>0</v>
      </c>
      <c r="I780" s="80">
        <f t="shared" si="342"/>
        <v>0</v>
      </c>
      <c r="J780" s="80">
        <f t="shared" si="342"/>
        <v>0</v>
      </c>
      <c r="K780" s="80">
        <f t="shared" si="342"/>
        <v>0</v>
      </c>
      <c r="L780" s="131">
        <f t="shared" si="342"/>
        <v>6</v>
      </c>
      <c r="M780" s="131">
        <f t="shared" si="342"/>
        <v>6</v>
      </c>
      <c r="N780" s="131">
        <f t="shared" si="342"/>
        <v>0</v>
      </c>
      <c r="O780" s="131">
        <f t="shared" si="342"/>
        <v>0</v>
      </c>
      <c r="P780" s="131">
        <f t="shared" si="342"/>
        <v>0</v>
      </c>
      <c r="Q780" s="131">
        <f t="shared" si="342"/>
        <v>0</v>
      </c>
      <c r="R780" s="131">
        <f t="shared" si="342"/>
        <v>0</v>
      </c>
      <c r="S780" s="131">
        <f t="shared" si="342"/>
        <v>0</v>
      </c>
      <c r="T780" s="131">
        <f t="shared" si="342"/>
        <v>0</v>
      </c>
      <c r="U780" s="131"/>
      <c r="V780" s="131">
        <f t="shared" si="342"/>
        <v>0</v>
      </c>
      <c r="W780" s="131">
        <f t="shared" si="342"/>
        <v>0</v>
      </c>
      <c r="X780" s="167"/>
      <c r="Y780" s="82"/>
    </row>
    <row r="781" spans="1:71" s="55" customFormat="1" ht="24.6" hidden="1" customHeight="1">
      <c r="A781" s="461"/>
      <c r="B781" s="82" t="s">
        <v>284</v>
      </c>
      <c r="C781" s="82"/>
      <c r="D781" s="82"/>
      <c r="E781" s="82"/>
      <c r="F781" s="82"/>
      <c r="G781" s="80">
        <f>G783</f>
        <v>0</v>
      </c>
      <c r="H781" s="80">
        <f t="shared" si="342"/>
        <v>0</v>
      </c>
      <c r="I781" s="80">
        <f t="shared" si="342"/>
        <v>0</v>
      </c>
      <c r="J781" s="80">
        <f t="shared" si="342"/>
        <v>0</v>
      </c>
      <c r="K781" s="80">
        <f t="shared" si="342"/>
        <v>0</v>
      </c>
      <c r="L781" s="131">
        <f t="shared" si="342"/>
        <v>12473.5</v>
      </c>
      <c r="M781" s="131">
        <f t="shared" si="342"/>
        <v>12473.5</v>
      </c>
      <c r="N781" s="131">
        <f t="shared" si="342"/>
        <v>0</v>
      </c>
      <c r="O781" s="131">
        <f t="shared" si="342"/>
        <v>0</v>
      </c>
      <c r="P781" s="131">
        <f t="shared" si="342"/>
        <v>0</v>
      </c>
      <c r="Q781" s="131">
        <f t="shared" si="342"/>
        <v>0</v>
      </c>
      <c r="R781" s="131">
        <f t="shared" si="342"/>
        <v>0</v>
      </c>
      <c r="S781" s="131">
        <f t="shared" si="342"/>
        <v>0</v>
      </c>
      <c r="T781" s="131">
        <f t="shared" si="342"/>
        <v>0</v>
      </c>
      <c r="U781" s="131"/>
      <c r="V781" s="131">
        <f t="shared" si="342"/>
        <v>0</v>
      </c>
      <c r="W781" s="131">
        <f t="shared" si="342"/>
        <v>0</v>
      </c>
      <c r="X781" s="167"/>
      <c r="Y781" s="82"/>
      <c r="AT781" s="150"/>
      <c r="AU781" s="150"/>
      <c r="AV781" s="150"/>
      <c r="AW781" s="150"/>
      <c r="AX781" s="150"/>
      <c r="AY781" s="150"/>
      <c r="AZ781" s="150"/>
      <c r="BA781" s="150"/>
      <c r="BB781" s="150"/>
      <c r="BC781" s="150"/>
      <c r="BD781" s="150"/>
      <c r="BE781" s="150"/>
      <c r="BF781" s="150"/>
      <c r="BG781" s="150"/>
      <c r="BH781" s="150"/>
      <c r="BI781" s="150"/>
      <c r="BJ781" s="150"/>
      <c r="BK781" s="150"/>
      <c r="BL781" s="150"/>
      <c r="BM781" s="150"/>
      <c r="BN781" s="150"/>
      <c r="BO781" s="150"/>
      <c r="BP781" s="150"/>
      <c r="BQ781" s="150"/>
      <c r="BR781" s="150"/>
      <c r="BS781" s="150"/>
    </row>
    <row r="782" spans="1:71" s="55" customFormat="1" ht="24.6" hidden="1" customHeight="1">
      <c r="A782" s="455" t="s">
        <v>161</v>
      </c>
      <c r="B782" s="167" t="s">
        <v>89</v>
      </c>
      <c r="C782" s="167">
        <v>176</v>
      </c>
      <c r="D782" s="167" t="s">
        <v>15</v>
      </c>
      <c r="E782" s="167">
        <v>6100404</v>
      </c>
      <c r="F782" s="167">
        <v>244</v>
      </c>
      <c r="G782" s="74">
        <v>0</v>
      </c>
      <c r="H782" s="74">
        <v>0</v>
      </c>
      <c r="I782" s="74">
        <v>0</v>
      </c>
      <c r="J782" s="74">
        <v>0</v>
      </c>
      <c r="K782" s="74">
        <v>0</v>
      </c>
      <c r="L782" s="132">
        <v>6</v>
      </c>
      <c r="M782" s="132">
        <v>6</v>
      </c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67"/>
      <c r="Y782" s="453" t="s">
        <v>389</v>
      </c>
      <c r="AT782" s="150"/>
      <c r="AU782" s="150"/>
      <c r="AV782" s="150"/>
      <c r="AW782" s="150"/>
      <c r="AX782" s="150"/>
      <c r="AY782" s="150"/>
      <c r="AZ782" s="150"/>
      <c r="BA782" s="150"/>
      <c r="BB782" s="150"/>
      <c r="BC782" s="150"/>
      <c r="BD782" s="150"/>
      <c r="BE782" s="150"/>
      <c r="BF782" s="150"/>
      <c r="BG782" s="150"/>
      <c r="BH782" s="150"/>
      <c r="BI782" s="150"/>
      <c r="BJ782" s="150"/>
      <c r="BK782" s="150"/>
      <c r="BL782" s="150"/>
      <c r="BM782" s="150"/>
      <c r="BN782" s="150"/>
      <c r="BO782" s="150"/>
      <c r="BP782" s="150"/>
      <c r="BQ782" s="150"/>
      <c r="BR782" s="150"/>
      <c r="BS782" s="150"/>
    </row>
    <row r="783" spans="1:71" ht="24.6" hidden="1" customHeight="1">
      <c r="A783" s="455"/>
      <c r="B783" s="167" t="s">
        <v>284</v>
      </c>
      <c r="C783" s="167"/>
      <c r="D783" s="167"/>
      <c r="E783" s="167"/>
      <c r="F783" s="167"/>
      <c r="G783" s="74"/>
      <c r="H783" s="74"/>
      <c r="I783" s="74"/>
      <c r="J783" s="74"/>
      <c r="K783" s="74"/>
      <c r="L783" s="132">
        <v>12473.5</v>
      </c>
      <c r="M783" s="132">
        <v>12473.5</v>
      </c>
      <c r="N783" s="132"/>
      <c r="O783" s="132"/>
      <c r="P783" s="132"/>
      <c r="Q783" s="132">
        <f>T783</f>
        <v>0</v>
      </c>
      <c r="R783" s="132"/>
      <c r="S783" s="132"/>
      <c r="T783" s="132"/>
      <c r="U783" s="132"/>
      <c r="V783" s="132"/>
      <c r="W783" s="132"/>
      <c r="X783" s="167"/>
      <c r="Y783" s="453"/>
    </row>
    <row r="784" spans="1:71" ht="22.15" customHeight="1">
      <c r="A784" s="461" t="s">
        <v>126</v>
      </c>
      <c r="B784" s="82" t="s">
        <v>89</v>
      </c>
      <c r="C784" s="82"/>
      <c r="D784" s="82"/>
      <c r="E784" s="82"/>
      <c r="F784" s="82"/>
      <c r="G784" s="80">
        <f>G786+G788</f>
        <v>0</v>
      </c>
      <c r="H784" s="80">
        <f t="shared" ref="H784:W785" si="343">H786+H788</f>
        <v>0</v>
      </c>
      <c r="I784" s="80">
        <f t="shared" si="343"/>
        <v>0</v>
      </c>
      <c r="J784" s="80">
        <f t="shared" si="343"/>
        <v>0</v>
      </c>
      <c r="K784" s="80">
        <f t="shared" si="343"/>
        <v>4</v>
      </c>
      <c r="L784" s="131">
        <f t="shared" si="343"/>
        <v>0</v>
      </c>
      <c r="M784" s="131">
        <f t="shared" si="343"/>
        <v>0</v>
      </c>
      <c r="N784" s="131">
        <f t="shared" si="343"/>
        <v>0</v>
      </c>
      <c r="O784" s="131">
        <f t="shared" si="343"/>
        <v>0</v>
      </c>
      <c r="P784" s="131">
        <f t="shared" si="343"/>
        <v>0</v>
      </c>
      <c r="Q784" s="131">
        <f t="shared" si="343"/>
        <v>0</v>
      </c>
      <c r="R784" s="131"/>
      <c r="S784" s="131"/>
      <c r="T784" s="131"/>
      <c r="U784" s="131"/>
      <c r="V784" s="131">
        <f t="shared" si="343"/>
        <v>2</v>
      </c>
      <c r="W784" s="131">
        <f t="shared" si="343"/>
        <v>0</v>
      </c>
      <c r="X784" s="167"/>
      <c r="Y784" s="82"/>
    </row>
    <row r="785" spans="1:71" ht="27.6" customHeight="1">
      <c r="A785" s="461"/>
      <c r="B785" s="82" t="s">
        <v>284</v>
      </c>
      <c r="C785" s="82"/>
      <c r="D785" s="82"/>
      <c r="E785" s="82"/>
      <c r="F785" s="82"/>
      <c r="G785" s="80">
        <f>G787+G789</f>
        <v>20300</v>
      </c>
      <c r="H785" s="80">
        <f t="shared" si="343"/>
        <v>0</v>
      </c>
      <c r="I785" s="80">
        <f t="shared" si="343"/>
        <v>0</v>
      </c>
      <c r="J785" s="80">
        <f t="shared" si="343"/>
        <v>0</v>
      </c>
      <c r="K785" s="80">
        <f t="shared" si="343"/>
        <v>20300</v>
      </c>
      <c r="L785" s="131">
        <f t="shared" si="343"/>
        <v>0</v>
      </c>
      <c r="M785" s="131">
        <f t="shared" si="343"/>
        <v>0</v>
      </c>
      <c r="N785" s="131">
        <f t="shared" si="343"/>
        <v>0</v>
      </c>
      <c r="O785" s="131">
        <f t="shared" si="343"/>
        <v>0</v>
      </c>
      <c r="P785" s="131">
        <f t="shared" si="343"/>
        <v>0</v>
      </c>
      <c r="Q785" s="131">
        <f t="shared" si="343"/>
        <v>28500</v>
      </c>
      <c r="R785" s="131"/>
      <c r="S785" s="131"/>
      <c r="T785" s="131">
        <f>T787</f>
        <v>28500</v>
      </c>
      <c r="U785" s="131">
        <f>U787</f>
        <v>0</v>
      </c>
      <c r="V785" s="131">
        <f t="shared" si="343"/>
        <v>43987.5</v>
      </c>
      <c r="W785" s="131">
        <f t="shared" si="343"/>
        <v>0</v>
      </c>
      <c r="X785" s="167"/>
      <c r="Y785" s="82"/>
    </row>
    <row r="786" spans="1:71" ht="24.6" customHeight="1">
      <c r="A786" s="455" t="s">
        <v>165</v>
      </c>
      <c r="B786" s="167" t="s">
        <v>89</v>
      </c>
      <c r="C786" s="167">
        <v>176</v>
      </c>
      <c r="D786" s="167" t="s">
        <v>15</v>
      </c>
      <c r="E786" s="167">
        <v>6100404</v>
      </c>
      <c r="F786" s="167">
        <v>244</v>
      </c>
      <c r="G786" s="74"/>
      <c r="H786" s="74">
        <v>0</v>
      </c>
      <c r="I786" s="74"/>
      <c r="J786" s="74"/>
      <c r="K786" s="74">
        <v>4</v>
      </c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>
        <v>2</v>
      </c>
      <c r="W786" s="132"/>
      <c r="X786" s="167"/>
      <c r="Y786" s="453" t="s">
        <v>513</v>
      </c>
    </row>
    <row r="787" spans="1:71" s="55" customFormat="1" ht="24" customHeight="1">
      <c r="A787" s="455"/>
      <c r="B787" s="167" t="s">
        <v>284</v>
      </c>
      <c r="C787" s="167"/>
      <c r="D787" s="167"/>
      <c r="E787" s="167"/>
      <c r="F787" s="167"/>
      <c r="G787" s="74">
        <f>SUM(H787:K787)</f>
        <v>20300</v>
      </c>
      <c r="H787" s="74"/>
      <c r="I787" s="74"/>
      <c r="J787" s="74"/>
      <c r="K787" s="74">
        <v>20300</v>
      </c>
      <c r="L787" s="132"/>
      <c r="M787" s="133"/>
      <c r="N787" s="132"/>
      <c r="O787" s="132"/>
      <c r="P787" s="132">
        <f>12832.6-12832.6</f>
        <v>0</v>
      </c>
      <c r="Q787" s="132">
        <f>T787</f>
        <v>28500</v>
      </c>
      <c r="R787" s="132"/>
      <c r="S787" s="132"/>
      <c r="T787" s="132">
        <f>30000-1500</f>
        <v>28500</v>
      </c>
      <c r="U787" s="132"/>
      <c r="V787" s="132">
        <f>46302.6-2315.1</f>
        <v>43987.5</v>
      </c>
      <c r="W787" s="132"/>
      <c r="X787" s="167"/>
      <c r="Y787" s="453"/>
      <c r="AT787" s="150"/>
      <c r="AU787" s="150"/>
      <c r="AV787" s="150"/>
      <c r="AW787" s="150"/>
      <c r="AX787" s="150"/>
      <c r="AY787" s="150"/>
      <c r="AZ787" s="150"/>
      <c r="BA787" s="150"/>
      <c r="BB787" s="150"/>
      <c r="BC787" s="150"/>
      <c r="BD787" s="150"/>
      <c r="BE787" s="150"/>
      <c r="BF787" s="150"/>
      <c r="BG787" s="150"/>
      <c r="BH787" s="150"/>
      <c r="BI787" s="150"/>
      <c r="BJ787" s="150"/>
      <c r="BK787" s="150"/>
      <c r="BL787" s="150"/>
      <c r="BM787" s="150"/>
      <c r="BN787" s="150"/>
      <c r="BO787" s="150"/>
      <c r="BP787" s="150"/>
      <c r="BQ787" s="150"/>
      <c r="BR787" s="150"/>
      <c r="BS787" s="150"/>
    </row>
    <row r="788" spans="1:71" s="55" customFormat="1" ht="24.6" hidden="1" customHeight="1">
      <c r="A788" s="455" t="s">
        <v>166</v>
      </c>
      <c r="B788" s="167" t="s">
        <v>89</v>
      </c>
      <c r="C788" s="167">
        <v>176</v>
      </c>
      <c r="D788" s="167" t="s">
        <v>15</v>
      </c>
      <c r="E788" s="167">
        <v>6100404</v>
      </c>
      <c r="F788" s="167">
        <v>244</v>
      </c>
      <c r="G788" s="74">
        <v>0</v>
      </c>
      <c r="H788" s="74">
        <v>0</v>
      </c>
      <c r="I788" s="74">
        <v>0</v>
      </c>
      <c r="J788" s="74">
        <v>0</v>
      </c>
      <c r="K788" s="74">
        <v>0</v>
      </c>
      <c r="L788" s="132">
        <v>0</v>
      </c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67"/>
      <c r="Y788" s="338" t="s">
        <v>40</v>
      </c>
      <c r="AT788" s="150"/>
      <c r="AU788" s="150"/>
      <c r="AV788" s="150"/>
      <c r="AW788" s="150"/>
      <c r="AX788" s="150"/>
      <c r="AY788" s="150"/>
      <c r="AZ788" s="150"/>
      <c r="BA788" s="150"/>
      <c r="BB788" s="150"/>
      <c r="BC788" s="150"/>
      <c r="BD788" s="150"/>
      <c r="BE788" s="150"/>
      <c r="BF788" s="150"/>
      <c r="BG788" s="150"/>
      <c r="BH788" s="150"/>
      <c r="BI788" s="150"/>
      <c r="BJ788" s="150"/>
      <c r="BK788" s="150"/>
      <c r="BL788" s="150"/>
      <c r="BM788" s="150"/>
      <c r="BN788" s="150"/>
      <c r="BO788" s="150"/>
      <c r="BP788" s="150"/>
      <c r="BQ788" s="150"/>
      <c r="BR788" s="150"/>
      <c r="BS788" s="150"/>
    </row>
    <row r="789" spans="1:71" ht="24.6" hidden="1" customHeight="1">
      <c r="A789" s="455"/>
      <c r="B789" s="167" t="s">
        <v>284</v>
      </c>
      <c r="C789" s="167"/>
      <c r="D789" s="167"/>
      <c r="E789" s="167"/>
      <c r="F789" s="167"/>
      <c r="G789" s="74"/>
      <c r="H789" s="74"/>
      <c r="I789" s="74"/>
      <c r="J789" s="74"/>
      <c r="K789" s="74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67"/>
      <c r="Y789" s="338"/>
    </row>
    <row r="790" spans="1:71" ht="24.95" customHeight="1">
      <c r="A790" s="410" t="s">
        <v>124</v>
      </c>
      <c r="B790" s="82" t="s">
        <v>89</v>
      </c>
      <c r="C790" s="82"/>
      <c r="D790" s="82"/>
      <c r="E790" s="82"/>
      <c r="F790" s="82"/>
      <c r="G790" s="80">
        <f>G794</f>
        <v>0</v>
      </c>
      <c r="H790" s="80">
        <f t="shared" ref="H790:W790" si="344">H794</f>
        <v>0</v>
      </c>
      <c r="I790" s="80">
        <f t="shared" si="344"/>
        <v>0</v>
      </c>
      <c r="J790" s="80">
        <f t="shared" si="344"/>
        <v>0</v>
      </c>
      <c r="K790" s="80">
        <f t="shared" si="344"/>
        <v>0</v>
      </c>
      <c r="L790" s="131">
        <f t="shared" si="344"/>
        <v>0</v>
      </c>
      <c r="M790" s="131"/>
      <c r="N790" s="131"/>
      <c r="O790" s="131"/>
      <c r="P790" s="131"/>
      <c r="Q790" s="131">
        <f t="shared" si="344"/>
        <v>6</v>
      </c>
      <c r="R790" s="131">
        <f t="shared" si="344"/>
        <v>0</v>
      </c>
      <c r="S790" s="131">
        <f t="shared" si="344"/>
        <v>0</v>
      </c>
      <c r="T790" s="131">
        <f t="shared" si="344"/>
        <v>6</v>
      </c>
      <c r="U790" s="131"/>
      <c r="V790" s="131">
        <f t="shared" si="344"/>
        <v>0</v>
      </c>
      <c r="W790" s="131">
        <f t="shared" si="344"/>
        <v>0</v>
      </c>
      <c r="X790" s="167"/>
      <c r="Y790" s="82"/>
    </row>
    <row r="791" spans="1:71" s="55" customFormat="1" ht="24.95" customHeight="1">
      <c r="A791" s="411"/>
      <c r="B791" s="82" t="s">
        <v>412</v>
      </c>
      <c r="C791" s="82"/>
      <c r="D791" s="82"/>
      <c r="E791" s="82"/>
      <c r="F791" s="82"/>
      <c r="G791" s="80">
        <f t="shared" ref="G791:L791" si="345">G797</f>
        <v>0</v>
      </c>
      <c r="H791" s="80">
        <f t="shared" si="345"/>
        <v>0</v>
      </c>
      <c r="I791" s="80">
        <f t="shared" si="345"/>
        <v>0</v>
      </c>
      <c r="J791" s="80">
        <f t="shared" si="345"/>
        <v>0</v>
      </c>
      <c r="K791" s="80">
        <f t="shared" si="345"/>
        <v>0</v>
      </c>
      <c r="L791" s="131">
        <f t="shared" si="345"/>
        <v>0</v>
      </c>
      <c r="M791" s="131"/>
      <c r="N791" s="131"/>
      <c r="O791" s="131"/>
      <c r="P791" s="131"/>
      <c r="Q791" s="131">
        <f>Q792+Q793</f>
        <v>21339.1</v>
      </c>
      <c r="R791" s="131">
        <f t="shared" ref="R791:T791" si="346">R792+R793</f>
        <v>0</v>
      </c>
      <c r="S791" s="131">
        <f t="shared" si="346"/>
        <v>0</v>
      </c>
      <c r="T791" s="131">
        <f t="shared" si="346"/>
        <v>21339.1</v>
      </c>
      <c r="U791" s="131"/>
      <c r="V791" s="131">
        <f>V792+V793</f>
        <v>0</v>
      </c>
      <c r="W791" s="131">
        <f>W797</f>
        <v>0</v>
      </c>
      <c r="X791" s="167"/>
      <c r="Y791" s="82"/>
      <c r="AT791" s="150"/>
      <c r="AU791" s="150"/>
      <c r="AV791" s="150"/>
      <c r="AW791" s="150"/>
      <c r="AX791" s="150"/>
      <c r="AY791" s="150"/>
      <c r="AZ791" s="150"/>
      <c r="BA791" s="150"/>
      <c r="BB791" s="150"/>
      <c r="BC791" s="150"/>
      <c r="BD791" s="150"/>
      <c r="BE791" s="150"/>
      <c r="BF791" s="150"/>
      <c r="BG791" s="150"/>
      <c r="BH791" s="150"/>
      <c r="BI791" s="150"/>
      <c r="BJ791" s="150"/>
      <c r="BK791" s="150"/>
      <c r="BL791" s="150"/>
      <c r="BM791" s="150"/>
      <c r="BN791" s="150"/>
      <c r="BO791" s="150"/>
      <c r="BP791" s="150"/>
      <c r="BQ791" s="150"/>
      <c r="BR791" s="150"/>
      <c r="BS791" s="150"/>
    </row>
    <row r="792" spans="1:71" s="55" customFormat="1" ht="24.95" customHeight="1">
      <c r="A792" s="411"/>
      <c r="B792" s="82" t="s">
        <v>420</v>
      </c>
      <c r="C792" s="82"/>
      <c r="D792" s="82"/>
      <c r="E792" s="82"/>
      <c r="F792" s="82"/>
      <c r="G792" s="80"/>
      <c r="H792" s="80"/>
      <c r="I792" s="80"/>
      <c r="J792" s="80"/>
      <c r="K792" s="80"/>
      <c r="L792" s="131"/>
      <c r="M792" s="131"/>
      <c r="N792" s="131"/>
      <c r="O792" s="131"/>
      <c r="P792" s="131"/>
      <c r="Q792" s="131">
        <f>T792</f>
        <v>11339.1</v>
      </c>
      <c r="R792" s="131">
        <f t="shared" ref="R792:T792" si="347">R796</f>
        <v>0</v>
      </c>
      <c r="S792" s="131">
        <f t="shared" si="347"/>
        <v>0</v>
      </c>
      <c r="T792" s="131">
        <f t="shared" si="347"/>
        <v>11339.1</v>
      </c>
      <c r="U792" s="131"/>
      <c r="V792" s="131">
        <f>V796</f>
        <v>0</v>
      </c>
      <c r="W792" s="131"/>
      <c r="X792" s="167"/>
      <c r="Y792" s="82"/>
      <c r="AT792" s="150"/>
      <c r="AU792" s="150"/>
      <c r="AV792" s="150"/>
      <c r="AW792" s="150"/>
      <c r="AX792" s="150"/>
      <c r="AY792" s="150"/>
      <c r="AZ792" s="150"/>
      <c r="BA792" s="150"/>
      <c r="BB792" s="150"/>
      <c r="BC792" s="150"/>
      <c r="BD792" s="150"/>
      <c r="BE792" s="150"/>
      <c r="BF792" s="150"/>
      <c r="BG792" s="150"/>
      <c r="BH792" s="150"/>
      <c r="BI792" s="150"/>
      <c r="BJ792" s="150"/>
      <c r="BK792" s="150"/>
      <c r="BL792" s="150"/>
      <c r="BM792" s="150"/>
      <c r="BN792" s="150"/>
      <c r="BO792" s="150"/>
      <c r="BP792" s="150"/>
      <c r="BQ792" s="150"/>
      <c r="BR792" s="150"/>
      <c r="BS792" s="150"/>
    </row>
    <row r="793" spans="1:71" s="55" customFormat="1" ht="24.95" customHeight="1">
      <c r="A793" s="446"/>
      <c r="B793" s="82" t="s">
        <v>429</v>
      </c>
      <c r="C793" s="82"/>
      <c r="D793" s="82"/>
      <c r="E793" s="82"/>
      <c r="F793" s="82"/>
      <c r="G793" s="80"/>
      <c r="H793" s="80"/>
      <c r="I793" s="80"/>
      <c r="J793" s="80"/>
      <c r="K793" s="80"/>
      <c r="L793" s="131"/>
      <c r="M793" s="131"/>
      <c r="N793" s="131"/>
      <c r="O793" s="131"/>
      <c r="P793" s="131"/>
      <c r="Q793" s="131">
        <f>Q797</f>
        <v>10000</v>
      </c>
      <c r="R793" s="131">
        <f t="shared" ref="R793:T793" si="348">R797</f>
        <v>0</v>
      </c>
      <c r="S793" s="131">
        <f t="shared" si="348"/>
        <v>0</v>
      </c>
      <c r="T793" s="131">
        <f t="shared" si="348"/>
        <v>10000</v>
      </c>
      <c r="U793" s="131"/>
      <c r="V793" s="131">
        <f>V797</f>
        <v>0</v>
      </c>
      <c r="W793" s="131"/>
      <c r="X793" s="167"/>
      <c r="Y793" s="82"/>
      <c r="AT793" s="150"/>
      <c r="AU793" s="150"/>
      <c r="AV793" s="150"/>
      <c r="AW793" s="150"/>
      <c r="AX793" s="150"/>
      <c r="AY793" s="150"/>
      <c r="AZ793" s="150"/>
      <c r="BA793" s="150"/>
      <c r="BB793" s="150"/>
      <c r="BC793" s="150"/>
      <c r="BD793" s="150"/>
      <c r="BE793" s="150"/>
      <c r="BF793" s="150"/>
      <c r="BG793" s="150"/>
      <c r="BH793" s="150"/>
      <c r="BI793" s="150"/>
      <c r="BJ793" s="150"/>
      <c r="BK793" s="150"/>
      <c r="BL793" s="150"/>
      <c r="BM793" s="150"/>
      <c r="BN793" s="150"/>
      <c r="BO793" s="150"/>
      <c r="BP793" s="150"/>
      <c r="BQ793" s="150"/>
      <c r="BR793" s="150"/>
      <c r="BS793" s="150"/>
    </row>
    <row r="794" spans="1:71" s="55" customFormat="1" ht="24.95" customHeight="1">
      <c r="A794" s="187" t="s">
        <v>329</v>
      </c>
      <c r="B794" s="167" t="s">
        <v>89</v>
      </c>
      <c r="C794" s="167">
        <v>176</v>
      </c>
      <c r="D794" s="167" t="s">
        <v>15</v>
      </c>
      <c r="E794" s="167">
        <v>6100404</v>
      </c>
      <c r="F794" s="167">
        <v>244</v>
      </c>
      <c r="G794" s="74">
        <v>0</v>
      </c>
      <c r="H794" s="74">
        <v>0</v>
      </c>
      <c r="I794" s="74">
        <v>0</v>
      </c>
      <c r="J794" s="74">
        <v>0</v>
      </c>
      <c r="K794" s="74">
        <v>0</v>
      </c>
      <c r="L794" s="132">
        <v>0</v>
      </c>
      <c r="M794" s="132"/>
      <c r="N794" s="132"/>
      <c r="O794" s="132"/>
      <c r="P794" s="132"/>
      <c r="Q794" s="132">
        <v>6</v>
      </c>
      <c r="R794" s="132"/>
      <c r="S794" s="132"/>
      <c r="T794" s="132">
        <v>6</v>
      </c>
      <c r="U794" s="132"/>
      <c r="V794" s="132"/>
      <c r="W794" s="132"/>
      <c r="X794" s="167"/>
      <c r="Y794" s="453" t="s">
        <v>510</v>
      </c>
      <c r="AT794" s="150"/>
      <c r="AU794" s="150"/>
      <c r="AV794" s="150"/>
      <c r="AW794" s="150"/>
      <c r="AX794" s="150"/>
      <c r="AY794" s="150"/>
      <c r="AZ794" s="150"/>
      <c r="BA794" s="150"/>
      <c r="BB794" s="150"/>
      <c r="BC794" s="150"/>
      <c r="BD794" s="150"/>
      <c r="BE794" s="150"/>
      <c r="BF794" s="150"/>
      <c r="BG794" s="150"/>
      <c r="BH794" s="150"/>
      <c r="BI794" s="150"/>
      <c r="BJ794" s="150"/>
      <c r="BK794" s="150"/>
      <c r="BL794" s="150"/>
      <c r="BM794" s="150"/>
      <c r="BN794" s="150"/>
      <c r="BO794" s="150"/>
      <c r="BP794" s="150"/>
      <c r="BQ794" s="150"/>
      <c r="BR794" s="150"/>
      <c r="BS794" s="150"/>
    </row>
    <row r="795" spans="1:71" s="55" customFormat="1" ht="24.95" customHeight="1">
      <c r="A795" s="188"/>
      <c r="B795" s="167" t="s">
        <v>412</v>
      </c>
      <c r="C795" s="167"/>
      <c r="D795" s="167"/>
      <c r="E795" s="167"/>
      <c r="F795" s="167"/>
      <c r="G795" s="74"/>
      <c r="H795" s="74"/>
      <c r="I795" s="74"/>
      <c r="J795" s="74"/>
      <c r="K795" s="74"/>
      <c r="L795" s="132"/>
      <c r="M795" s="132"/>
      <c r="N795" s="132"/>
      <c r="O795" s="132"/>
      <c r="P795" s="132"/>
      <c r="Q795" s="151">
        <f>Q796+Q797</f>
        <v>21339.1</v>
      </c>
      <c r="R795" s="151"/>
      <c r="S795" s="151"/>
      <c r="T795" s="151">
        <f>T796+T797</f>
        <v>21339.1</v>
      </c>
      <c r="U795" s="151"/>
      <c r="V795" s="151">
        <f>V796+V797</f>
        <v>0</v>
      </c>
      <c r="W795" s="132"/>
      <c r="X795" s="167"/>
      <c r="Y795" s="453"/>
      <c r="AT795" s="150"/>
      <c r="AU795" s="150"/>
      <c r="AV795" s="150"/>
      <c r="AW795" s="150"/>
      <c r="AX795" s="150"/>
      <c r="AY795" s="150"/>
      <c r="AZ795" s="150"/>
      <c r="BA795" s="150"/>
      <c r="BB795" s="150"/>
      <c r="BC795" s="150"/>
      <c r="BD795" s="150"/>
      <c r="BE795" s="150"/>
      <c r="BF795" s="150"/>
      <c r="BG795" s="150"/>
      <c r="BH795" s="150"/>
      <c r="BI795" s="150"/>
      <c r="BJ795" s="150"/>
      <c r="BK795" s="150"/>
      <c r="BL795" s="150"/>
      <c r="BM795" s="150"/>
      <c r="BN795" s="150"/>
      <c r="BO795" s="150"/>
      <c r="BP795" s="150"/>
      <c r="BQ795" s="150"/>
      <c r="BR795" s="150"/>
      <c r="BS795" s="150"/>
    </row>
    <row r="796" spans="1:71" s="55" customFormat="1" ht="24.95" customHeight="1">
      <c r="A796" s="188"/>
      <c r="B796" s="167" t="s">
        <v>420</v>
      </c>
      <c r="C796" s="167"/>
      <c r="D796" s="167"/>
      <c r="E796" s="167"/>
      <c r="F796" s="167"/>
      <c r="G796" s="74"/>
      <c r="H796" s="74"/>
      <c r="I796" s="74"/>
      <c r="J796" s="74"/>
      <c r="K796" s="74"/>
      <c r="L796" s="132"/>
      <c r="M796" s="132"/>
      <c r="N796" s="132"/>
      <c r="O796" s="132"/>
      <c r="P796" s="132"/>
      <c r="Q796" s="151">
        <f>T796</f>
        <v>11339.1</v>
      </c>
      <c r="R796" s="151"/>
      <c r="S796" s="151"/>
      <c r="T796" s="151">
        <f>12589.2-1250.1</f>
        <v>11339.1</v>
      </c>
      <c r="U796" s="151"/>
      <c r="V796" s="151"/>
      <c r="W796" s="132"/>
      <c r="X796" s="167"/>
      <c r="Y796" s="453"/>
      <c r="AT796" s="150"/>
      <c r="AU796" s="150"/>
      <c r="AV796" s="150"/>
      <c r="AW796" s="150"/>
      <c r="AX796" s="150"/>
      <c r="AY796" s="150"/>
      <c r="AZ796" s="150"/>
      <c r="BA796" s="150"/>
      <c r="BB796" s="150"/>
      <c r="BC796" s="150"/>
      <c r="BD796" s="150"/>
      <c r="BE796" s="150"/>
      <c r="BF796" s="150"/>
      <c r="BG796" s="150"/>
      <c r="BH796" s="150"/>
      <c r="BI796" s="150"/>
      <c r="BJ796" s="150"/>
      <c r="BK796" s="150"/>
      <c r="BL796" s="150"/>
      <c r="BM796" s="150"/>
      <c r="BN796" s="150"/>
      <c r="BO796" s="150"/>
      <c r="BP796" s="150"/>
      <c r="BQ796" s="150"/>
      <c r="BR796" s="150"/>
      <c r="BS796" s="150"/>
    </row>
    <row r="797" spans="1:71" ht="24.95" customHeight="1">
      <c r="A797" s="189"/>
      <c r="B797" s="167" t="s">
        <v>428</v>
      </c>
      <c r="C797" s="167"/>
      <c r="D797" s="167"/>
      <c r="E797" s="167"/>
      <c r="F797" s="167"/>
      <c r="G797" s="74"/>
      <c r="H797" s="74"/>
      <c r="I797" s="74"/>
      <c r="J797" s="74"/>
      <c r="K797" s="74"/>
      <c r="L797" s="132"/>
      <c r="M797" s="132"/>
      <c r="N797" s="132"/>
      <c r="O797" s="132"/>
      <c r="P797" s="132"/>
      <c r="Q797" s="132">
        <v>10000</v>
      </c>
      <c r="R797" s="132"/>
      <c r="S797" s="132"/>
      <c r="T797" s="132">
        <v>10000</v>
      </c>
      <c r="U797" s="132"/>
      <c r="V797" s="132"/>
      <c r="W797" s="132"/>
      <c r="X797" s="167"/>
      <c r="Y797" s="453"/>
    </row>
    <row r="798" spans="1:71" ht="24.95" customHeight="1">
      <c r="A798" s="461" t="s">
        <v>101</v>
      </c>
      <c r="B798" s="82" t="s">
        <v>89</v>
      </c>
      <c r="C798" s="82"/>
      <c r="D798" s="82"/>
      <c r="E798" s="82"/>
      <c r="F798" s="82"/>
      <c r="G798" s="80">
        <f>G802</f>
        <v>0</v>
      </c>
      <c r="H798" s="80">
        <f t="shared" ref="H798:W798" si="349">H802</f>
        <v>0</v>
      </c>
      <c r="I798" s="80">
        <f t="shared" si="349"/>
        <v>0</v>
      </c>
      <c r="J798" s="80">
        <f t="shared" si="349"/>
        <v>0</v>
      </c>
      <c r="K798" s="80">
        <f t="shared" si="349"/>
        <v>0</v>
      </c>
      <c r="L798" s="131">
        <f t="shared" si="349"/>
        <v>0</v>
      </c>
      <c r="M798" s="131"/>
      <c r="N798" s="131"/>
      <c r="O798" s="131"/>
      <c r="P798" s="131"/>
      <c r="Q798" s="131">
        <f>Q802+Q806</f>
        <v>1.67</v>
      </c>
      <c r="R798" s="131">
        <f t="shared" ref="R798:T798" si="350">R802+R806</f>
        <v>0</v>
      </c>
      <c r="S798" s="131">
        <f t="shared" si="350"/>
        <v>0</v>
      </c>
      <c r="T798" s="131">
        <f t="shared" si="350"/>
        <v>1.67</v>
      </c>
      <c r="U798" s="131"/>
      <c r="V798" s="131">
        <f t="shared" si="349"/>
        <v>3.8</v>
      </c>
      <c r="W798" s="131">
        <f t="shared" si="349"/>
        <v>0</v>
      </c>
      <c r="X798" s="167"/>
      <c r="Y798" s="82"/>
    </row>
    <row r="799" spans="1:71" ht="24.95" customHeight="1">
      <c r="A799" s="461"/>
      <c r="B799" s="82" t="s">
        <v>412</v>
      </c>
      <c r="C799" s="82"/>
      <c r="D799" s="82"/>
      <c r="E799" s="82"/>
      <c r="F799" s="82"/>
      <c r="G799" s="80"/>
      <c r="H799" s="80"/>
      <c r="I799" s="80"/>
      <c r="J799" s="80"/>
      <c r="K799" s="80"/>
      <c r="L799" s="131"/>
      <c r="M799" s="131"/>
      <c r="N799" s="131"/>
      <c r="O799" s="131"/>
      <c r="P799" s="131"/>
      <c r="Q799" s="131">
        <f>Q803+Q807</f>
        <v>40112.300000000003</v>
      </c>
      <c r="R799" s="131">
        <f t="shared" ref="R799:T799" si="351">R803+R807</f>
        <v>0</v>
      </c>
      <c r="S799" s="131">
        <f t="shared" si="351"/>
        <v>0</v>
      </c>
      <c r="T799" s="131">
        <f t="shared" si="351"/>
        <v>40112.300000000003</v>
      </c>
      <c r="U799" s="131"/>
      <c r="V799" s="131">
        <f>V800+V801</f>
        <v>33300</v>
      </c>
      <c r="W799" s="131"/>
      <c r="X799" s="287"/>
      <c r="Y799" s="82"/>
    </row>
    <row r="800" spans="1:71" ht="24.95" customHeight="1">
      <c r="A800" s="461"/>
      <c r="B800" s="82" t="s">
        <v>420</v>
      </c>
      <c r="C800" s="82"/>
      <c r="D800" s="82"/>
      <c r="E800" s="82"/>
      <c r="F800" s="82"/>
      <c r="G800" s="80"/>
      <c r="H800" s="80"/>
      <c r="I800" s="80"/>
      <c r="J800" s="80"/>
      <c r="K800" s="80"/>
      <c r="L800" s="131"/>
      <c r="M800" s="131"/>
      <c r="N800" s="131"/>
      <c r="O800" s="131"/>
      <c r="P800" s="131"/>
      <c r="Q800" s="131">
        <f>Q804+Q808</f>
        <v>40112.300000000003</v>
      </c>
      <c r="R800" s="131">
        <f t="shared" ref="R800:U800" si="352">R804+R808</f>
        <v>0</v>
      </c>
      <c r="S800" s="131">
        <f t="shared" si="352"/>
        <v>0</v>
      </c>
      <c r="T800" s="131">
        <f t="shared" si="352"/>
        <v>40112.300000000003</v>
      </c>
      <c r="U800" s="131">
        <f t="shared" si="352"/>
        <v>0</v>
      </c>
      <c r="V800" s="131">
        <f>V804</f>
        <v>28300</v>
      </c>
      <c r="W800" s="131"/>
      <c r="X800" s="287"/>
      <c r="Y800" s="82"/>
    </row>
    <row r="801" spans="1:71" s="55" customFormat="1" ht="24.95" customHeight="1">
      <c r="A801" s="461"/>
      <c r="B801" s="82" t="s">
        <v>428</v>
      </c>
      <c r="C801" s="82"/>
      <c r="D801" s="82"/>
      <c r="E801" s="82"/>
      <c r="F801" s="82"/>
      <c r="G801" s="80">
        <f t="shared" ref="G801:L801" si="353">G805</f>
        <v>0</v>
      </c>
      <c r="H801" s="80">
        <f t="shared" si="353"/>
        <v>0</v>
      </c>
      <c r="I801" s="80">
        <f t="shared" si="353"/>
        <v>0</v>
      </c>
      <c r="J801" s="80">
        <f t="shared" si="353"/>
        <v>0</v>
      </c>
      <c r="K801" s="80">
        <f t="shared" si="353"/>
        <v>0</v>
      </c>
      <c r="L801" s="131">
        <f t="shared" si="353"/>
        <v>0</v>
      </c>
      <c r="M801" s="131"/>
      <c r="N801" s="131"/>
      <c r="O801" s="131"/>
      <c r="P801" s="131"/>
      <c r="Q801" s="131">
        <f>Q805</f>
        <v>0</v>
      </c>
      <c r="R801" s="131"/>
      <c r="S801" s="131"/>
      <c r="T801" s="131"/>
      <c r="U801" s="131"/>
      <c r="V801" s="131">
        <f>V805</f>
        <v>5000</v>
      </c>
      <c r="W801" s="131">
        <f>W805</f>
        <v>0</v>
      </c>
      <c r="X801" s="167"/>
      <c r="Y801" s="82"/>
      <c r="AT801" s="150"/>
      <c r="AU801" s="150"/>
      <c r="AV801" s="150"/>
      <c r="AW801" s="150"/>
      <c r="AX801" s="150"/>
      <c r="AY801" s="150"/>
      <c r="AZ801" s="150"/>
      <c r="BA801" s="150"/>
      <c r="BB801" s="150"/>
      <c r="BC801" s="150"/>
      <c r="BD801" s="150"/>
      <c r="BE801" s="150"/>
      <c r="BF801" s="150"/>
      <c r="BG801" s="150"/>
      <c r="BH801" s="150"/>
      <c r="BI801" s="150"/>
      <c r="BJ801" s="150"/>
      <c r="BK801" s="150"/>
      <c r="BL801" s="150"/>
      <c r="BM801" s="150"/>
      <c r="BN801" s="150"/>
      <c r="BO801" s="150"/>
      <c r="BP801" s="150"/>
      <c r="BQ801" s="150"/>
      <c r="BR801" s="150"/>
      <c r="BS801" s="150"/>
    </row>
    <row r="802" spans="1:71" s="55" customFormat="1" ht="24.95" customHeight="1">
      <c r="A802" s="455" t="s">
        <v>473</v>
      </c>
      <c r="B802" s="167" t="s">
        <v>89</v>
      </c>
      <c r="C802" s="167">
        <v>176</v>
      </c>
      <c r="D802" s="167" t="s">
        <v>15</v>
      </c>
      <c r="E802" s="167">
        <v>6100404</v>
      </c>
      <c r="F802" s="167">
        <v>244</v>
      </c>
      <c r="G802" s="74">
        <v>0</v>
      </c>
      <c r="H802" s="74">
        <v>0</v>
      </c>
      <c r="I802" s="74">
        <v>0</v>
      </c>
      <c r="J802" s="74">
        <v>0</v>
      </c>
      <c r="K802" s="74">
        <v>0</v>
      </c>
      <c r="L802" s="132"/>
      <c r="M802" s="132"/>
      <c r="N802" s="132"/>
      <c r="O802" s="132"/>
      <c r="P802" s="132"/>
      <c r="Q802" s="132">
        <v>0</v>
      </c>
      <c r="R802" s="132"/>
      <c r="S802" s="132"/>
      <c r="T802" s="132"/>
      <c r="U802" s="132"/>
      <c r="V802" s="132">
        <v>3.8</v>
      </c>
      <c r="W802" s="132"/>
      <c r="X802" s="345"/>
      <c r="Y802" s="453" t="s">
        <v>607</v>
      </c>
      <c r="AT802" s="150"/>
      <c r="AU802" s="150"/>
      <c r="AV802" s="150"/>
      <c r="AW802" s="150"/>
      <c r="AX802" s="150"/>
      <c r="AY802" s="150"/>
      <c r="AZ802" s="150"/>
      <c r="BA802" s="150"/>
      <c r="BB802" s="150"/>
      <c r="BC802" s="150"/>
      <c r="BD802" s="150"/>
      <c r="BE802" s="150"/>
      <c r="BF802" s="150"/>
      <c r="BG802" s="150"/>
      <c r="BH802" s="150"/>
      <c r="BI802" s="150"/>
      <c r="BJ802" s="150"/>
      <c r="BK802" s="150"/>
      <c r="BL802" s="150"/>
      <c r="BM802" s="150"/>
      <c r="BN802" s="150"/>
      <c r="BO802" s="150"/>
      <c r="BP802" s="150"/>
      <c r="BQ802" s="150"/>
      <c r="BR802" s="150"/>
      <c r="BS802" s="150"/>
    </row>
    <row r="803" spans="1:71" s="55" customFormat="1" ht="24.95" customHeight="1">
      <c r="A803" s="455"/>
      <c r="B803" s="287" t="s">
        <v>412</v>
      </c>
      <c r="C803" s="287"/>
      <c r="D803" s="287"/>
      <c r="E803" s="287"/>
      <c r="F803" s="287"/>
      <c r="G803" s="74"/>
      <c r="H803" s="74"/>
      <c r="I803" s="74"/>
      <c r="J803" s="74"/>
      <c r="K803" s="74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>
        <f>V804+V805</f>
        <v>33300</v>
      </c>
      <c r="W803" s="132"/>
      <c r="X803" s="345"/>
      <c r="Y803" s="453"/>
      <c r="AT803" s="150"/>
      <c r="AU803" s="150"/>
      <c r="AV803" s="150"/>
      <c r="AW803" s="150"/>
      <c r="AX803" s="150"/>
      <c r="AY803" s="150"/>
      <c r="AZ803" s="150"/>
      <c r="BA803" s="150"/>
      <c r="BB803" s="150"/>
      <c r="BC803" s="150"/>
      <c r="BD803" s="150"/>
      <c r="BE803" s="150"/>
      <c r="BF803" s="150"/>
      <c r="BG803" s="150"/>
      <c r="BH803" s="150"/>
      <c r="BI803" s="150"/>
      <c r="BJ803" s="150"/>
      <c r="BK803" s="150"/>
      <c r="BL803" s="150"/>
      <c r="BM803" s="150"/>
      <c r="BN803" s="150"/>
      <c r="BO803" s="150"/>
      <c r="BP803" s="150"/>
      <c r="BQ803" s="150"/>
      <c r="BR803" s="150"/>
      <c r="BS803" s="150"/>
    </row>
    <row r="804" spans="1:71" s="55" customFormat="1" ht="24.95" customHeight="1">
      <c r="A804" s="455"/>
      <c r="B804" s="287" t="s">
        <v>420</v>
      </c>
      <c r="C804" s="287"/>
      <c r="D804" s="287"/>
      <c r="E804" s="287"/>
      <c r="F804" s="287"/>
      <c r="G804" s="74"/>
      <c r="H804" s="74"/>
      <c r="I804" s="74"/>
      <c r="J804" s="74"/>
      <c r="K804" s="74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>
        <f>12000-5000+21300</f>
        <v>28300</v>
      </c>
      <c r="W804" s="132"/>
      <c r="X804" s="345"/>
      <c r="Y804" s="453"/>
      <c r="AT804" s="150"/>
      <c r="AU804" s="150"/>
      <c r="AV804" s="150"/>
      <c r="AW804" s="150"/>
      <c r="AX804" s="150"/>
      <c r="AY804" s="150"/>
      <c r="AZ804" s="150"/>
      <c r="BA804" s="150"/>
      <c r="BB804" s="150"/>
      <c r="BC804" s="150"/>
      <c r="BD804" s="150"/>
      <c r="BE804" s="150"/>
      <c r="BF804" s="150"/>
      <c r="BG804" s="150"/>
      <c r="BH804" s="150"/>
      <c r="BI804" s="150"/>
      <c r="BJ804" s="150"/>
      <c r="BK804" s="150"/>
      <c r="BL804" s="150"/>
      <c r="BM804" s="150"/>
      <c r="BN804" s="150"/>
      <c r="BO804" s="150"/>
      <c r="BP804" s="150"/>
      <c r="BQ804" s="150"/>
      <c r="BR804" s="150"/>
      <c r="BS804" s="150"/>
    </row>
    <row r="805" spans="1:71" s="55" customFormat="1" ht="25.15" customHeight="1">
      <c r="A805" s="455"/>
      <c r="B805" s="312" t="s">
        <v>428</v>
      </c>
      <c r="C805" s="312"/>
      <c r="D805" s="312"/>
      <c r="E805" s="312"/>
      <c r="F805" s="312"/>
      <c r="G805" s="74"/>
      <c r="H805" s="74"/>
      <c r="I805" s="74"/>
      <c r="J805" s="74"/>
      <c r="K805" s="74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>
        <v>5000</v>
      </c>
      <c r="W805" s="131"/>
      <c r="X805" s="82"/>
      <c r="Y805" s="453"/>
      <c r="AT805" s="150"/>
      <c r="AU805" s="150"/>
      <c r="AV805" s="150"/>
      <c r="AW805" s="150"/>
      <c r="AX805" s="150"/>
      <c r="AY805" s="150"/>
      <c r="AZ805" s="150"/>
      <c r="BA805" s="150"/>
      <c r="BB805" s="150"/>
      <c r="BC805" s="150"/>
      <c r="BD805" s="150"/>
      <c r="BE805" s="150"/>
      <c r="BF805" s="150"/>
      <c r="BG805" s="150"/>
      <c r="BH805" s="150"/>
      <c r="BI805" s="150"/>
      <c r="BJ805" s="150"/>
      <c r="BK805" s="150"/>
      <c r="BL805" s="150"/>
      <c r="BM805" s="150"/>
      <c r="BN805" s="150"/>
      <c r="BO805" s="150"/>
      <c r="BP805" s="150"/>
      <c r="BQ805" s="150"/>
      <c r="BR805" s="150"/>
      <c r="BS805" s="150"/>
    </row>
    <row r="806" spans="1:71" s="55" customFormat="1" ht="25.15" customHeight="1">
      <c r="A806" s="451" t="s">
        <v>538</v>
      </c>
      <c r="B806" s="312" t="s">
        <v>89</v>
      </c>
      <c r="C806" s="312"/>
      <c r="D806" s="312"/>
      <c r="E806" s="312"/>
      <c r="F806" s="312"/>
      <c r="G806" s="74"/>
      <c r="H806" s="74"/>
      <c r="I806" s="74"/>
      <c r="J806" s="74"/>
      <c r="K806" s="74"/>
      <c r="L806" s="132"/>
      <c r="M806" s="132"/>
      <c r="N806" s="132"/>
      <c r="O806" s="132"/>
      <c r="P806" s="132"/>
      <c r="Q806" s="132">
        <f>T806</f>
        <v>1.67</v>
      </c>
      <c r="R806" s="132"/>
      <c r="S806" s="132"/>
      <c r="T806" s="132">
        <v>1.67</v>
      </c>
      <c r="U806" s="132"/>
      <c r="V806" s="132"/>
      <c r="W806" s="131"/>
      <c r="X806" s="82"/>
      <c r="Y806" s="453" t="s">
        <v>588</v>
      </c>
      <c r="AT806" s="150"/>
      <c r="AU806" s="150"/>
      <c r="AV806" s="150"/>
      <c r="AW806" s="150"/>
      <c r="AX806" s="150"/>
      <c r="AY806" s="150"/>
      <c r="AZ806" s="150"/>
      <c r="BA806" s="150"/>
      <c r="BB806" s="150"/>
      <c r="BC806" s="150"/>
      <c r="BD806" s="150"/>
      <c r="BE806" s="150"/>
      <c r="BF806" s="150"/>
      <c r="BG806" s="150"/>
      <c r="BH806" s="150"/>
      <c r="BI806" s="150"/>
      <c r="BJ806" s="150"/>
      <c r="BK806" s="150"/>
      <c r="BL806" s="150"/>
      <c r="BM806" s="150"/>
      <c r="BN806" s="150"/>
      <c r="BO806" s="150"/>
      <c r="BP806" s="150"/>
      <c r="BQ806" s="150"/>
      <c r="BR806" s="150"/>
      <c r="BS806" s="150"/>
    </row>
    <row r="807" spans="1:71" s="55" customFormat="1" ht="25.15" customHeight="1">
      <c r="A807" s="454"/>
      <c r="B807" s="312" t="s">
        <v>412</v>
      </c>
      <c r="C807" s="312"/>
      <c r="D807" s="312"/>
      <c r="E807" s="312"/>
      <c r="F807" s="312"/>
      <c r="G807" s="74"/>
      <c r="H807" s="74"/>
      <c r="I807" s="74"/>
      <c r="J807" s="74"/>
      <c r="K807" s="74"/>
      <c r="L807" s="132"/>
      <c r="M807" s="132"/>
      <c r="N807" s="132"/>
      <c r="O807" s="132"/>
      <c r="P807" s="132"/>
      <c r="Q807" s="132">
        <f>Q808</f>
        <v>40112.300000000003</v>
      </c>
      <c r="R807" s="132">
        <f t="shared" ref="R807:T807" si="354">R808</f>
        <v>0</v>
      </c>
      <c r="S807" s="132">
        <f t="shared" si="354"/>
        <v>0</v>
      </c>
      <c r="T807" s="132">
        <f t="shared" si="354"/>
        <v>40112.300000000003</v>
      </c>
      <c r="U807" s="132"/>
      <c r="V807" s="132"/>
      <c r="W807" s="131"/>
      <c r="X807" s="82"/>
      <c r="Y807" s="453"/>
      <c r="AT807" s="150"/>
      <c r="AU807" s="150"/>
      <c r="AV807" s="150"/>
      <c r="AW807" s="150"/>
      <c r="AX807" s="150"/>
      <c r="AY807" s="150"/>
      <c r="AZ807" s="150"/>
      <c r="BA807" s="150"/>
      <c r="BB807" s="150"/>
      <c r="BC807" s="150"/>
      <c r="BD807" s="150"/>
      <c r="BE807" s="150"/>
      <c r="BF807" s="150"/>
      <c r="BG807" s="150"/>
      <c r="BH807" s="150"/>
      <c r="BI807" s="150"/>
      <c r="BJ807" s="150"/>
      <c r="BK807" s="150"/>
      <c r="BL807" s="150"/>
      <c r="BM807" s="150"/>
      <c r="BN807" s="150"/>
      <c r="BO807" s="150"/>
      <c r="BP807" s="150"/>
      <c r="BQ807" s="150"/>
      <c r="BR807" s="150"/>
      <c r="BS807" s="150"/>
    </row>
    <row r="808" spans="1:71" s="55" customFormat="1" ht="25.15" customHeight="1">
      <c r="A808" s="452"/>
      <c r="B808" s="312" t="s">
        <v>420</v>
      </c>
      <c r="C808" s="312"/>
      <c r="D808" s="312"/>
      <c r="E808" s="312"/>
      <c r="F808" s="312"/>
      <c r="G808" s="74"/>
      <c r="H808" s="74"/>
      <c r="I808" s="74"/>
      <c r="J808" s="74"/>
      <c r="K808" s="74"/>
      <c r="L808" s="132"/>
      <c r="M808" s="132"/>
      <c r="N808" s="132"/>
      <c r="O808" s="132"/>
      <c r="P808" s="132"/>
      <c r="Q808" s="132">
        <f>T808</f>
        <v>40112.300000000003</v>
      </c>
      <c r="R808" s="132"/>
      <c r="S808" s="132"/>
      <c r="T808" s="132">
        <f>45000-41.5-4846.2</f>
        <v>40112.300000000003</v>
      </c>
      <c r="U808" s="132"/>
      <c r="V808" s="132"/>
      <c r="W808" s="131"/>
      <c r="X808" s="82"/>
      <c r="Y808" s="453"/>
      <c r="AT808" s="150"/>
      <c r="AU808" s="150"/>
      <c r="AV808" s="150"/>
      <c r="AW808" s="150"/>
      <c r="AX808" s="150"/>
      <c r="AY808" s="150"/>
      <c r="AZ808" s="150"/>
      <c r="BA808" s="150"/>
      <c r="BB808" s="150"/>
      <c r="BC808" s="150"/>
      <c r="BD808" s="150"/>
      <c r="BE808" s="150"/>
      <c r="BF808" s="150"/>
      <c r="BG808" s="150"/>
      <c r="BH808" s="150"/>
      <c r="BI808" s="150"/>
      <c r="BJ808" s="150"/>
      <c r="BK808" s="150"/>
      <c r="BL808" s="150"/>
      <c r="BM808" s="150"/>
      <c r="BN808" s="150"/>
      <c r="BO808" s="150"/>
      <c r="BP808" s="150"/>
      <c r="BQ808" s="150"/>
      <c r="BR808" s="150"/>
      <c r="BS808" s="150"/>
    </row>
    <row r="809" spans="1:71" ht="24.6" hidden="1" customHeight="1">
      <c r="A809" s="461" t="s">
        <v>168</v>
      </c>
      <c r="B809" s="82" t="s">
        <v>89</v>
      </c>
      <c r="C809" s="82"/>
      <c r="D809" s="82"/>
      <c r="E809" s="82"/>
      <c r="F809" s="82"/>
      <c r="G809" s="80">
        <f>G811+G813</f>
        <v>0</v>
      </c>
      <c r="H809" s="80">
        <f t="shared" ref="H809:W810" si="355">H811+H813</f>
        <v>0</v>
      </c>
      <c r="I809" s="80">
        <f t="shared" si="355"/>
        <v>0</v>
      </c>
      <c r="J809" s="80">
        <f t="shared" si="355"/>
        <v>0</v>
      </c>
      <c r="K809" s="80">
        <f t="shared" si="355"/>
        <v>1.2</v>
      </c>
      <c r="L809" s="131">
        <f t="shared" si="355"/>
        <v>9.1</v>
      </c>
      <c r="M809" s="131">
        <f t="shared" si="355"/>
        <v>9.1</v>
      </c>
      <c r="N809" s="131">
        <f t="shared" si="355"/>
        <v>0</v>
      </c>
      <c r="O809" s="131">
        <f t="shared" si="355"/>
        <v>0</v>
      </c>
      <c r="P809" s="131">
        <f t="shared" si="355"/>
        <v>0</v>
      </c>
      <c r="Q809" s="131">
        <f t="shared" si="355"/>
        <v>0</v>
      </c>
      <c r="R809" s="131"/>
      <c r="S809" s="131"/>
      <c r="T809" s="131"/>
      <c r="U809" s="131"/>
      <c r="V809" s="131">
        <f t="shared" si="355"/>
        <v>0</v>
      </c>
      <c r="W809" s="131">
        <f t="shared" si="355"/>
        <v>0</v>
      </c>
      <c r="X809" s="167"/>
      <c r="Y809" s="82"/>
    </row>
    <row r="810" spans="1:71" ht="24.6" hidden="1" customHeight="1">
      <c r="A810" s="461"/>
      <c r="B810" s="82" t="s">
        <v>284</v>
      </c>
      <c r="C810" s="82"/>
      <c r="D810" s="82"/>
      <c r="E810" s="82"/>
      <c r="F810" s="82"/>
      <c r="G810" s="80">
        <f>G812+G814</f>
        <v>11123.6</v>
      </c>
      <c r="H810" s="80">
        <f t="shared" si="355"/>
        <v>0</v>
      </c>
      <c r="I810" s="80">
        <f t="shared" si="355"/>
        <v>6999</v>
      </c>
      <c r="J810" s="80">
        <f t="shared" si="355"/>
        <v>4124.6000000000004</v>
      </c>
      <c r="K810" s="80">
        <f t="shared" si="355"/>
        <v>0</v>
      </c>
      <c r="L810" s="131">
        <f t="shared" si="355"/>
        <v>19735.5</v>
      </c>
      <c r="M810" s="131">
        <f t="shared" si="355"/>
        <v>19735.5</v>
      </c>
      <c r="N810" s="131">
        <f t="shared" si="355"/>
        <v>0</v>
      </c>
      <c r="O810" s="131">
        <f t="shared" si="355"/>
        <v>0</v>
      </c>
      <c r="P810" s="131">
        <f t="shared" si="355"/>
        <v>0</v>
      </c>
      <c r="Q810" s="131">
        <f t="shared" si="355"/>
        <v>0</v>
      </c>
      <c r="R810" s="131"/>
      <c r="S810" s="131"/>
      <c r="T810" s="131"/>
      <c r="U810" s="131"/>
      <c r="V810" s="131">
        <f t="shared" si="355"/>
        <v>0</v>
      </c>
      <c r="W810" s="131">
        <f t="shared" si="355"/>
        <v>0</v>
      </c>
      <c r="X810" s="167"/>
      <c r="Y810" s="82"/>
    </row>
    <row r="811" spans="1:71" ht="0.6" hidden="1" customHeight="1">
      <c r="A811" s="455" t="s">
        <v>167</v>
      </c>
      <c r="B811" s="167" t="s">
        <v>89</v>
      </c>
      <c r="C811" s="167">
        <v>176</v>
      </c>
      <c r="D811" s="167" t="s">
        <v>15</v>
      </c>
      <c r="E811" s="167">
        <v>6100404</v>
      </c>
      <c r="F811" s="167">
        <v>244</v>
      </c>
      <c r="G811" s="74"/>
      <c r="H811" s="74"/>
      <c r="I811" s="74"/>
      <c r="J811" s="74"/>
      <c r="K811" s="74">
        <v>1.2</v>
      </c>
      <c r="L811" s="132">
        <v>9.1</v>
      </c>
      <c r="M811" s="132">
        <v>9.1</v>
      </c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67"/>
      <c r="Y811" s="453" t="s">
        <v>390</v>
      </c>
    </row>
    <row r="812" spans="1:71" s="55" customFormat="1" ht="24.6" hidden="1" customHeight="1">
      <c r="A812" s="455"/>
      <c r="B812" s="167" t="s">
        <v>284</v>
      </c>
      <c r="C812" s="167"/>
      <c r="D812" s="167"/>
      <c r="E812" s="167"/>
      <c r="F812" s="167"/>
      <c r="G812" s="74">
        <f>SUM(H812:K812)</f>
        <v>11123.6</v>
      </c>
      <c r="H812" s="74">
        <v>0</v>
      </c>
      <c r="I812" s="74">
        <v>6999</v>
      </c>
      <c r="J812" s="74">
        <f>5979.5-1876.4+21.5</f>
        <v>4124.6000000000004</v>
      </c>
      <c r="K812" s="74"/>
      <c r="L812" s="132">
        <v>19735.5</v>
      </c>
      <c r="M812" s="132">
        <v>19735.5</v>
      </c>
      <c r="N812" s="132"/>
      <c r="O812" s="132"/>
      <c r="P812" s="132">
        <f>296.1-296.1</f>
        <v>0</v>
      </c>
      <c r="Q812" s="132">
        <f>6000-6000</f>
        <v>0</v>
      </c>
      <c r="R812" s="132"/>
      <c r="S812" s="132"/>
      <c r="T812" s="132"/>
      <c r="U812" s="132"/>
      <c r="V812" s="132"/>
      <c r="W812" s="132"/>
      <c r="X812" s="167"/>
      <c r="Y812" s="453"/>
      <c r="AT812" s="150"/>
      <c r="AU812" s="150"/>
      <c r="AV812" s="150"/>
      <c r="AW812" s="150"/>
      <c r="AX812" s="150"/>
      <c r="AY812" s="150"/>
      <c r="AZ812" s="150"/>
      <c r="BA812" s="150"/>
      <c r="BB812" s="150"/>
      <c r="BC812" s="150"/>
      <c r="BD812" s="150"/>
      <c r="BE812" s="150"/>
      <c r="BF812" s="150"/>
      <c r="BG812" s="150"/>
      <c r="BH812" s="150"/>
      <c r="BI812" s="150"/>
      <c r="BJ812" s="150"/>
      <c r="BK812" s="150"/>
      <c r="BL812" s="150"/>
      <c r="BM812" s="150"/>
      <c r="BN812" s="150"/>
      <c r="BO812" s="150"/>
      <c r="BP812" s="150"/>
      <c r="BQ812" s="150"/>
      <c r="BR812" s="150"/>
      <c r="BS812" s="150"/>
    </row>
    <row r="813" spans="1:71" s="55" customFormat="1" ht="24.6" hidden="1" customHeight="1">
      <c r="A813" s="451" t="s">
        <v>297</v>
      </c>
      <c r="B813" s="167" t="s">
        <v>89</v>
      </c>
      <c r="C813" s="167"/>
      <c r="D813" s="167"/>
      <c r="E813" s="167"/>
      <c r="F813" s="167"/>
      <c r="G813" s="74"/>
      <c r="H813" s="74"/>
      <c r="I813" s="74"/>
      <c r="J813" s="74"/>
      <c r="K813" s="74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67"/>
      <c r="Y813" s="453" t="s">
        <v>391</v>
      </c>
      <c r="AT813" s="150"/>
      <c r="AU813" s="150"/>
      <c r="AV813" s="150"/>
      <c r="AW813" s="150"/>
      <c r="AX813" s="150"/>
      <c r="AY813" s="150"/>
      <c r="AZ813" s="150"/>
      <c r="BA813" s="150"/>
      <c r="BB813" s="150"/>
      <c r="BC813" s="150"/>
      <c r="BD813" s="150"/>
      <c r="BE813" s="150"/>
      <c r="BF813" s="150"/>
      <c r="BG813" s="150"/>
      <c r="BH813" s="150"/>
      <c r="BI813" s="150"/>
      <c r="BJ813" s="150"/>
      <c r="BK813" s="150"/>
      <c r="BL813" s="150"/>
      <c r="BM813" s="150"/>
      <c r="BN813" s="150"/>
      <c r="BO813" s="150"/>
      <c r="BP813" s="150"/>
      <c r="BQ813" s="150"/>
      <c r="BR813" s="150"/>
      <c r="BS813" s="150"/>
    </row>
    <row r="814" spans="1:71" ht="24.6" hidden="1" customHeight="1">
      <c r="A814" s="452"/>
      <c r="B814" s="167" t="s">
        <v>284</v>
      </c>
      <c r="C814" s="167"/>
      <c r="D814" s="167"/>
      <c r="E814" s="167"/>
      <c r="F814" s="167"/>
      <c r="G814" s="74"/>
      <c r="H814" s="74"/>
      <c r="I814" s="74"/>
      <c r="J814" s="74"/>
      <c r="K814" s="74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67"/>
      <c r="Y814" s="453"/>
    </row>
    <row r="815" spans="1:71" ht="24.95" customHeight="1">
      <c r="A815" s="461" t="s">
        <v>127</v>
      </c>
      <c r="B815" s="82" t="s">
        <v>89</v>
      </c>
      <c r="C815" s="82"/>
      <c r="D815" s="82"/>
      <c r="E815" s="82"/>
      <c r="F815" s="82"/>
      <c r="G815" s="80">
        <f>G817+G819</f>
        <v>0</v>
      </c>
      <c r="H815" s="80">
        <f t="shared" ref="H815:W816" si="356">H817+H819</f>
        <v>0</v>
      </c>
      <c r="I815" s="80">
        <f t="shared" si="356"/>
        <v>0</v>
      </c>
      <c r="J815" s="80">
        <f t="shared" si="356"/>
        <v>0</v>
      </c>
      <c r="K815" s="80">
        <f t="shared" si="356"/>
        <v>0</v>
      </c>
      <c r="L815" s="131">
        <f t="shared" si="356"/>
        <v>12.145</v>
      </c>
      <c r="M815" s="131">
        <f t="shared" si="356"/>
        <v>12.1</v>
      </c>
      <c r="N815" s="131">
        <f t="shared" si="356"/>
        <v>0</v>
      </c>
      <c r="O815" s="131">
        <f t="shared" si="356"/>
        <v>0</v>
      </c>
      <c r="P815" s="131">
        <f t="shared" si="356"/>
        <v>0</v>
      </c>
      <c r="Q815" s="131">
        <f t="shared" si="356"/>
        <v>1.3</v>
      </c>
      <c r="R815" s="131">
        <f t="shared" si="356"/>
        <v>0</v>
      </c>
      <c r="S815" s="131">
        <f t="shared" si="356"/>
        <v>0</v>
      </c>
      <c r="T815" s="131">
        <f t="shared" si="356"/>
        <v>1.3</v>
      </c>
      <c r="U815" s="131"/>
      <c r="V815" s="131">
        <f t="shared" si="356"/>
        <v>0</v>
      </c>
      <c r="W815" s="131">
        <f t="shared" si="356"/>
        <v>0</v>
      </c>
      <c r="X815" s="167"/>
      <c r="Y815" s="82"/>
    </row>
    <row r="816" spans="1:71" ht="22.9" customHeight="1">
      <c r="A816" s="461"/>
      <c r="B816" s="82" t="s">
        <v>284</v>
      </c>
      <c r="C816" s="82"/>
      <c r="D816" s="82"/>
      <c r="E816" s="82"/>
      <c r="F816" s="82"/>
      <c r="G816" s="80">
        <f>G818+G820</f>
        <v>0</v>
      </c>
      <c r="H816" s="80">
        <f t="shared" si="356"/>
        <v>0</v>
      </c>
      <c r="I816" s="80">
        <f t="shared" si="356"/>
        <v>0</v>
      </c>
      <c r="J816" s="80">
        <f t="shared" si="356"/>
        <v>0</v>
      </c>
      <c r="K816" s="80">
        <f t="shared" si="356"/>
        <v>0</v>
      </c>
      <c r="L816" s="131">
        <f t="shared" si="356"/>
        <v>60644.4</v>
      </c>
      <c r="M816" s="131">
        <f t="shared" si="356"/>
        <v>60644.4</v>
      </c>
      <c r="N816" s="131">
        <f t="shared" si="356"/>
        <v>0</v>
      </c>
      <c r="O816" s="131">
        <f t="shared" si="356"/>
        <v>0</v>
      </c>
      <c r="P816" s="131">
        <f t="shared" si="356"/>
        <v>0</v>
      </c>
      <c r="Q816" s="131">
        <f t="shared" si="356"/>
        <v>19566.8</v>
      </c>
      <c r="R816" s="131">
        <f t="shared" si="356"/>
        <v>0</v>
      </c>
      <c r="S816" s="131">
        <f t="shared" si="356"/>
        <v>0</v>
      </c>
      <c r="T816" s="131">
        <f t="shared" si="356"/>
        <v>19566.8</v>
      </c>
      <c r="U816" s="131"/>
      <c r="V816" s="131">
        <f t="shared" si="356"/>
        <v>0</v>
      </c>
      <c r="W816" s="131">
        <f t="shared" si="356"/>
        <v>0</v>
      </c>
      <c r="X816" s="167"/>
      <c r="Y816" s="82"/>
    </row>
    <row r="817" spans="1:71" ht="24.95" hidden="1" customHeight="1">
      <c r="A817" s="455" t="s">
        <v>161</v>
      </c>
      <c r="B817" s="167" t="s">
        <v>89</v>
      </c>
      <c r="C817" s="167">
        <v>176</v>
      </c>
      <c r="D817" s="167" t="s">
        <v>15</v>
      </c>
      <c r="E817" s="167">
        <v>6100404</v>
      </c>
      <c r="F817" s="167">
        <v>244</v>
      </c>
      <c r="G817" s="74">
        <v>0</v>
      </c>
      <c r="H817" s="74">
        <v>0</v>
      </c>
      <c r="I817" s="74">
        <v>0</v>
      </c>
      <c r="J817" s="74">
        <v>0</v>
      </c>
      <c r="K817" s="74">
        <f>G817-H817-I817-J817</f>
        <v>0</v>
      </c>
      <c r="L817" s="132">
        <v>8.6</v>
      </c>
      <c r="M817" s="132">
        <v>8.6</v>
      </c>
      <c r="N817" s="132"/>
      <c r="O817" s="132"/>
      <c r="P817" s="132"/>
      <c r="Q817" s="132"/>
      <c r="R817" s="132"/>
      <c r="S817" s="132"/>
      <c r="T817" s="132"/>
      <c r="U817" s="132"/>
      <c r="V817" s="132">
        <v>0</v>
      </c>
      <c r="W817" s="132"/>
      <c r="X817" s="167"/>
      <c r="Y817" s="453" t="s">
        <v>472</v>
      </c>
    </row>
    <row r="818" spans="1:71" s="55" customFormat="1" ht="24" hidden="1" customHeight="1">
      <c r="A818" s="455"/>
      <c r="B818" s="167" t="s">
        <v>284</v>
      </c>
      <c r="C818" s="167"/>
      <c r="D818" s="167"/>
      <c r="E818" s="167"/>
      <c r="F818" s="167"/>
      <c r="G818" s="74"/>
      <c r="H818" s="74"/>
      <c r="I818" s="74"/>
      <c r="J818" s="74"/>
      <c r="K818" s="74"/>
      <c r="L818" s="132">
        <v>18907.599999999999</v>
      </c>
      <c r="M818" s="132">
        <v>18907.599999999999</v>
      </c>
      <c r="N818" s="132"/>
      <c r="O818" s="132"/>
      <c r="P818" s="132">
        <f>1124.7-1124.7</f>
        <v>0</v>
      </c>
      <c r="Q818" s="132">
        <f>T818</f>
        <v>0</v>
      </c>
      <c r="R818" s="132"/>
      <c r="S818" s="132"/>
      <c r="T818" s="132"/>
      <c r="U818" s="132"/>
      <c r="V818" s="132">
        <v>0</v>
      </c>
      <c r="W818" s="132"/>
      <c r="X818" s="167"/>
      <c r="Y818" s="453"/>
      <c r="AT818" s="150"/>
      <c r="AU818" s="150"/>
      <c r="AV818" s="150"/>
      <c r="AW818" s="150"/>
      <c r="AX818" s="150"/>
      <c r="AY818" s="150"/>
      <c r="AZ818" s="150"/>
      <c r="BA818" s="150"/>
      <c r="BB818" s="150"/>
      <c r="BC818" s="150"/>
      <c r="BD818" s="150"/>
      <c r="BE818" s="150"/>
      <c r="BF818" s="150"/>
      <c r="BG818" s="150"/>
      <c r="BH818" s="150"/>
      <c r="BI818" s="150"/>
      <c r="BJ818" s="150"/>
      <c r="BK818" s="150"/>
      <c r="BL818" s="150"/>
      <c r="BM818" s="150"/>
      <c r="BN818" s="150"/>
      <c r="BO818" s="150"/>
      <c r="BP818" s="150"/>
      <c r="BQ818" s="150"/>
      <c r="BR818" s="150"/>
      <c r="BS818" s="150"/>
    </row>
    <row r="819" spans="1:71" s="55" customFormat="1" ht="26.45" customHeight="1">
      <c r="A819" s="455" t="s">
        <v>199</v>
      </c>
      <c r="B819" s="167" t="s">
        <v>89</v>
      </c>
      <c r="C819" s="167">
        <v>176</v>
      </c>
      <c r="D819" s="167" t="s">
        <v>15</v>
      </c>
      <c r="E819" s="167">
        <v>6100404</v>
      </c>
      <c r="F819" s="167">
        <v>244</v>
      </c>
      <c r="G819" s="74">
        <v>0</v>
      </c>
      <c r="H819" s="74">
        <v>0</v>
      </c>
      <c r="I819" s="74">
        <v>0</v>
      </c>
      <c r="J819" s="74">
        <f>G819</f>
        <v>0</v>
      </c>
      <c r="K819" s="74">
        <f>G819-H819-I819-J819</f>
        <v>0</v>
      </c>
      <c r="L819" s="132">
        <v>3.5449999999999999</v>
      </c>
      <c r="M819" s="132">
        <v>3.5</v>
      </c>
      <c r="N819" s="132"/>
      <c r="O819" s="132"/>
      <c r="P819" s="132"/>
      <c r="Q819" s="132">
        <f>T819</f>
        <v>1.3</v>
      </c>
      <c r="R819" s="132"/>
      <c r="S819" s="132"/>
      <c r="T819" s="132">
        <v>1.3</v>
      </c>
      <c r="U819" s="132"/>
      <c r="V819" s="132"/>
      <c r="W819" s="132"/>
      <c r="X819" s="167"/>
      <c r="Y819" s="453" t="s">
        <v>534</v>
      </c>
      <c r="AT819" s="150"/>
      <c r="AU819" s="150"/>
      <c r="AV819" s="150"/>
      <c r="AW819" s="150"/>
      <c r="AX819" s="150"/>
      <c r="AY819" s="150"/>
      <c r="AZ819" s="150"/>
      <c r="BA819" s="150"/>
      <c r="BB819" s="150"/>
      <c r="BC819" s="150"/>
      <c r="BD819" s="150"/>
      <c r="BE819" s="150"/>
      <c r="BF819" s="150"/>
      <c r="BG819" s="150"/>
      <c r="BH819" s="150"/>
      <c r="BI819" s="150"/>
      <c r="BJ819" s="150"/>
      <c r="BK819" s="150"/>
      <c r="BL819" s="150"/>
      <c r="BM819" s="150"/>
      <c r="BN819" s="150"/>
      <c r="BO819" s="150"/>
      <c r="BP819" s="150"/>
      <c r="BQ819" s="150"/>
      <c r="BR819" s="150"/>
      <c r="BS819" s="150"/>
    </row>
    <row r="820" spans="1:71" ht="24.6" customHeight="1">
      <c r="A820" s="455"/>
      <c r="B820" s="167" t="s">
        <v>284</v>
      </c>
      <c r="C820" s="167"/>
      <c r="D820" s="167"/>
      <c r="E820" s="167"/>
      <c r="F820" s="167"/>
      <c r="G820" s="74"/>
      <c r="H820" s="74"/>
      <c r="I820" s="74"/>
      <c r="J820" s="74"/>
      <c r="K820" s="74"/>
      <c r="L820" s="132">
        <v>41736.800000000003</v>
      </c>
      <c r="M820" s="132">
        <v>41736.800000000003</v>
      </c>
      <c r="N820" s="132"/>
      <c r="O820" s="132"/>
      <c r="P820" s="132"/>
      <c r="Q820" s="132">
        <f>T820</f>
        <v>19566.8</v>
      </c>
      <c r="R820" s="132"/>
      <c r="S820" s="132"/>
      <c r="T820" s="132">
        <f>20000-108.3-324.9</f>
        <v>19566.8</v>
      </c>
      <c r="U820" s="132"/>
      <c r="V820" s="132"/>
      <c r="W820" s="132"/>
      <c r="X820" s="167"/>
      <c r="Y820" s="453"/>
    </row>
    <row r="821" spans="1:71" ht="0.6" customHeight="1">
      <c r="A821" s="461" t="s">
        <v>129</v>
      </c>
      <c r="B821" s="82" t="s">
        <v>89</v>
      </c>
      <c r="C821" s="82"/>
      <c r="D821" s="82"/>
      <c r="E821" s="82"/>
      <c r="F821" s="82"/>
      <c r="G821" s="80">
        <f>G823</f>
        <v>1.6930000000000001</v>
      </c>
      <c r="H821" s="80">
        <f t="shared" ref="H821:W822" si="357">H823</f>
        <v>0</v>
      </c>
      <c r="I821" s="80">
        <f t="shared" si="357"/>
        <v>0</v>
      </c>
      <c r="J821" s="80">
        <f t="shared" si="357"/>
        <v>0</v>
      </c>
      <c r="K821" s="80">
        <f t="shared" si="357"/>
        <v>1.6930000000000001</v>
      </c>
      <c r="L821" s="131">
        <f t="shared" si="357"/>
        <v>0</v>
      </c>
      <c r="M821" s="131"/>
      <c r="N821" s="131"/>
      <c r="O821" s="131"/>
      <c r="P821" s="131"/>
      <c r="Q821" s="131">
        <f t="shared" si="357"/>
        <v>0</v>
      </c>
      <c r="R821" s="131"/>
      <c r="S821" s="131"/>
      <c r="T821" s="131"/>
      <c r="U821" s="131"/>
      <c r="V821" s="131">
        <f t="shared" si="357"/>
        <v>0</v>
      </c>
      <c r="W821" s="131">
        <f t="shared" si="357"/>
        <v>0</v>
      </c>
      <c r="X821" s="167"/>
      <c r="Y821" s="82"/>
    </row>
    <row r="822" spans="1:71" s="55" customFormat="1" ht="25.9" hidden="1" customHeight="1">
      <c r="A822" s="461"/>
      <c r="B822" s="82" t="s">
        <v>284</v>
      </c>
      <c r="C822" s="82"/>
      <c r="D822" s="82"/>
      <c r="E822" s="82"/>
      <c r="F822" s="82"/>
      <c r="G822" s="80">
        <f>G824</f>
        <v>20000</v>
      </c>
      <c r="H822" s="80">
        <f t="shared" si="357"/>
        <v>0</v>
      </c>
      <c r="I822" s="80">
        <f t="shared" si="357"/>
        <v>0</v>
      </c>
      <c r="J822" s="80">
        <f t="shared" si="357"/>
        <v>5000</v>
      </c>
      <c r="K822" s="80">
        <f t="shared" si="357"/>
        <v>15000</v>
      </c>
      <c r="L822" s="131">
        <f t="shared" si="357"/>
        <v>0</v>
      </c>
      <c r="M822" s="131"/>
      <c r="N822" s="131"/>
      <c r="O822" s="131"/>
      <c r="P822" s="131"/>
      <c r="Q822" s="131">
        <f t="shared" si="357"/>
        <v>0</v>
      </c>
      <c r="R822" s="131"/>
      <c r="S822" s="131"/>
      <c r="T822" s="131"/>
      <c r="U822" s="131"/>
      <c r="V822" s="131">
        <f t="shared" si="357"/>
        <v>0</v>
      </c>
      <c r="W822" s="131">
        <f t="shared" si="357"/>
        <v>0</v>
      </c>
      <c r="X822" s="167"/>
      <c r="Y822" s="82"/>
      <c r="AT822" s="150"/>
      <c r="AU822" s="150"/>
      <c r="AV822" s="150"/>
      <c r="AW822" s="150"/>
      <c r="AX822" s="150"/>
      <c r="AY822" s="150"/>
      <c r="AZ822" s="150"/>
      <c r="BA822" s="150"/>
      <c r="BB822" s="150"/>
      <c r="BC822" s="150"/>
      <c r="BD822" s="150"/>
      <c r="BE822" s="150"/>
      <c r="BF822" s="150"/>
      <c r="BG822" s="150"/>
      <c r="BH822" s="150"/>
      <c r="BI822" s="150"/>
      <c r="BJ822" s="150"/>
      <c r="BK822" s="150"/>
      <c r="BL822" s="150"/>
      <c r="BM822" s="150"/>
      <c r="BN822" s="150"/>
      <c r="BO822" s="150"/>
      <c r="BP822" s="150"/>
      <c r="BQ822" s="150"/>
      <c r="BR822" s="150"/>
      <c r="BS822" s="150"/>
    </row>
    <row r="823" spans="1:71" ht="21" hidden="1" customHeight="1">
      <c r="A823" s="455" t="s">
        <v>169</v>
      </c>
      <c r="B823" s="167" t="s">
        <v>89</v>
      </c>
      <c r="C823" s="167">
        <v>176</v>
      </c>
      <c r="D823" s="167" t="s">
        <v>15</v>
      </c>
      <c r="E823" s="167">
        <v>6100404</v>
      </c>
      <c r="F823" s="167">
        <v>244</v>
      </c>
      <c r="G823" s="74">
        <f>SUM(H823:K823)</f>
        <v>1.6930000000000001</v>
      </c>
      <c r="H823" s="74">
        <v>0</v>
      </c>
      <c r="I823" s="74"/>
      <c r="J823" s="74"/>
      <c r="K823" s="74">
        <v>1.6930000000000001</v>
      </c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67"/>
      <c r="Y823" s="453" t="s">
        <v>292</v>
      </c>
    </row>
    <row r="824" spans="1:71" s="55" customFormat="1" ht="24.6" hidden="1" customHeight="1">
      <c r="A824" s="455"/>
      <c r="B824" s="167" t="s">
        <v>284</v>
      </c>
      <c r="C824" s="167"/>
      <c r="D824" s="167"/>
      <c r="E824" s="167"/>
      <c r="F824" s="167"/>
      <c r="G824" s="74">
        <f>SUM(H824:K824)</f>
        <v>20000</v>
      </c>
      <c r="H824" s="74"/>
      <c r="I824" s="74"/>
      <c r="J824" s="74">
        <v>5000</v>
      </c>
      <c r="K824" s="74">
        <v>15000</v>
      </c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67"/>
      <c r="Y824" s="453"/>
      <c r="AT824" s="150"/>
      <c r="AU824" s="150"/>
      <c r="AV824" s="150"/>
      <c r="AW824" s="150"/>
      <c r="AX824" s="150"/>
      <c r="AY824" s="150"/>
      <c r="AZ824" s="150"/>
      <c r="BA824" s="150"/>
      <c r="BB824" s="150"/>
      <c r="BC824" s="150"/>
      <c r="BD824" s="150"/>
      <c r="BE824" s="150"/>
      <c r="BF824" s="150"/>
      <c r="BG824" s="150"/>
      <c r="BH824" s="150"/>
      <c r="BI824" s="150"/>
      <c r="BJ824" s="150"/>
      <c r="BK824" s="150"/>
      <c r="BL824" s="150"/>
      <c r="BM824" s="150"/>
      <c r="BN824" s="150"/>
      <c r="BO824" s="150"/>
      <c r="BP824" s="150"/>
      <c r="BQ824" s="150"/>
      <c r="BR824" s="150"/>
      <c r="BS824" s="150"/>
    </row>
    <row r="825" spans="1:71" s="55" customFormat="1" ht="24.6" customHeight="1">
      <c r="A825" s="410" t="s">
        <v>131</v>
      </c>
      <c r="B825" s="82" t="s">
        <v>89</v>
      </c>
      <c r="C825" s="312"/>
      <c r="D825" s="312"/>
      <c r="E825" s="312"/>
      <c r="F825" s="312"/>
      <c r="G825" s="74"/>
      <c r="H825" s="74"/>
      <c r="I825" s="74"/>
      <c r="J825" s="74"/>
      <c r="K825" s="74"/>
      <c r="L825" s="132"/>
      <c r="M825" s="132"/>
      <c r="N825" s="132"/>
      <c r="O825" s="132"/>
      <c r="P825" s="132"/>
      <c r="Q825" s="131">
        <f>Q827</f>
        <v>1.1000000000000001</v>
      </c>
      <c r="R825" s="131">
        <f t="shared" ref="R825:T825" si="358">R827</f>
        <v>0</v>
      </c>
      <c r="S825" s="131">
        <f t="shared" si="358"/>
        <v>0</v>
      </c>
      <c r="T825" s="131">
        <f t="shared" si="358"/>
        <v>1.1000000000000001</v>
      </c>
      <c r="U825" s="132"/>
      <c r="V825" s="132"/>
      <c r="W825" s="132"/>
      <c r="X825" s="312"/>
      <c r="Y825" s="338"/>
      <c r="AT825" s="150"/>
      <c r="AU825" s="150"/>
      <c r="AV825" s="150"/>
      <c r="AW825" s="150"/>
      <c r="AX825" s="150"/>
      <c r="AY825" s="150"/>
      <c r="AZ825" s="150"/>
      <c r="BA825" s="150"/>
      <c r="BB825" s="150"/>
      <c r="BC825" s="150"/>
      <c r="BD825" s="150"/>
      <c r="BE825" s="150"/>
      <c r="BF825" s="150"/>
      <c r="BG825" s="150"/>
      <c r="BH825" s="150"/>
      <c r="BI825" s="150"/>
      <c r="BJ825" s="150"/>
      <c r="BK825" s="150"/>
      <c r="BL825" s="150"/>
      <c r="BM825" s="150"/>
      <c r="BN825" s="150"/>
      <c r="BO825" s="150"/>
      <c r="BP825" s="150"/>
      <c r="BQ825" s="150"/>
      <c r="BR825" s="150"/>
      <c r="BS825" s="150"/>
    </row>
    <row r="826" spans="1:71" s="55" customFormat="1" ht="30" customHeight="1">
      <c r="A826" s="446"/>
      <c r="B826" s="82" t="s">
        <v>284</v>
      </c>
      <c r="C826" s="82"/>
      <c r="D826" s="82"/>
      <c r="E826" s="82"/>
      <c r="F826" s="82"/>
      <c r="G826" s="80">
        <f>G828</f>
        <v>0</v>
      </c>
      <c r="H826" s="80">
        <f t="shared" ref="H826:T826" si="359">H828</f>
        <v>0</v>
      </c>
      <c r="I826" s="80">
        <f t="shared" si="359"/>
        <v>0</v>
      </c>
      <c r="J826" s="80">
        <f t="shared" si="359"/>
        <v>0</v>
      </c>
      <c r="K826" s="80">
        <f t="shared" si="359"/>
        <v>0</v>
      </c>
      <c r="L826" s="131">
        <f t="shared" si="359"/>
        <v>0</v>
      </c>
      <c r="M826" s="131"/>
      <c r="N826" s="131"/>
      <c r="O826" s="131"/>
      <c r="P826" s="131"/>
      <c r="Q826" s="131">
        <f t="shared" si="359"/>
        <v>18983.8</v>
      </c>
      <c r="R826" s="131">
        <f t="shared" si="359"/>
        <v>0</v>
      </c>
      <c r="S826" s="131">
        <f t="shared" si="359"/>
        <v>0</v>
      </c>
      <c r="T826" s="131">
        <f t="shared" si="359"/>
        <v>18983.8</v>
      </c>
      <c r="U826" s="131"/>
      <c r="V826" s="131"/>
      <c r="W826" s="131"/>
      <c r="X826" s="167"/>
      <c r="Y826" s="82"/>
      <c r="AT826" s="150"/>
      <c r="AU826" s="150"/>
      <c r="AV826" s="150"/>
      <c r="AW826" s="150"/>
      <c r="AX826" s="150"/>
      <c r="AY826" s="150"/>
      <c r="AZ826" s="150"/>
      <c r="BA826" s="150"/>
      <c r="BB826" s="150"/>
      <c r="BC826" s="150"/>
      <c r="BD826" s="150"/>
      <c r="BE826" s="150"/>
      <c r="BF826" s="150"/>
      <c r="BG826" s="150"/>
      <c r="BH826" s="150"/>
      <c r="BI826" s="150"/>
      <c r="BJ826" s="150"/>
      <c r="BK826" s="150"/>
      <c r="BL826" s="150"/>
      <c r="BM826" s="150"/>
      <c r="BN826" s="150"/>
      <c r="BO826" s="150"/>
      <c r="BP826" s="150"/>
      <c r="BQ826" s="150"/>
      <c r="BR826" s="150"/>
      <c r="BS826" s="150"/>
    </row>
    <row r="827" spans="1:71" s="55" customFormat="1" ht="30" customHeight="1">
      <c r="A827" s="451" t="s">
        <v>170</v>
      </c>
      <c r="B827" s="312" t="s">
        <v>89</v>
      </c>
      <c r="C827" s="82"/>
      <c r="D827" s="82"/>
      <c r="E827" s="82"/>
      <c r="F827" s="82"/>
      <c r="G827" s="80"/>
      <c r="H827" s="80"/>
      <c r="I827" s="80"/>
      <c r="J827" s="80"/>
      <c r="K827" s="80"/>
      <c r="L827" s="131"/>
      <c r="M827" s="131"/>
      <c r="N827" s="131"/>
      <c r="O827" s="131"/>
      <c r="P827" s="131"/>
      <c r="Q827" s="132">
        <f>T827</f>
        <v>1.1000000000000001</v>
      </c>
      <c r="R827" s="132"/>
      <c r="S827" s="132"/>
      <c r="T827" s="132">
        <v>1.1000000000000001</v>
      </c>
      <c r="U827" s="131"/>
      <c r="V827" s="131"/>
      <c r="W827" s="131"/>
      <c r="X827" s="312"/>
      <c r="Y827" s="453" t="s">
        <v>585</v>
      </c>
      <c r="AT827" s="150"/>
      <c r="AU827" s="150"/>
      <c r="AV827" s="150"/>
      <c r="AW827" s="150"/>
      <c r="AX827" s="150"/>
      <c r="AY827" s="150"/>
      <c r="AZ827" s="150"/>
      <c r="BA827" s="150"/>
      <c r="BB827" s="150"/>
      <c r="BC827" s="150"/>
      <c r="BD827" s="150"/>
      <c r="BE827" s="150"/>
      <c r="BF827" s="150"/>
      <c r="BG827" s="150"/>
      <c r="BH827" s="150"/>
      <c r="BI827" s="150"/>
      <c r="BJ827" s="150"/>
      <c r="BK827" s="150"/>
      <c r="BL827" s="150"/>
      <c r="BM827" s="150"/>
      <c r="BN827" s="150"/>
      <c r="BO827" s="150"/>
      <c r="BP827" s="150"/>
      <c r="BQ827" s="150"/>
      <c r="BR827" s="150"/>
      <c r="BS827" s="150"/>
    </row>
    <row r="828" spans="1:71" ht="27" customHeight="1">
      <c r="A828" s="452"/>
      <c r="B828" s="167" t="s">
        <v>284</v>
      </c>
      <c r="C828" s="167">
        <v>176</v>
      </c>
      <c r="D828" s="167" t="s">
        <v>15</v>
      </c>
      <c r="E828" s="167">
        <v>6100404</v>
      </c>
      <c r="F828" s="167">
        <v>244</v>
      </c>
      <c r="G828" s="74">
        <v>0</v>
      </c>
      <c r="H828" s="74">
        <v>0</v>
      </c>
      <c r="I828" s="74">
        <v>0</v>
      </c>
      <c r="J828" s="74">
        <v>0</v>
      </c>
      <c r="K828" s="74">
        <v>0</v>
      </c>
      <c r="L828" s="132"/>
      <c r="M828" s="132"/>
      <c r="N828" s="132"/>
      <c r="O828" s="132"/>
      <c r="P828" s="132"/>
      <c r="Q828" s="132">
        <f>T828</f>
        <v>18983.8</v>
      </c>
      <c r="R828" s="132"/>
      <c r="S828" s="132"/>
      <c r="T828" s="132">
        <f>20000-101-915.2</f>
        <v>18983.8</v>
      </c>
      <c r="U828" s="132"/>
      <c r="V828" s="132"/>
      <c r="W828" s="132"/>
      <c r="X828" s="167"/>
      <c r="Y828" s="453"/>
    </row>
    <row r="829" spans="1:71" ht="24.75" hidden="1" customHeight="1">
      <c r="A829" s="461" t="s">
        <v>102</v>
      </c>
      <c r="B829" s="82" t="s">
        <v>89</v>
      </c>
      <c r="C829" s="82"/>
      <c r="D829" s="82"/>
      <c r="E829" s="82"/>
      <c r="F829" s="82"/>
      <c r="G829" s="80">
        <f>G831+G833</f>
        <v>0</v>
      </c>
      <c r="H829" s="80">
        <f t="shared" ref="H829:W830" si="360">H831+H833</f>
        <v>0</v>
      </c>
      <c r="I829" s="80">
        <f t="shared" si="360"/>
        <v>0</v>
      </c>
      <c r="J829" s="80">
        <f t="shared" si="360"/>
        <v>0</v>
      </c>
      <c r="K829" s="80">
        <f t="shared" si="360"/>
        <v>0.86</v>
      </c>
      <c r="L829" s="131">
        <f t="shared" si="360"/>
        <v>0</v>
      </c>
      <c r="M829" s="131"/>
      <c r="N829" s="131"/>
      <c r="O829" s="131"/>
      <c r="P829" s="131"/>
      <c r="Q829" s="131">
        <f t="shared" si="360"/>
        <v>0</v>
      </c>
      <c r="R829" s="131">
        <f t="shared" si="360"/>
        <v>0</v>
      </c>
      <c r="S829" s="131">
        <f t="shared" si="360"/>
        <v>0</v>
      </c>
      <c r="T829" s="131">
        <f t="shared" si="360"/>
        <v>0</v>
      </c>
      <c r="U829" s="131">
        <f t="shared" si="360"/>
        <v>0</v>
      </c>
      <c r="V829" s="131">
        <f t="shared" si="360"/>
        <v>0</v>
      </c>
      <c r="W829" s="131">
        <f t="shared" si="360"/>
        <v>0</v>
      </c>
      <c r="X829" s="167"/>
      <c r="Y829" s="82"/>
    </row>
    <row r="830" spans="1:71" ht="24.95" hidden="1" customHeight="1">
      <c r="A830" s="461"/>
      <c r="B830" s="82" t="s">
        <v>284</v>
      </c>
      <c r="C830" s="82"/>
      <c r="D830" s="82"/>
      <c r="E830" s="82"/>
      <c r="F830" s="82"/>
      <c r="G830" s="80">
        <f>G832+G834</f>
        <v>25847.599999999999</v>
      </c>
      <c r="H830" s="80">
        <f t="shared" si="360"/>
        <v>10533.3</v>
      </c>
      <c r="I830" s="80">
        <f t="shared" si="360"/>
        <v>2985</v>
      </c>
      <c r="J830" s="80">
        <f t="shared" si="360"/>
        <v>5000</v>
      </c>
      <c r="K830" s="80">
        <f t="shared" si="360"/>
        <v>7329.2999999999993</v>
      </c>
      <c r="L830" s="131">
        <f t="shared" si="360"/>
        <v>0</v>
      </c>
      <c r="M830" s="131"/>
      <c r="N830" s="131"/>
      <c r="O830" s="131"/>
      <c r="P830" s="131"/>
      <c r="Q830" s="131">
        <f t="shared" si="360"/>
        <v>0</v>
      </c>
      <c r="R830" s="131">
        <f t="shared" si="360"/>
        <v>0</v>
      </c>
      <c r="S830" s="131">
        <f t="shared" si="360"/>
        <v>0</v>
      </c>
      <c r="T830" s="131">
        <f t="shared" si="360"/>
        <v>0</v>
      </c>
      <c r="U830" s="131">
        <f t="shared" si="360"/>
        <v>0</v>
      </c>
      <c r="V830" s="131">
        <f t="shared" si="360"/>
        <v>0</v>
      </c>
      <c r="W830" s="131">
        <f t="shared" si="360"/>
        <v>0</v>
      </c>
      <c r="X830" s="167"/>
      <c r="Y830" s="82"/>
    </row>
    <row r="831" spans="1:71" ht="24" hidden="1" customHeight="1">
      <c r="A831" s="455" t="s">
        <v>171</v>
      </c>
      <c r="B831" s="167" t="s">
        <v>89</v>
      </c>
      <c r="C831" s="167">
        <v>176</v>
      </c>
      <c r="D831" s="167" t="s">
        <v>15</v>
      </c>
      <c r="E831" s="167">
        <v>6100404</v>
      </c>
      <c r="F831" s="167">
        <v>244</v>
      </c>
      <c r="G831" s="74"/>
      <c r="H831" s="74"/>
      <c r="I831" s="74"/>
      <c r="J831" s="74"/>
      <c r="K831" s="74">
        <v>0.86</v>
      </c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67"/>
      <c r="Y831" s="453" t="s">
        <v>407</v>
      </c>
    </row>
    <row r="832" spans="1:71" s="55" customFormat="1" ht="24" hidden="1" customHeight="1">
      <c r="A832" s="455"/>
      <c r="B832" s="167" t="s">
        <v>284</v>
      </c>
      <c r="C832" s="167"/>
      <c r="D832" s="167"/>
      <c r="E832" s="167"/>
      <c r="F832" s="167"/>
      <c r="G832" s="74">
        <f>SUM(H832:K832)</f>
        <v>25847.599999999999</v>
      </c>
      <c r="H832" s="74">
        <v>10533.3</v>
      </c>
      <c r="I832" s="74">
        <v>2985</v>
      </c>
      <c r="J832" s="74">
        <v>5000</v>
      </c>
      <c r="K832" s="74">
        <f>8433.3-1104</f>
        <v>7329.2999999999993</v>
      </c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67"/>
      <c r="Y832" s="453"/>
      <c r="AT832" s="150"/>
      <c r="AU832" s="150"/>
      <c r="AV832" s="150"/>
      <c r="AW832" s="150"/>
      <c r="AX832" s="150"/>
      <c r="AY832" s="150"/>
      <c r="AZ832" s="150"/>
      <c r="BA832" s="150"/>
      <c r="BB832" s="150"/>
      <c r="BC832" s="150"/>
      <c r="BD832" s="150"/>
      <c r="BE832" s="150"/>
      <c r="BF832" s="150"/>
      <c r="BG832" s="150"/>
      <c r="BH832" s="150"/>
      <c r="BI832" s="150"/>
      <c r="BJ832" s="150"/>
      <c r="BK832" s="150"/>
      <c r="BL832" s="150"/>
      <c r="BM832" s="150"/>
      <c r="BN832" s="150"/>
      <c r="BO832" s="150"/>
      <c r="BP832" s="150"/>
      <c r="BQ832" s="150"/>
      <c r="BR832" s="150"/>
      <c r="BS832" s="150"/>
    </row>
    <row r="833" spans="1:71" s="55" customFormat="1" ht="24.6" hidden="1" customHeight="1">
      <c r="A833" s="451" t="s">
        <v>298</v>
      </c>
      <c r="B833" s="167" t="s">
        <v>89</v>
      </c>
      <c r="C833" s="167"/>
      <c r="D833" s="167"/>
      <c r="E833" s="167"/>
      <c r="F833" s="167"/>
      <c r="G833" s="74"/>
      <c r="H833" s="74"/>
      <c r="I833" s="74"/>
      <c r="J833" s="74"/>
      <c r="K833" s="74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67"/>
      <c r="Y833" s="453" t="s">
        <v>292</v>
      </c>
      <c r="AT833" s="150"/>
      <c r="AU833" s="150"/>
      <c r="AV833" s="150"/>
      <c r="AW833" s="150"/>
      <c r="AX833" s="150"/>
      <c r="AY833" s="150"/>
      <c r="AZ833" s="150"/>
      <c r="BA833" s="150"/>
      <c r="BB833" s="150"/>
      <c r="BC833" s="150"/>
      <c r="BD833" s="150"/>
      <c r="BE833" s="150"/>
      <c r="BF833" s="150"/>
      <c r="BG833" s="150"/>
      <c r="BH833" s="150"/>
      <c r="BI833" s="150"/>
      <c r="BJ833" s="150"/>
      <c r="BK833" s="150"/>
      <c r="BL833" s="150"/>
      <c r="BM833" s="150"/>
      <c r="BN833" s="150"/>
      <c r="BO833" s="150"/>
      <c r="BP833" s="150"/>
      <c r="BQ833" s="150"/>
      <c r="BR833" s="150"/>
      <c r="BS833" s="150"/>
    </row>
    <row r="834" spans="1:71" ht="24.6" hidden="1" customHeight="1">
      <c r="A834" s="452"/>
      <c r="B834" s="167" t="s">
        <v>284</v>
      </c>
      <c r="C834" s="167"/>
      <c r="D834" s="167"/>
      <c r="E834" s="167"/>
      <c r="F834" s="167"/>
      <c r="G834" s="74"/>
      <c r="H834" s="74"/>
      <c r="I834" s="74"/>
      <c r="J834" s="74"/>
      <c r="K834" s="74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67"/>
      <c r="Y834" s="453"/>
    </row>
    <row r="835" spans="1:71" ht="24.6" hidden="1" customHeight="1">
      <c r="A835" s="461" t="s">
        <v>134</v>
      </c>
      <c r="B835" s="82" t="s">
        <v>89</v>
      </c>
      <c r="C835" s="82"/>
      <c r="D835" s="82"/>
      <c r="E835" s="82"/>
      <c r="F835" s="82"/>
      <c r="G835" s="80">
        <f>G837</f>
        <v>0</v>
      </c>
      <c r="H835" s="80">
        <f t="shared" ref="H835:L835" si="361">H837</f>
        <v>0</v>
      </c>
      <c r="I835" s="80">
        <f t="shared" si="361"/>
        <v>0</v>
      </c>
      <c r="J835" s="80">
        <f t="shared" si="361"/>
        <v>0</v>
      </c>
      <c r="K835" s="80">
        <f t="shared" si="361"/>
        <v>0</v>
      </c>
      <c r="L835" s="131">
        <f t="shared" si="361"/>
        <v>0</v>
      </c>
      <c r="M835" s="131"/>
      <c r="N835" s="131"/>
      <c r="O835" s="131"/>
      <c r="P835" s="131"/>
      <c r="Q835" s="131">
        <f>Q837</f>
        <v>0</v>
      </c>
      <c r="R835" s="131"/>
      <c r="S835" s="131"/>
      <c r="T835" s="131"/>
      <c r="U835" s="131"/>
      <c r="V835" s="131">
        <f t="shared" ref="V835:W835" si="362">V837</f>
        <v>0</v>
      </c>
      <c r="W835" s="131">
        <f t="shared" si="362"/>
        <v>0</v>
      </c>
      <c r="X835" s="167"/>
      <c r="Y835" s="82"/>
    </row>
    <row r="836" spans="1:71" s="55" customFormat="1" ht="24.6" hidden="1" customHeight="1">
      <c r="A836" s="461"/>
      <c r="B836" s="82" t="s">
        <v>284</v>
      </c>
      <c r="C836" s="82"/>
      <c r="D836" s="82"/>
      <c r="E836" s="82"/>
      <c r="F836" s="82"/>
      <c r="G836" s="80"/>
      <c r="H836" s="80"/>
      <c r="I836" s="80"/>
      <c r="J836" s="80"/>
      <c r="K836" s="80"/>
      <c r="L836" s="131"/>
      <c r="M836" s="131"/>
      <c r="N836" s="131"/>
      <c r="O836" s="131"/>
      <c r="P836" s="131"/>
      <c r="Q836" s="131">
        <f>Q838</f>
        <v>0</v>
      </c>
      <c r="R836" s="131">
        <f t="shared" ref="R836:U836" si="363">R838</f>
        <v>0</v>
      </c>
      <c r="S836" s="131">
        <f t="shared" si="363"/>
        <v>0</v>
      </c>
      <c r="T836" s="131">
        <f t="shared" si="363"/>
        <v>0</v>
      </c>
      <c r="U836" s="131">
        <f t="shared" si="363"/>
        <v>0</v>
      </c>
      <c r="V836" s="131">
        <f t="shared" ref="V836:W836" si="364">V838</f>
        <v>0</v>
      </c>
      <c r="W836" s="131">
        <f t="shared" si="364"/>
        <v>0</v>
      </c>
      <c r="X836" s="167"/>
      <c r="Y836" s="82"/>
      <c r="AT836" s="150"/>
      <c r="AU836" s="150"/>
      <c r="AV836" s="150"/>
      <c r="AW836" s="150"/>
      <c r="AX836" s="150"/>
      <c r="AY836" s="150"/>
      <c r="AZ836" s="150"/>
      <c r="BA836" s="150"/>
      <c r="BB836" s="150"/>
      <c r="BC836" s="150"/>
      <c r="BD836" s="150"/>
      <c r="BE836" s="150"/>
      <c r="BF836" s="150"/>
      <c r="BG836" s="150"/>
      <c r="BH836" s="150"/>
      <c r="BI836" s="150"/>
      <c r="BJ836" s="150"/>
      <c r="BK836" s="150"/>
      <c r="BL836" s="150"/>
      <c r="BM836" s="150"/>
      <c r="BN836" s="150"/>
      <c r="BO836" s="150"/>
      <c r="BP836" s="150"/>
      <c r="BQ836" s="150"/>
      <c r="BR836" s="150"/>
      <c r="BS836" s="150"/>
    </row>
    <row r="837" spans="1:71" s="55" customFormat="1" ht="24.6" hidden="1" customHeight="1">
      <c r="A837" s="455" t="s">
        <v>172</v>
      </c>
      <c r="B837" s="167" t="s">
        <v>89</v>
      </c>
      <c r="C837" s="167">
        <v>176</v>
      </c>
      <c r="D837" s="167" t="s">
        <v>15</v>
      </c>
      <c r="E837" s="167">
        <v>6100404</v>
      </c>
      <c r="F837" s="167">
        <v>244</v>
      </c>
      <c r="G837" s="74"/>
      <c r="H837" s="74"/>
      <c r="I837" s="74"/>
      <c r="J837" s="74">
        <v>0</v>
      </c>
      <c r="K837" s="74">
        <v>0</v>
      </c>
      <c r="L837" s="132">
        <v>0</v>
      </c>
      <c r="M837" s="132"/>
      <c r="N837" s="132"/>
      <c r="O837" s="132"/>
      <c r="P837" s="132"/>
      <c r="Q837" s="132">
        <v>0</v>
      </c>
      <c r="R837" s="132"/>
      <c r="S837" s="132"/>
      <c r="T837" s="132"/>
      <c r="U837" s="132"/>
      <c r="V837" s="132"/>
      <c r="W837" s="132"/>
      <c r="X837" s="167"/>
      <c r="Y837" s="453" t="s">
        <v>344</v>
      </c>
      <c r="AT837" s="150"/>
      <c r="AU837" s="150"/>
      <c r="AV837" s="150"/>
      <c r="AW837" s="150"/>
      <c r="AX837" s="150"/>
      <c r="AY837" s="150"/>
      <c r="AZ837" s="150"/>
      <c r="BA837" s="150"/>
      <c r="BB837" s="150"/>
      <c r="BC837" s="150"/>
      <c r="BD837" s="150"/>
      <c r="BE837" s="150"/>
      <c r="BF837" s="150"/>
      <c r="BG837" s="150"/>
      <c r="BH837" s="150"/>
      <c r="BI837" s="150"/>
      <c r="BJ837" s="150"/>
      <c r="BK837" s="150"/>
      <c r="BL837" s="150"/>
      <c r="BM837" s="150"/>
      <c r="BN837" s="150"/>
      <c r="BO837" s="150"/>
      <c r="BP837" s="150"/>
      <c r="BQ837" s="150"/>
      <c r="BR837" s="150"/>
      <c r="BS837" s="150"/>
    </row>
    <row r="838" spans="1:71" ht="24.6" hidden="1" customHeight="1">
      <c r="A838" s="455"/>
      <c r="B838" s="167" t="s">
        <v>284</v>
      </c>
      <c r="C838" s="167"/>
      <c r="D838" s="167"/>
      <c r="E838" s="167"/>
      <c r="F838" s="167"/>
      <c r="G838" s="74"/>
      <c r="H838" s="74"/>
      <c r="I838" s="74"/>
      <c r="J838" s="74"/>
      <c r="K838" s="74"/>
      <c r="L838" s="132"/>
      <c r="M838" s="132"/>
      <c r="N838" s="132"/>
      <c r="O838" s="132"/>
      <c r="P838" s="132"/>
      <c r="Q838" s="132">
        <f>T838</f>
        <v>0</v>
      </c>
      <c r="R838" s="132"/>
      <c r="S838" s="132"/>
      <c r="T838" s="132"/>
      <c r="U838" s="132"/>
      <c r="V838" s="132"/>
      <c r="W838" s="132"/>
      <c r="X838" s="167"/>
      <c r="Y838" s="453"/>
    </row>
    <row r="839" spans="1:71" ht="24.6" hidden="1" customHeight="1">
      <c r="A839" s="461" t="s">
        <v>174</v>
      </c>
      <c r="B839" s="82" t="s">
        <v>89</v>
      </c>
      <c r="C839" s="82"/>
      <c r="D839" s="82"/>
      <c r="E839" s="82"/>
      <c r="F839" s="82"/>
      <c r="G839" s="80">
        <f>G841</f>
        <v>0</v>
      </c>
      <c r="H839" s="80">
        <f t="shared" ref="H839:W839" si="365">H841</f>
        <v>0</v>
      </c>
      <c r="I839" s="80">
        <f t="shared" si="365"/>
        <v>0</v>
      </c>
      <c r="J839" s="80">
        <f t="shared" si="365"/>
        <v>0</v>
      </c>
      <c r="K839" s="80">
        <f t="shared" si="365"/>
        <v>0</v>
      </c>
      <c r="L839" s="131">
        <f t="shared" si="365"/>
        <v>0</v>
      </c>
      <c r="M839" s="131"/>
      <c r="N839" s="131"/>
      <c r="O839" s="131"/>
      <c r="P839" s="131"/>
      <c r="Q839" s="131">
        <f>Q843</f>
        <v>0</v>
      </c>
      <c r="R839" s="131">
        <f t="shared" ref="R839:U839" si="366">R843</f>
        <v>0</v>
      </c>
      <c r="S839" s="131">
        <f t="shared" si="366"/>
        <v>0</v>
      </c>
      <c r="T839" s="131">
        <f t="shared" si="366"/>
        <v>0</v>
      </c>
      <c r="U839" s="131">
        <f t="shared" si="366"/>
        <v>0</v>
      </c>
      <c r="V839" s="131">
        <f t="shared" si="365"/>
        <v>0</v>
      </c>
      <c r="W839" s="131">
        <f t="shared" si="365"/>
        <v>0</v>
      </c>
      <c r="X839" s="167"/>
      <c r="Y839" s="82"/>
    </row>
    <row r="840" spans="1:71" s="55" customFormat="1" ht="24.95" hidden="1" customHeight="1">
      <c r="A840" s="461"/>
      <c r="B840" s="82" t="s">
        <v>284</v>
      </c>
      <c r="C840" s="82"/>
      <c r="D840" s="82"/>
      <c r="E840" s="82"/>
      <c r="F840" s="82"/>
      <c r="G840" s="80"/>
      <c r="H840" s="80"/>
      <c r="I840" s="80"/>
      <c r="J840" s="80"/>
      <c r="K840" s="80"/>
      <c r="L840" s="131"/>
      <c r="M840" s="131"/>
      <c r="N840" s="131"/>
      <c r="O840" s="131"/>
      <c r="P840" s="131"/>
      <c r="Q840" s="131">
        <f>Q842+Q844</f>
        <v>0</v>
      </c>
      <c r="R840" s="131">
        <f t="shared" ref="R840:U840" si="367">R842+R844</f>
        <v>0</v>
      </c>
      <c r="S840" s="131">
        <f t="shared" si="367"/>
        <v>0</v>
      </c>
      <c r="T840" s="131">
        <f t="shared" si="367"/>
        <v>0</v>
      </c>
      <c r="U840" s="131">
        <f t="shared" si="367"/>
        <v>0</v>
      </c>
      <c r="V840" s="131">
        <f t="shared" ref="V840:W840" si="368">V842</f>
        <v>0</v>
      </c>
      <c r="W840" s="131">
        <f t="shared" si="368"/>
        <v>0</v>
      </c>
      <c r="X840" s="167"/>
      <c r="Y840" s="82"/>
      <c r="AT840" s="150"/>
      <c r="AU840" s="150"/>
      <c r="AV840" s="150"/>
      <c r="AW840" s="150"/>
      <c r="AX840" s="150"/>
      <c r="AY840" s="150"/>
      <c r="AZ840" s="150"/>
      <c r="BA840" s="150"/>
      <c r="BB840" s="150"/>
      <c r="BC840" s="150"/>
      <c r="BD840" s="150"/>
      <c r="BE840" s="150"/>
      <c r="BF840" s="150"/>
      <c r="BG840" s="150"/>
      <c r="BH840" s="150"/>
      <c r="BI840" s="150"/>
      <c r="BJ840" s="150"/>
      <c r="BK840" s="150"/>
      <c r="BL840" s="150"/>
      <c r="BM840" s="150"/>
      <c r="BN840" s="150"/>
      <c r="BO840" s="150"/>
      <c r="BP840" s="150"/>
      <c r="BQ840" s="150"/>
      <c r="BR840" s="150"/>
      <c r="BS840" s="150"/>
    </row>
    <row r="841" spans="1:71" s="55" customFormat="1" ht="24.95" hidden="1" customHeight="1">
      <c r="A841" s="455" t="s">
        <v>173</v>
      </c>
      <c r="B841" s="167" t="s">
        <v>89</v>
      </c>
      <c r="C841" s="167">
        <v>176</v>
      </c>
      <c r="D841" s="167" t="s">
        <v>15</v>
      </c>
      <c r="E841" s="167">
        <v>6100404</v>
      </c>
      <c r="F841" s="167">
        <v>244</v>
      </c>
      <c r="G841" s="74">
        <v>0</v>
      </c>
      <c r="H841" s="74">
        <v>0</v>
      </c>
      <c r="I841" s="74">
        <v>0</v>
      </c>
      <c r="J841" s="74">
        <v>0</v>
      </c>
      <c r="K841" s="74">
        <v>0</v>
      </c>
      <c r="L841" s="132">
        <v>0</v>
      </c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67"/>
      <c r="Y841" s="453" t="s">
        <v>40</v>
      </c>
      <c r="AT841" s="150"/>
      <c r="AU841" s="150"/>
      <c r="AV841" s="150"/>
      <c r="AW841" s="150"/>
      <c r="AX841" s="150"/>
      <c r="AY841" s="150"/>
      <c r="AZ841" s="150"/>
      <c r="BA841" s="150"/>
      <c r="BB841" s="150"/>
      <c r="BC841" s="150"/>
      <c r="BD841" s="150"/>
      <c r="BE841" s="150"/>
      <c r="BF841" s="150"/>
      <c r="BG841" s="150"/>
      <c r="BH841" s="150"/>
      <c r="BI841" s="150"/>
      <c r="BJ841" s="150"/>
      <c r="BK841" s="150"/>
      <c r="BL841" s="150"/>
      <c r="BM841" s="150"/>
      <c r="BN841" s="150"/>
      <c r="BO841" s="150"/>
      <c r="BP841" s="150"/>
      <c r="BQ841" s="150"/>
      <c r="BR841" s="150"/>
      <c r="BS841" s="150"/>
    </row>
    <row r="842" spans="1:71" ht="24.95" hidden="1" customHeight="1">
      <c r="A842" s="455"/>
      <c r="B842" s="167" t="s">
        <v>284</v>
      </c>
      <c r="C842" s="167"/>
      <c r="D842" s="167"/>
      <c r="E842" s="167"/>
      <c r="F842" s="167"/>
      <c r="G842" s="74"/>
      <c r="H842" s="74"/>
      <c r="I842" s="74"/>
      <c r="J842" s="74"/>
      <c r="K842" s="74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67"/>
      <c r="Y842" s="453"/>
    </row>
    <row r="843" spans="1:71" ht="24.95" hidden="1" customHeight="1">
      <c r="A843" s="451" t="s">
        <v>432</v>
      </c>
      <c r="B843" s="194" t="s">
        <v>89</v>
      </c>
      <c r="C843" s="194"/>
      <c r="D843" s="194"/>
      <c r="E843" s="194"/>
      <c r="F843" s="194"/>
      <c r="G843" s="74"/>
      <c r="H843" s="74"/>
      <c r="I843" s="74"/>
      <c r="J843" s="74"/>
      <c r="K843" s="74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94"/>
      <c r="Y843" s="453" t="s">
        <v>433</v>
      </c>
    </row>
    <row r="844" spans="1:71" ht="24.95" hidden="1" customHeight="1">
      <c r="A844" s="452"/>
      <c r="B844" s="194" t="s">
        <v>284</v>
      </c>
      <c r="C844" s="194"/>
      <c r="D844" s="194"/>
      <c r="E844" s="194"/>
      <c r="F844" s="194"/>
      <c r="G844" s="74"/>
      <c r="H844" s="74"/>
      <c r="I844" s="74"/>
      <c r="J844" s="74"/>
      <c r="K844" s="74"/>
      <c r="L844" s="132"/>
      <c r="M844" s="132"/>
      <c r="N844" s="132"/>
      <c r="O844" s="132"/>
      <c r="P844" s="132"/>
      <c r="Q844" s="132">
        <f>T844</f>
        <v>0</v>
      </c>
      <c r="R844" s="132"/>
      <c r="S844" s="132"/>
      <c r="T844" s="132"/>
      <c r="U844" s="132"/>
      <c r="V844" s="132"/>
      <c r="W844" s="132"/>
      <c r="X844" s="194"/>
      <c r="Y844" s="453"/>
    </row>
    <row r="845" spans="1:71" ht="24.95" customHeight="1">
      <c r="A845" s="461" t="s">
        <v>103</v>
      </c>
      <c r="B845" s="82" t="s">
        <v>89</v>
      </c>
      <c r="C845" s="82"/>
      <c r="D845" s="82"/>
      <c r="E845" s="82"/>
      <c r="F845" s="82"/>
      <c r="G845" s="80">
        <f t="shared" ref="G845:P845" si="369">G849+G853+G861+G865+G869+G881</f>
        <v>0</v>
      </c>
      <c r="H845" s="80">
        <f t="shared" si="369"/>
        <v>0</v>
      </c>
      <c r="I845" s="80">
        <f t="shared" si="369"/>
        <v>0</v>
      </c>
      <c r="J845" s="80">
        <f t="shared" si="369"/>
        <v>0</v>
      </c>
      <c r="K845" s="80">
        <f t="shared" si="369"/>
        <v>0</v>
      </c>
      <c r="L845" s="131">
        <f t="shared" si="369"/>
        <v>39.095999999999997</v>
      </c>
      <c r="M845" s="131">
        <f t="shared" si="369"/>
        <v>0</v>
      </c>
      <c r="N845" s="131">
        <f t="shared" si="369"/>
        <v>33.536000000000001</v>
      </c>
      <c r="O845" s="131">
        <f t="shared" si="369"/>
        <v>1</v>
      </c>
      <c r="P845" s="131">
        <f t="shared" si="369"/>
        <v>4.5599999999999996</v>
      </c>
      <c r="Q845" s="131">
        <f>Q853+Q857+Q873+Q877+Q881</f>
        <v>19.14</v>
      </c>
      <c r="R845" s="131">
        <f t="shared" ref="R845:T845" si="370">R853+R857+R873+R877+R881</f>
        <v>0</v>
      </c>
      <c r="S845" s="131">
        <f t="shared" si="370"/>
        <v>0</v>
      </c>
      <c r="T845" s="131">
        <f t="shared" si="370"/>
        <v>19.14</v>
      </c>
      <c r="U845" s="131">
        <f t="shared" ref="U845" si="371">U853+U857+U873+U877+U881</f>
        <v>0</v>
      </c>
      <c r="V845" s="131">
        <f>V853+V857+V869+V877+V881</f>
        <v>17.8</v>
      </c>
      <c r="W845" s="131">
        <f>W853+W869</f>
        <v>12.1</v>
      </c>
      <c r="X845" s="167"/>
      <c r="Y845" s="82"/>
    </row>
    <row r="846" spans="1:71" ht="24.95" customHeight="1">
      <c r="A846" s="461"/>
      <c r="B846" s="82" t="s">
        <v>413</v>
      </c>
      <c r="C846" s="82"/>
      <c r="D846" s="82"/>
      <c r="E846" s="82"/>
      <c r="F846" s="82"/>
      <c r="G846" s="80"/>
      <c r="H846" s="80"/>
      <c r="I846" s="80"/>
      <c r="J846" s="80"/>
      <c r="K846" s="80"/>
      <c r="L846" s="131"/>
      <c r="M846" s="131"/>
      <c r="N846" s="131"/>
      <c r="O846" s="131"/>
      <c r="P846" s="131"/>
      <c r="Q846" s="131">
        <f>Q847+Q848</f>
        <v>140833</v>
      </c>
      <c r="R846" s="131">
        <f t="shared" ref="R846:U846" si="372">R847+R848</f>
        <v>0</v>
      </c>
      <c r="S846" s="131">
        <f t="shared" si="372"/>
        <v>15936.9</v>
      </c>
      <c r="T846" s="131">
        <f t="shared" si="372"/>
        <v>90120.9</v>
      </c>
      <c r="U846" s="131">
        <f t="shared" si="372"/>
        <v>34775.199999999997</v>
      </c>
      <c r="V846" s="131">
        <f t="shared" ref="V846:W846" si="373">V847+V848</f>
        <v>188968</v>
      </c>
      <c r="W846" s="131">
        <f t="shared" si="373"/>
        <v>123000</v>
      </c>
      <c r="X846" s="167"/>
      <c r="Y846" s="82"/>
    </row>
    <row r="847" spans="1:71" ht="24.95" customHeight="1">
      <c r="A847" s="461"/>
      <c r="B847" s="82" t="s">
        <v>410</v>
      </c>
      <c r="C847" s="82"/>
      <c r="D847" s="82"/>
      <c r="E847" s="82"/>
      <c r="F847" s="82"/>
      <c r="G847" s="80"/>
      <c r="H847" s="80"/>
      <c r="I847" s="80"/>
      <c r="J847" s="80"/>
      <c r="K847" s="80"/>
      <c r="L847" s="131"/>
      <c r="M847" s="131"/>
      <c r="N847" s="131"/>
      <c r="O847" s="131"/>
      <c r="P847" s="131"/>
      <c r="Q847" s="131">
        <f>Q855+Q859+Q871+Q875+Q879+Q883+Q866</f>
        <v>95525</v>
      </c>
      <c r="R847" s="131">
        <f t="shared" ref="R847:U847" si="374">R855+R859+R871+R875+R879+R883+R866</f>
        <v>0</v>
      </c>
      <c r="S847" s="131">
        <f t="shared" si="374"/>
        <v>1620</v>
      </c>
      <c r="T847" s="131">
        <f t="shared" si="374"/>
        <v>59129.8</v>
      </c>
      <c r="U847" s="131">
        <f t="shared" si="374"/>
        <v>34775.199999999997</v>
      </c>
      <c r="V847" s="131">
        <f t="shared" ref="V847:W847" si="375">V855+V859+V871+V875+V879+V883</f>
        <v>132918</v>
      </c>
      <c r="W847" s="131">
        <f t="shared" si="375"/>
        <v>123000</v>
      </c>
      <c r="X847" s="167"/>
      <c r="Y847" s="82"/>
    </row>
    <row r="848" spans="1:71" ht="24.95" customHeight="1">
      <c r="A848" s="461"/>
      <c r="B848" s="82" t="s">
        <v>429</v>
      </c>
      <c r="C848" s="82"/>
      <c r="D848" s="82"/>
      <c r="E848" s="82"/>
      <c r="F848" s="82"/>
      <c r="G848" s="80">
        <f t="shared" ref="G848:P848" si="376">G852+G856+G864+G868+G872+G884</f>
        <v>0</v>
      </c>
      <c r="H848" s="80">
        <f t="shared" si="376"/>
        <v>0</v>
      </c>
      <c r="I848" s="80">
        <f t="shared" si="376"/>
        <v>0</v>
      </c>
      <c r="J848" s="80">
        <f t="shared" si="376"/>
        <v>0</v>
      </c>
      <c r="K848" s="80">
        <f t="shared" si="376"/>
        <v>0</v>
      </c>
      <c r="L848" s="131">
        <f t="shared" si="376"/>
        <v>131011.4</v>
      </c>
      <c r="M848" s="131">
        <f t="shared" si="376"/>
        <v>25576.199999999997</v>
      </c>
      <c r="N848" s="131">
        <f t="shared" si="376"/>
        <v>44632.5</v>
      </c>
      <c r="O848" s="131">
        <f t="shared" si="376"/>
        <v>13888.300000000001</v>
      </c>
      <c r="P848" s="131">
        <f t="shared" si="376"/>
        <v>46914.400000000001</v>
      </c>
      <c r="Q848" s="131">
        <f>Q856+Q860+Q872+Q880+Q884</f>
        <v>45308</v>
      </c>
      <c r="R848" s="131">
        <f t="shared" ref="R848:V848" si="377">R856+R860+R872+R880+R884</f>
        <v>0</v>
      </c>
      <c r="S848" s="131">
        <f t="shared" si="377"/>
        <v>14316.9</v>
      </c>
      <c r="T848" s="131">
        <f t="shared" si="377"/>
        <v>30991.1</v>
      </c>
      <c r="U848" s="131">
        <f t="shared" si="377"/>
        <v>0</v>
      </c>
      <c r="V848" s="131">
        <f t="shared" si="377"/>
        <v>56050</v>
      </c>
      <c r="W848" s="131"/>
      <c r="X848" s="167"/>
      <c r="Y848" s="82"/>
    </row>
    <row r="849" spans="1:25" ht="24.95" hidden="1" customHeight="1">
      <c r="A849" s="455" t="s">
        <v>392</v>
      </c>
      <c r="B849" s="167" t="s">
        <v>89</v>
      </c>
      <c r="C849" s="167">
        <v>176</v>
      </c>
      <c r="D849" s="167" t="s">
        <v>15</v>
      </c>
      <c r="E849" s="167">
        <v>6100404</v>
      </c>
      <c r="F849" s="167">
        <v>244</v>
      </c>
      <c r="G849" s="74">
        <v>0</v>
      </c>
      <c r="H849" s="74">
        <v>0</v>
      </c>
      <c r="I849" s="74">
        <v>0</v>
      </c>
      <c r="J849" s="74">
        <v>0</v>
      </c>
      <c r="K849" s="74">
        <v>0</v>
      </c>
      <c r="L849" s="132">
        <v>10</v>
      </c>
      <c r="M849" s="132"/>
      <c r="N849" s="132">
        <v>10</v>
      </c>
      <c r="O849" s="132">
        <v>0</v>
      </c>
      <c r="P849" s="132"/>
      <c r="Q849" s="132"/>
      <c r="R849" s="132"/>
      <c r="S849" s="132"/>
      <c r="T849" s="132"/>
      <c r="U849" s="132"/>
      <c r="V849" s="132"/>
      <c r="W849" s="132"/>
      <c r="X849" s="167"/>
      <c r="Y849" s="453" t="s">
        <v>475</v>
      </c>
    </row>
    <row r="850" spans="1:25" ht="24.95" hidden="1" customHeight="1">
      <c r="A850" s="455"/>
      <c r="B850" s="167" t="s">
        <v>413</v>
      </c>
      <c r="C850" s="167"/>
      <c r="D850" s="167"/>
      <c r="E850" s="167"/>
      <c r="F850" s="167"/>
      <c r="G850" s="74"/>
      <c r="H850" s="74"/>
      <c r="I850" s="74"/>
      <c r="J850" s="74"/>
      <c r="K850" s="74"/>
      <c r="L850" s="132"/>
      <c r="M850" s="132"/>
      <c r="N850" s="132"/>
      <c r="O850" s="132"/>
      <c r="P850" s="132"/>
      <c r="Q850" s="151">
        <f>Q851+Q852</f>
        <v>0</v>
      </c>
      <c r="R850" s="151"/>
      <c r="S850" s="151"/>
      <c r="T850" s="151">
        <f>T851</f>
        <v>0</v>
      </c>
      <c r="U850" s="151"/>
      <c r="V850" s="151">
        <f t="shared" ref="V850:W850" si="378">V851+V852</f>
        <v>0</v>
      </c>
      <c r="W850" s="151">
        <f t="shared" si="378"/>
        <v>0</v>
      </c>
      <c r="X850" s="167"/>
      <c r="Y850" s="453"/>
    </row>
    <row r="851" spans="1:25" ht="24.95" hidden="1" customHeight="1">
      <c r="A851" s="455"/>
      <c r="B851" s="167" t="s">
        <v>410</v>
      </c>
      <c r="C851" s="167"/>
      <c r="D851" s="167"/>
      <c r="E851" s="167"/>
      <c r="F851" s="167"/>
      <c r="G851" s="74"/>
      <c r="H851" s="74"/>
      <c r="I851" s="74"/>
      <c r="J851" s="74"/>
      <c r="K851" s="74"/>
      <c r="L851" s="132"/>
      <c r="M851" s="132"/>
      <c r="N851" s="132"/>
      <c r="O851" s="132"/>
      <c r="P851" s="132"/>
      <c r="Q851" s="151">
        <f>T851</f>
        <v>0</v>
      </c>
      <c r="R851" s="151"/>
      <c r="S851" s="151"/>
      <c r="T851" s="151"/>
      <c r="U851" s="151"/>
      <c r="V851" s="151"/>
      <c r="W851" s="132"/>
      <c r="X851" s="167"/>
      <c r="Y851" s="453"/>
    </row>
    <row r="852" spans="1:25" ht="24.6" hidden="1" customHeight="1">
      <c r="A852" s="455"/>
      <c r="B852" s="167" t="s">
        <v>428</v>
      </c>
      <c r="C852" s="167"/>
      <c r="D852" s="167"/>
      <c r="E852" s="167"/>
      <c r="F852" s="167"/>
      <c r="G852" s="74"/>
      <c r="H852" s="74"/>
      <c r="I852" s="74"/>
      <c r="J852" s="74"/>
      <c r="K852" s="74"/>
      <c r="L852" s="131">
        <f>18866.4</f>
        <v>18866.400000000001</v>
      </c>
      <c r="M852" s="132">
        <v>13604.9</v>
      </c>
      <c r="N852" s="132">
        <v>5261.5</v>
      </c>
      <c r="O852" s="132"/>
      <c r="P852" s="132"/>
      <c r="Q852" s="132"/>
      <c r="R852" s="132"/>
      <c r="S852" s="132"/>
      <c r="T852" s="132"/>
      <c r="U852" s="132"/>
      <c r="V852" s="132"/>
      <c r="W852" s="132"/>
      <c r="X852" s="167"/>
      <c r="Y852" s="453"/>
    </row>
    <row r="853" spans="1:25" ht="24.95" customHeight="1">
      <c r="A853" s="451" t="s">
        <v>94</v>
      </c>
      <c r="B853" s="167" t="s">
        <v>89</v>
      </c>
      <c r="C853" s="167">
        <v>176</v>
      </c>
      <c r="D853" s="167" t="s">
        <v>15</v>
      </c>
      <c r="E853" s="167">
        <v>6100404</v>
      </c>
      <c r="F853" s="167">
        <v>244</v>
      </c>
      <c r="G853" s="74">
        <v>0</v>
      </c>
      <c r="H853" s="74">
        <v>0</v>
      </c>
      <c r="I853" s="74">
        <v>0</v>
      </c>
      <c r="J853" s="74">
        <v>0</v>
      </c>
      <c r="K853" s="74">
        <v>0</v>
      </c>
      <c r="L853" s="131">
        <v>1</v>
      </c>
      <c r="M853" s="132"/>
      <c r="N853" s="132"/>
      <c r="O853" s="132">
        <v>1</v>
      </c>
      <c r="P853" s="132"/>
      <c r="Q853" s="132">
        <v>2.4500000000000002</v>
      </c>
      <c r="R853" s="132"/>
      <c r="S853" s="132"/>
      <c r="T853" s="132">
        <v>2.4500000000000002</v>
      </c>
      <c r="U853" s="132"/>
      <c r="V853" s="132">
        <v>4.7</v>
      </c>
      <c r="W853" s="132">
        <v>2.1</v>
      </c>
      <c r="X853" s="167"/>
      <c r="Y853" s="453" t="s">
        <v>615</v>
      </c>
    </row>
    <row r="854" spans="1:25" ht="24.95" customHeight="1">
      <c r="A854" s="454"/>
      <c r="B854" s="167" t="s">
        <v>413</v>
      </c>
      <c r="C854" s="167"/>
      <c r="D854" s="167"/>
      <c r="E854" s="167"/>
      <c r="F854" s="167"/>
      <c r="G854" s="74"/>
      <c r="H854" s="74"/>
      <c r="I854" s="74"/>
      <c r="J854" s="74"/>
      <c r="K854" s="74"/>
      <c r="L854" s="131"/>
      <c r="M854" s="132"/>
      <c r="N854" s="132"/>
      <c r="O854" s="132"/>
      <c r="P854" s="132"/>
      <c r="Q854" s="132">
        <f>Q855+Q856</f>
        <v>29390.300000000003</v>
      </c>
      <c r="R854" s="132">
        <f t="shared" ref="R854:U854" si="379">R855+R856</f>
        <v>0</v>
      </c>
      <c r="S854" s="132">
        <f t="shared" si="379"/>
        <v>0</v>
      </c>
      <c r="T854" s="132">
        <f t="shared" si="379"/>
        <v>29390.300000000003</v>
      </c>
      <c r="U854" s="132">
        <f t="shared" si="379"/>
        <v>0</v>
      </c>
      <c r="V854" s="132">
        <f t="shared" ref="V854:W854" si="380">V855+V856</f>
        <v>74314.2</v>
      </c>
      <c r="W854" s="132">
        <f t="shared" si="380"/>
        <v>75000</v>
      </c>
      <c r="X854" s="167"/>
      <c r="Y854" s="453"/>
    </row>
    <row r="855" spans="1:25" ht="24.95" customHeight="1">
      <c r="A855" s="454"/>
      <c r="B855" s="167" t="s">
        <v>410</v>
      </c>
      <c r="C855" s="167"/>
      <c r="D855" s="167"/>
      <c r="E855" s="167"/>
      <c r="F855" s="167"/>
      <c r="G855" s="74"/>
      <c r="H855" s="74"/>
      <c r="I855" s="74"/>
      <c r="J855" s="74"/>
      <c r="K855" s="74"/>
      <c r="L855" s="131"/>
      <c r="M855" s="132"/>
      <c r="N855" s="132"/>
      <c r="O855" s="132"/>
      <c r="P855" s="132"/>
      <c r="Q855" s="132">
        <f>T855</f>
        <v>9390.3000000000011</v>
      </c>
      <c r="R855" s="132"/>
      <c r="S855" s="132"/>
      <c r="T855" s="132">
        <f>15742.5-5326.8-1025.4</f>
        <v>9390.3000000000011</v>
      </c>
      <c r="U855" s="132"/>
      <c r="V855" s="132">
        <f>28000-6000+34264.2</f>
        <v>56264.2</v>
      </c>
      <c r="W855" s="132">
        <v>75000</v>
      </c>
      <c r="X855" s="167"/>
      <c r="Y855" s="453"/>
    </row>
    <row r="856" spans="1:25" ht="24.95" customHeight="1">
      <c r="A856" s="452"/>
      <c r="B856" s="167" t="s">
        <v>428</v>
      </c>
      <c r="C856" s="167"/>
      <c r="D856" s="167"/>
      <c r="E856" s="167"/>
      <c r="F856" s="167"/>
      <c r="G856" s="74"/>
      <c r="H856" s="74"/>
      <c r="I856" s="74"/>
      <c r="J856" s="74"/>
      <c r="K856" s="74"/>
      <c r="L856" s="131">
        <v>13888.3</v>
      </c>
      <c r="M856" s="132"/>
      <c r="N856" s="132"/>
      <c r="O856" s="132">
        <f>20044.4-6156.1</f>
        <v>13888.300000000001</v>
      </c>
      <c r="P856" s="132"/>
      <c r="Q856" s="132">
        <f>T856</f>
        <v>20000</v>
      </c>
      <c r="R856" s="132"/>
      <c r="S856" s="132"/>
      <c r="T856" s="132">
        <f>20000</f>
        <v>20000</v>
      </c>
      <c r="U856" s="132"/>
      <c r="V856" s="132">
        <f>10000+8050</f>
        <v>18050</v>
      </c>
      <c r="W856" s="132"/>
      <c r="X856" s="167"/>
      <c r="Y856" s="453"/>
    </row>
    <row r="857" spans="1:25" ht="24.95" customHeight="1">
      <c r="A857" s="451" t="s">
        <v>474</v>
      </c>
      <c r="B857" s="252" t="s">
        <v>89</v>
      </c>
      <c r="C857" s="252"/>
      <c r="D857" s="252"/>
      <c r="E857" s="252"/>
      <c r="F857" s="252"/>
      <c r="G857" s="74"/>
      <c r="H857" s="74"/>
      <c r="I857" s="74"/>
      <c r="J857" s="74"/>
      <c r="K857" s="74"/>
      <c r="L857" s="131"/>
      <c r="M857" s="132"/>
      <c r="N857" s="132"/>
      <c r="O857" s="132"/>
      <c r="P857" s="132"/>
      <c r="Q857" s="132">
        <v>8.89</v>
      </c>
      <c r="R857" s="132"/>
      <c r="S857" s="132"/>
      <c r="T857" s="132">
        <v>8.89</v>
      </c>
      <c r="U857" s="132"/>
      <c r="V857" s="132"/>
      <c r="W857" s="132"/>
      <c r="X857" s="252"/>
      <c r="Y857" s="453" t="s">
        <v>549</v>
      </c>
    </row>
    <row r="858" spans="1:25" ht="24.95" customHeight="1">
      <c r="A858" s="454"/>
      <c r="B858" s="252" t="s">
        <v>413</v>
      </c>
      <c r="C858" s="252"/>
      <c r="D858" s="252"/>
      <c r="E858" s="252"/>
      <c r="F858" s="252"/>
      <c r="G858" s="74"/>
      <c r="H858" s="74"/>
      <c r="I858" s="74"/>
      <c r="J858" s="74"/>
      <c r="K858" s="74"/>
      <c r="L858" s="131"/>
      <c r="M858" s="132"/>
      <c r="N858" s="132"/>
      <c r="O858" s="132"/>
      <c r="P858" s="132"/>
      <c r="Q858" s="132">
        <f>Q859+Q860</f>
        <v>39639.599999999999</v>
      </c>
      <c r="R858" s="132">
        <f t="shared" ref="R858:U858" si="381">R859+R860</f>
        <v>0</v>
      </c>
      <c r="S858" s="132">
        <f t="shared" si="381"/>
        <v>0</v>
      </c>
      <c r="T858" s="132">
        <f t="shared" si="381"/>
        <v>24639.599999999999</v>
      </c>
      <c r="U858" s="132">
        <f t="shared" si="381"/>
        <v>15000</v>
      </c>
      <c r="V858" s="132">
        <f>V859+V860</f>
        <v>0</v>
      </c>
      <c r="W858" s="132"/>
      <c r="X858" s="252"/>
      <c r="Y858" s="453"/>
    </row>
    <row r="859" spans="1:25" ht="24.95" customHeight="1">
      <c r="A859" s="454"/>
      <c r="B859" s="252" t="s">
        <v>410</v>
      </c>
      <c r="C859" s="252"/>
      <c r="D859" s="252"/>
      <c r="E859" s="252"/>
      <c r="F859" s="252"/>
      <c r="G859" s="74"/>
      <c r="H859" s="74"/>
      <c r="I859" s="74"/>
      <c r="J859" s="74"/>
      <c r="K859" s="74"/>
      <c r="L859" s="131"/>
      <c r="M859" s="132"/>
      <c r="N859" s="132"/>
      <c r="O859" s="132"/>
      <c r="P859" s="132"/>
      <c r="Q859" s="132">
        <f>R859+S859+T859+U859</f>
        <v>39639.599999999999</v>
      </c>
      <c r="R859" s="132"/>
      <c r="S859" s="132"/>
      <c r="T859" s="132">
        <f>25040-400.4</f>
        <v>24639.599999999999</v>
      </c>
      <c r="U859" s="132">
        <f>12104.68919+2895.31081</f>
        <v>15000</v>
      </c>
      <c r="V859" s="132"/>
      <c r="W859" s="132"/>
      <c r="X859" s="252"/>
      <c r="Y859" s="453"/>
    </row>
    <row r="860" spans="1:25" ht="24.95" customHeight="1">
      <c r="A860" s="452"/>
      <c r="B860" s="252" t="s">
        <v>428</v>
      </c>
      <c r="C860" s="252"/>
      <c r="D860" s="252"/>
      <c r="E860" s="252"/>
      <c r="F860" s="252"/>
      <c r="G860" s="74"/>
      <c r="H860" s="74"/>
      <c r="I860" s="74"/>
      <c r="J860" s="74"/>
      <c r="K860" s="74"/>
      <c r="L860" s="131"/>
      <c r="M860" s="132"/>
      <c r="N860" s="132"/>
      <c r="O860" s="132"/>
      <c r="P860" s="132"/>
      <c r="Q860" s="132">
        <f>R860+S860+T860+U860</f>
        <v>0</v>
      </c>
      <c r="R860" s="132"/>
      <c r="S860" s="132"/>
      <c r="T860" s="132">
        <f>15000-15000</f>
        <v>0</v>
      </c>
      <c r="U860" s="132"/>
      <c r="V860" s="132"/>
      <c r="W860" s="132"/>
      <c r="X860" s="252"/>
      <c r="Y860" s="453"/>
    </row>
    <row r="861" spans="1:25" ht="24.95" hidden="1" customHeight="1">
      <c r="A861" s="455" t="s">
        <v>262</v>
      </c>
      <c r="B861" s="167" t="s">
        <v>89</v>
      </c>
      <c r="C861" s="167">
        <v>176</v>
      </c>
      <c r="D861" s="167" t="s">
        <v>15</v>
      </c>
      <c r="E861" s="167">
        <v>6100404</v>
      </c>
      <c r="F861" s="167">
        <v>244</v>
      </c>
      <c r="G861" s="74">
        <v>0</v>
      </c>
      <c r="H861" s="74">
        <v>0</v>
      </c>
      <c r="I861" s="74">
        <v>0</v>
      </c>
      <c r="J861" s="74">
        <v>0</v>
      </c>
      <c r="K861" s="74">
        <v>0</v>
      </c>
      <c r="L861" s="131">
        <v>4.5599999999999996</v>
      </c>
      <c r="M861" s="132"/>
      <c r="N861" s="132"/>
      <c r="O861" s="132"/>
      <c r="P861" s="132">
        <v>4.5599999999999996</v>
      </c>
      <c r="Q861" s="132"/>
      <c r="R861" s="132"/>
      <c r="S861" s="132"/>
      <c r="T861" s="132"/>
      <c r="U861" s="132"/>
      <c r="V861" s="132"/>
      <c r="W861" s="132"/>
      <c r="X861" s="167"/>
      <c r="Y861" s="453" t="s">
        <v>399</v>
      </c>
    </row>
    <row r="862" spans="1:25" ht="24.95" hidden="1" customHeight="1">
      <c r="A862" s="455"/>
      <c r="B862" s="167" t="s">
        <v>413</v>
      </c>
      <c r="C862" s="167"/>
      <c r="D862" s="167"/>
      <c r="E862" s="167"/>
      <c r="F862" s="167"/>
      <c r="G862" s="74"/>
      <c r="H862" s="74"/>
      <c r="I862" s="74"/>
      <c r="J862" s="74"/>
      <c r="K862" s="74"/>
      <c r="L862" s="131"/>
      <c r="M862" s="132"/>
      <c r="N862" s="132"/>
      <c r="O862" s="132"/>
      <c r="P862" s="132"/>
      <c r="Q862" s="132">
        <f>Q863+Q864</f>
        <v>0</v>
      </c>
      <c r="R862" s="132"/>
      <c r="S862" s="132"/>
      <c r="T862" s="132"/>
      <c r="U862" s="132"/>
      <c r="V862" s="132"/>
      <c r="W862" s="132"/>
      <c r="X862" s="167"/>
      <c r="Y862" s="453"/>
    </row>
    <row r="863" spans="1:25" ht="24.95" hidden="1" customHeight="1">
      <c r="A863" s="455"/>
      <c r="B863" s="167" t="s">
        <v>410</v>
      </c>
      <c r="C863" s="167"/>
      <c r="D863" s="167"/>
      <c r="E863" s="167"/>
      <c r="F863" s="167"/>
      <c r="G863" s="74"/>
      <c r="H863" s="74"/>
      <c r="I863" s="74"/>
      <c r="J863" s="74"/>
      <c r="K863" s="74"/>
      <c r="L863" s="131"/>
      <c r="M863" s="132"/>
      <c r="N863" s="132"/>
      <c r="O863" s="132"/>
      <c r="P863" s="132"/>
      <c r="Q863" s="132">
        <f>T863</f>
        <v>0</v>
      </c>
      <c r="R863" s="132"/>
      <c r="S863" s="132"/>
      <c r="T863" s="132"/>
      <c r="U863" s="132"/>
      <c r="V863" s="132"/>
      <c r="W863" s="132"/>
      <c r="X863" s="167"/>
      <c r="Y863" s="453"/>
    </row>
    <row r="864" spans="1:25" ht="30.6" hidden="1" customHeight="1">
      <c r="A864" s="455"/>
      <c r="B864" s="167" t="s">
        <v>428</v>
      </c>
      <c r="C864" s="167"/>
      <c r="D864" s="167"/>
      <c r="E864" s="167"/>
      <c r="F864" s="167"/>
      <c r="G864" s="74"/>
      <c r="H864" s="74"/>
      <c r="I864" s="74"/>
      <c r="J864" s="74"/>
      <c r="K864" s="74"/>
      <c r="L864" s="131">
        <f>P864</f>
        <v>46914.400000000001</v>
      </c>
      <c r="M864" s="132"/>
      <c r="N864" s="132"/>
      <c r="O864" s="132"/>
      <c r="P864" s="132">
        <f>45914.4+1000</f>
        <v>46914.400000000001</v>
      </c>
      <c r="Q864" s="132">
        <f>T864</f>
        <v>0</v>
      </c>
      <c r="R864" s="132"/>
      <c r="S864" s="132"/>
      <c r="T864" s="132"/>
      <c r="U864" s="132"/>
      <c r="V864" s="132"/>
      <c r="W864" s="132"/>
      <c r="X864" s="167"/>
      <c r="Y864" s="453"/>
    </row>
    <row r="865" spans="1:71" ht="30.6" customHeight="1">
      <c r="A865" s="455" t="s">
        <v>584</v>
      </c>
      <c r="B865" s="346" t="s">
        <v>89</v>
      </c>
      <c r="C865" s="346">
        <v>176</v>
      </c>
      <c r="D865" s="346" t="s">
        <v>15</v>
      </c>
      <c r="E865" s="346">
        <v>6100404</v>
      </c>
      <c r="F865" s="346">
        <v>244</v>
      </c>
      <c r="G865" s="74">
        <v>0</v>
      </c>
      <c r="H865" s="74">
        <v>0</v>
      </c>
      <c r="I865" s="74">
        <v>0</v>
      </c>
      <c r="J865" s="74">
        <v>0</v>
      </c>
      <c r="K865" s="74">
        <v>0</v>
      </c>
      <c r="L865" s="131">
        <v>6.8860000000000001</v>
      </c>
      <c r="M865" s="132"/>
      <c r="N865" s="132">
        <v>6.8860000000000001</v>
      </c>
      <c r="O865" s="132"/>
      <c r="P865" s="132"/>
      <c r="Q865" s="132"/>
      <c r="R865" s="132"/>
      <c r="S865" s="132"/>
      <c r="T865" s="132"/>
      <c r="U865" s="132"/>
      <c r="V865" s="132"/>
      <c r="W865" s="132"/>
      <c r="X865" s="346"/>
      <c r="Y865" s="453" t="s">
        <v>596</v>
      </c>
    </row>
    <row r="866" spans="1:71" ht="30.6" customHeight="1">
      <c r="A866" s="455"/>
      <c r="B866" s="346" t="s">
        <v>413</v>
      </c>
      <c r="C866" s="346"/>
      <c r="D866" s="346"/>
      <c r="E866" s="346"/>
      <c r="F866" s="346"/>
      <c r="G866" s="74"/>
      <c r="H866" s="74"/>
      <c r="I866" s="74"/>
      <c r="J866" s="74"/>
      <c r="K866" s="74"/>
      <c r="L866" s="131"/>
      <c r="M866" s="132"/>
      <c r="N866" s="132"/>
      <c r="O866" s="132"/>
      <c r="P866" s="132"/>
      <c r="Q866" s="132">
        <f>Q867+Q868</f>
        <v>19775.2</v>
      </c>
      <c r="R866" s="132">
        <f t="shared" ref="R866:U866" si="382">R867+R868</f>
        <v>0</v>
      </c>
      <c r="S866" s="132">
        <f t="shared" si="382"/>
        <v>0</v>
      </c>
      <c r="T866" s="132">
        <f t="shared" si="382"/>
        <v>0</v>
      </c>
      <c r="U866" s="132">
        <f t="shared" si="382"/>
        <v>19775.2</v>
      </c>
      <c r="V866" s="132">
        <f t="shared" ref="V866:W866" si="383">V867+V868</f>
        <v>0</v>
      </c>
      <c r="W866" s="132">
        <f t="shared" si="383"/>
        <v>0</v>
      </c>
      <c r="X866" s="346"/>
      <c r="Y866" s="453"/>
    </row>
    <row r="867" spans="1:71" ht="30.6" customHeight="1">
      <c r="A867" s="455"/>
      <c r="B867" s="346" t="s">
        <v>410</v>
      </c>
      <c r="C867" s="346"/>
      <c r="D867" s="346"/>
      <c r="E867" s="346"/>
      <c r="F867" s="346"/>
      <c r="G867" s="74"/>
      <c r="H867" s="74"/>
      <c r="I867" s="74"/>
      <c r="J867" s="74"/>
      <c r="K867" s="74"/>
      <c r="L867" s="131"/>
      <c r="M867" s="132"/>
      <c r="N867" s="132"/>
      <c r="O867" s="132"/>
      <c r="P867" s="132"/>
      <c r="Q867" s="132">
        <f>U867</f>
        <v>19775.2</v>
      </c>
      <c r="R867" s="132"/>
      <c r="S867" s="132"/>
      <c r="T867" s="132"/>
      <c r="U867" s="132">
        <f>300+19475.2</f>
        <v>19775.2</v>
      </c>
      <c r="V867" s="132"/>
      <c r="W867" s="132"/>
      <c r="X867" s="346"/>
      <c r="Y867" s="453"/>
    </row>
    <row r="868" spans="1:71" ht="0.6" customHeight="1">
      <c r="A868" s="455"/>
      <c r="B868" s="346" t="s">
        <v>411</v>
      </c>
      <c r="C868" s="346"/>
      <c r="D868" s="346"/>
      <c r="E868" s="346"/>
      <c r="F868" s="346"/>
      <c r="G868" s="74"/>
      <c r="H868" s="74"/>
      <c r="I868" s="74"/>
      <c r="J868" s="74"/>
      <c r="K868" s="74"/>
      <c r="L868" s="131">
        <f>18570.7</f>
        <v>18570.7</v>
      </c>
      <c r="M868" s="132">
        <v>11971.3</v>
      </c>
      <c r="N868" s="132">
        <v>6599.4</v>
      </c>
      <c r="O868" s="132"/>
      <c r="P868" s="132"/>
      <c r="Q868" s="132"/>
      <c r="R868" s="132"/>
      <c r="S868" s="132"/>
      <c r="T868" s="132"/>
      <c r="U868" s="132"/>
      <c r="V868" s="132"/>
      <c r="W868" s="132"/>
      <c r="X868" s="346"/>
      <c r="Y868" s="453"/>
    </row>
    <row r="869" spans="1:71" ht="24.95" customHeight="1">
      <c r="A869" s="455" t="s">
        <v>330</v>
      </c>
      <c r="B869" s="167" t="s">
        <v>89</v>
      </c>
      <c r="C869" s="167"/>
      <c r="D869" s="167"/>
      <c r="E869" s="167"/>
      <c r="F869" s="167"/>
      <c r="G869" s="74"/>
      <c r="H869" s="74"/>
      <c r="I869" s="74"/>
      <c r="J869" s="74"/>
      <c r="K869" s="74">
        <v>0</v>
      </c>
      <c r="L869" s="131">
        <v>16.649999999999999</v>
      </c>
      <c r="M869" s="132"/>
      <c r="N869" s="132">
        <v>16.649999999999999</v>
      </c>
      <c r="O869" s="132"/>
      <c r="P869" s="132"/>
      <c r="Q869" s="132"/>
      <c r="R869" s="132"/>
      <c r="S869" s="132"/>
      <c r="T869" s="132"/>
      <c r="U869" s="132"/>
      <c r="V869" s="132">
        <v>4.5999999999999996</v>
      </c>
      <c r="W869" s="132">
        <v>10</v>
      </c>
      <c r="X869" s="167"/>
      <c r="Y869" s="453" t="s">
        <v>606</v>
      </c>
    </row>
    <row r="870" spans="1:71" ht="24.95" customHeight="1">
      <c r="A870" s="455"/>
      <c r="B870" s="167" t="s">
        <v>413</v>
      </c>
      <c r="C870" s="167"/>
      <c r="D870" s="167"/>
      <c r="E870" s="167"/>
      <c r="F870" s="167"/>
      <c r="G870" s="74"/>
      <c r="H870" s="74"/>
      <c r="I870" s="74"/>
      <c r="J870" s="74"/>
      <c r="K870" s="74"/>
      <c r="L870" s="131"/>
      <c r="M870" s="132"/>
      <c r="N870" s="132"/>
      <c r="O870" s="132"/>
      <c r="P870" s="132"/>
      <c r="Q870" s="132">
        <f>Q871</f>
        <v>0</v>
      </c>
      <c r="R870" s="132">
        <f t="shared" ref="R870:U870" si="384">R871</f>
        <v>0</v>
      </c>
      <c r="S870" s="132">
        <f t="shared" si="384"/>
        <v>0</v>
      </c>
      <c r="T870" s="132">
        <f t="shared" si="384"/>
        <v>0</v>
      </c>
      <c r="U870" s="132">
        <f t="shared" si="384"/>
        <v>0</v>
      </c>
      <c r="V870" s="151">
        <f>V871+V872</f>
        <v>38250</v>
      </c>
      <c r="W870" s="151">
        <f>W871+W872</f>
        <v>48000</v>
      </c>
      <c r="X870" s="167"/>
      <c r="Y870" s="453"/>
    </row>
    <row r="871" spans="1:71" ht="24.95" customHeight="1">
      <c r="A871" s="455"/>
      <c r="B871" s="167" t="s">
        <v>410</v>
      </c>
      <c r="C871" s="167"/>
      <c r="D871" s="167"/>
      <c r="E871" s="167"/>
      <c r="F871" s="167"/>
      <c r="G871" s="74"/>
      <c r="H871" s="74"/>
      <c r="I871" s="74"/>
      <c r="J871" s="74"/>
      <c r="K871" s="74"/>
      <c r="L871" s="131"/>
      <c r="M871" s="132"/>
      <c r="N871" s="132"/>
      <c r="O871" s="132"/>
      <c r="P871" s="132"/>
      <c r="Q871" s="132">
        <f>T871</f>
        <v>0</v>
      </c>
      <c r="R871" s="132"/>
      <c r="S871" s="132"/>
      <c r="T871" s="132"/>
      <c r="U871" s="132"/>
      <c r="V871" s="151">
        <f>13000.3-4000.3+21250</f>
        <v>30250</v>
      </c>
      <c r="W871" s="151">
        <v>48000</v>
      </c>
      <c r="X871" s="167"/>
      <c r="Y871" s="453"/>
    </row>
    <row r="872" spans="1:71" s="55" customFormat="1" ht="27" customHeight="1">
      <c r="A872" s="455"/>
      <c r="B872" s="167" t="s">
        <v>428</v>
      </c>
      <c r="C872" s="167"/>
      <c r="D872" s="167"/>
      <c r="E872" s="167"/>
      <c r="F872" s="167"/>
      <c r="G872" s="74"/>
      <c r="H872" s="74"/>
      <c r="I872" s="74"/>
      <c r="J872" s="74"/>
      <c r="K872" s="74"/>
      <c r="L872" s="131">
        <v>32771.599999999999</v>
      </c>
      <c r="M872" s="132"/>
      <c r="N872" s="132">
        <v>32771.599999999999</v>
      </c>
      <c r="O872" s="132"/>
      <c r="P872" s="132"/>
      <c r="Q872" s="132">
        <v>0</v>
      </c>
      <c r="R872" s="132"/>
      <c r="S872" s="132"/>
      <c r="T872" s="132"/>
      <c r="U872" s="132"/>
      <c r="V872" s="132">
        <v>8000</v>
      </c>
      <c r="W872" s="132"/>
      <c r="X872" s="167"/>
      <c r="Y872" s="453"/>
      <c r="AT872" s="150"/>
      <c r="AU872" s="150"/>
      <c r="AV872" s="150"/>
      <c r="AW872" s="150"/>
      <c r="AX872" s="150"/>
      <c r="AY872" s="150"/>
      <c r="AZ872" s="150"/>
      <c r="BA872" s="150"/>
      <c r="BB872" s="150"/>
      <c r="BC872" s="150"/>
      <c r="BD872" s="150"/>
      <c r="BE872" s="150"/>
      <c r="BF872" s="150"/>
      <c r="BG872" s="150"/>
      <c r="BH872" s="150"/>
      <c r="BI872" s="150"/>
      <c r="BJ872" s="150"/>
      <c r="BK872" s="150"/>
      <c r="BL872" s="150"/>
      <c r="BM872" s="150"/>
      <c r="BN872" s="150"/>
      <c r="BO872" s="150"/>
      <c r="BP872" s="150"/>
      <c r="BQ872" s="150"/>
      <c r="BR872" s="150"/>
      <c r="BS872" s="150"/>
    </row>
    <row r="873" spans="1:71" s="55" customFormat="1" ht="24.95" hidden="1" customHeight="1">
      <c r="A873" s="456" t="s">
        <v>477</v>
      </c>
      <c r="B873" s="367" t="s">
        <v>89</v>
      </c>
      <c r="C873" s="367"/>
      <c r="D873" s="367"/>
      <c r="E873" s="367"/>
      <c r="F873" s="367"/>
      <c r="G873" s="348"/>
      <c r="H873" s="348"/>
      <c r="I873" s="348"/>
      <c r="J873" s="348"/>
      <c r="K873" s="348"/>
      <c r="L873" s="368"/>
      <c r="M873" s="349"/>
      <c r="N873" s="349"/>
      <c r="O873" s="349"/>
      <c r="P873" s="349"/>
      <c r="Q873" s="349"/>
      <c r="R873" s="349"/>
      <c r="S873" s="349"/>
      <c r="T873" s="349"/>
      <c r="U873" s="349"/>
      <c r="V873" s="349"/>
      <c r="W873" s="349"/>
      <c r="X873" s="367"/>
      <c r="Y873" s="459" t="s">
        <v>621</v>
      </c>
      <c r="AT873" s="150"/>
      <c r="AU873" s="150"/>
      <c r="AV873" s="150"/>
      <c r="AW873" s="150"/>
      <c r="AX873" s="150"/>
      <c r="AY873" s="150"/>
      <c r="AZ873" s="150"/>
      <c r="BA873" s="150"/>
      <c r="BB873" s="150"/>
      <c r="BC873" s="150"/>
      <c r="BD873" s="150"/>
      <c r="BE873" s="150"/>
      <c r="BF873" s="150"/>
      <c r="BG873" s="150"/>
      <c r="BH873" s="150"/>
      <c r="BI873" s="150"/>
      <c r="BJ873" s="150"/>
      <c r="BK873" s="150"/>
      <c r="BL873" s="150"/>
      <c r="BM873" s="150"/>
      <c r="BN873" s="150"/>
      <c r="BO873" s="150"/>
      <c r="BP873" s="150"/>
      <c r="BQ873" s="150"/>
      <c r="BR873" s="150"/>
      <c r="BS873" s="150"/>
    </row>
    <row r="874" spans="1:71" s="55" customFormat="1" ht="24.95" hidden="1" customHeight="1">
      <c r="A874" s="457"/>
      <c r="B874" s="367" t="s">
        <v>284</v>
      </c>
      <c r="C874" s="367"/>
      <c r="D874" s="367"/>
      <c r="E874" s="367"/>
      <c r="F874" s="367"/>
      <c r="G874" s="348"/>
      <c r="H874" s="348"/>
      <c r="I874" s="348"/>
      <c r="J874" s="348"/>
      <c r="K874" s="348"/>
      <c r="L874" s="368"/>
      <c r="M874" s="349"/>
      <c r="N874" s="349"/>
      <c r="O874" s="349"/>
      <c r="P874" s="349"/>
      <c r="Q874" s="349">
        <f>Q875</f>
        <v>0</v>
      </c>
      <c r="R874" s="349">
        <f t="shared" ref="R874:U874" si="385">R875</f>
        <v>0</v>
      </c>
      <c r="S874" s="349">
        <f t="shared" si="385"/>
        <v>0</v>
      </c>
      <c r="T874" s="349">
        <f t="shared" si="385"/>
        <v>0</v>
      </c>
      <c r="U874" s="349">
        <f t="shared" si="385"/>
        <v>0</v>
      </c>
      <c r="V874" s="349">
        <f>V875+V876</f>
        <v>0</v>
      </c>
      <c r="W874" s="349"/>
      <c r="X874" s="367"/>
      <c r="Y874" s="459"/>
      <c r="AT874" s="150"/>
      <c r="AU874" s="150"/>
      <c r="AV874" s="150"/>
      <c r="AW874" s="150"/>
      <c r="AX874" s="150"/>
      <c r="AY874" s="150"/>
      <c r="AZ874" s="150"/>
      <c r="BA874" s="150"/>
      <c r="BB874" s="150"/>
      <c r="BC874" s="150"/>
      <c r="BD874" s="150"/>
      <c r="BE874" s="150"/>
      <c r="BF874" s="150"/>
      <c r="BG874" s="150"/>
      <c r="BH874" s="150"/>
      <c r="BI874" s="150"/>
      <c r="BJ874" s="150"/>
      <c r="BK874" s="150"/>
      <c r="BL874" s="150"/>
      <c r="BM874" s="150"/>
      <c r="BN874" s="150"/>
      <c r="BO874" s="150"/>
      <c r="BP874" s="150"/>
      <c r="BQ874" s="150"/>
      <c r="BR874" s="150"/>
      <c r="BS874" s="150"/>
    </row>
    <row r="875" spans="1:71" s="55" customFormat="1" ht="24.95" hidden="1" customHeight="1">
      <c r="A875" s="457"/>
      <c r="B875" s="367" t="s">
        <v>410</v>
      </c>
      <c r="C875" s="367"/>
      <c r="D875" s="367"/>
      <c r="E875" s="367"/>
      <c r="F875" s="367"/>
      <c r="G875" s="348"/>
      <c r="H875" s="348"/>
      <c r="I875" s="348"/>
      <c r="J875" s="348"/>
      <c r="K875" s="348"/>
      <c r="L875" s="368"/>
      <c r="M875" s="349"/>
      <c r="N875" s="349"/>
      <c r="O875" s="349"/>
      <c r="P875" s="349"/>
      <c r="Q875" s="349">
        <f>T875</f>
        <v>0</v>
      </c>
      <c r="R875" s="349"/>
      <c r="S875" s="349"/>
      <c r="T875" s="349"/>
      <c r="U875" s="349"/>
      <c r="V875" s="349"/>
      <c r="W875" s="349"/>
      <c r="X875" s="367"/>
      <c r="Y875" s="459"/>
      <c r="AT875" s="150"/>
      <c r="AU875" s="150"/>
      <c r="AV875" s="150"/>
      <c r="AW875" s="150"/>
      <c r="AX875" s="150"/>
      <c r="AY875" s="150"/>
      <c r="AZ875" s="150"/>
      <c r="BA875" s="150"/>
      <c r="BB875" s="150"/>
      <c r="BC875" s="150"/>
      <c r="BD875" s="150"/>
      <c r="BE875" s="150"/>
      <c r="BF875" s="150"/>
      <c r="BG875" s="150"/>
      <c r="BH875" s="150"/>
      <c r="BI875" s="150"/>
      <c r="BJ875" s="150"/>
      <c r="BK875" s="150"/>
      <c r="BL875" s="150"/>
      <c r="BM875" s="150"/>
      <c r="BN875" s="150"/>
      <c r="BO875" s="150"/>
      <c r="BP875" s="150"/>
      <c r="BQ875" s="150"/>
      <c r="BR875" s="150"/>
      <c r="BS875" s="150"/>
    </row>
    <row r="876" spans="1:71" s="55" customFormat="1" ht="24.6" hidden="1" customHeight="1">
      <c r="A876" s="458"/>
      <c r="B876" s="367" t="s">
        <v>428</v>
      </c>
      <c r="C876" s="367"/>
      <c r="D876" s="367"/>
      <c r="E876" s="367"/>
      <c r="F876" s="367"/>
      <c r="G876" s="348"/>
      <c r="H876" s="348"/>
      <c r="I876" s="348"/>
      <c r="J876" s="348"/>
      <c r="K876" s="348"/>
      <c r="L876" s="368"/>
      <c r="M876" s="349"/>
      <c r="N876" s="349"/>
      <c r="O876" s="349"/>
      <c r="P876" s="349"/>
      <c r="Q876" s="349"/>
      <c r="R876" s="349"/>
      <c r="S876" s="349"/>
      <c r="T876" s="349"/>
      <c r="U876" s="349"/>
      <c r="V876" s="349"/>
      <c r="W876" s="349"/>
      <c r="X876" s="367"/>
      <c r="Y876" s="459"/>
      <c r="AT876" s="150"/>
      <c r="AU876" s="150"/>
      <c r="AV876" s="150"/>
      <c r="AW876" s="150"/>
      <c r="AX876" s="150"/>
      <c r="AY876" s="150"/>
      <c r="AZ876" s="150"/>
      <c r="BA876" s="150"/>
      <c r="BB876" s="150"/>
      <c r="BC876" s="150"/>
      <c r="BD876" s="150"/>
      <c r="BE876" s="150"/>
      <c r="BF876" s="150"/>
      <c r="BG876" s="150"/>
      <c r="BH876" s="150"/>
      <c r="BI876" s="150"/>
      <c r="BJ876" s="150"/>
      <c r="BK876" s="150"/>
      <c r="BL876" s="150"/>
      <c r="BM876" s="150"/>
      <c r="BN876" s="150"/>
      <c r="BO876" s="150"/>
      <c r="BP876" s="150"/>
      <c r="BQ876" s="150"/>
      <c r="BR876" s="150"/>
      <c r="BS876" s="150"/>
    </row>
    <row r="877" spans="1:71" s="55" customFormat="1" ht="24.95" customHeight="1">
      <c r="A877" s="451" t="s">
        <v>473</v>
      </c>
      <c r="B877" s="252" t="s">
        <v>89</v>
      </c>
      <c r="C877" s="252"/>
      <c r="D877" s="252"/>
      <c r="E877" s="252"/>
      <c r="F877" s="252"/>
      <c r="G877" s="74"/>
      <c r="H877" s="74"/>
      <c r="I877" s="74"/>
      <c r="J877" s="74"/>
      <c r="K877" s="74"/>
      <c r="L877" s="131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>
        <v>6.5</v>
      </c>
      <c r="W877" s="132"/>
      <c r="X877" s="252"/>
      <c r="Y877" s="453" t="s">
        <v>511</v>
      </c>
      <c r="AT877" s="150"/>
      <c r="AU877" s="150"/>
      <c r="AV877" s="150"/>
      <c r="AW877" s="150"/>
      <c r="AX877" s="150"/>
      <c r="AY877" s="150"/>
      <c r="AZ877" s="150"/>
      <c r="BA877" s="150"/>
      <c r="BB877" s="150"/>
      <c r="BC877" s="150"/>
      <c r="BD877" s="150"/>
      <c r="BE877" s="150"/>
      <c r="BF877" s="150"/>
      <c r="BG877" s="150"/>
      <c r="BH877" s="150"/>
      <c r="BI877" s="150"/>
      <c r="BJ877" s="150"/>
      <c r="BK877" s="150"/>
      <c r="BL877" s="150"/>
      <c r="BM877" s="150"/>
      <c r="BN877" s="150"/>
      <c r="BO877" s="150"/>
      <c r="BP877" s="150"/>
      <c r="BQ877" s="150"/>
      <c r="BR877" s="150"/>
      <c r="BS877" s="150"/>
    </row>
    <row r="878" spans="1:71" s="55" customFormat="1" ht="24.95" customHeight="1">
      <c r="A878" s="454"/>
      <c r="B878" s="252" t="s">
        <v>284</v>
      </c>
      <c r="C878" s="252"/>
      <c r="D878" s="252"/>
      <c r="E878" s="252"/>
      <c r="F878" s="252"/>
      <c r="G878" s="74"/>
      <c r="H878" s="74"/>
      <c r="I878" s="74"/>
      <c r="J878" s="74"/>
      <c r="K878" s="74"/>
      <c r="L878" s="131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>
        <f>V879+V880</f>
        <v>53550</v>
      </c>
      <c r="W878" s="132">
        <f>W879</f>
        <v>0</v>
      </c>
      <c r="X878" s="252"/>
      <c r="Y878" s="453"/>
      <c r="AT878" s="150"/>
      <c r="AU878" s="150"/>
      <c r="AV878" s="150"/>
      <c r="AW878" s="150"/>
      <c r="AX878" s="150"/>
      <c r="AY878" s="150"/>
      <c r="AZ878" s="150"/>
      <c r="BA878" s="150"/>
      <c r="BB878" s="150"/>
      <c r="BC878" s="150"/>
      <c r="BD878" s="150"/>
      <c r="BE878" s="150"/>
      <c r="BF878" s="150"/>
      <c r="BG878" s="150"/>
      <c r="BH878" s="150"/>
      <c r="BI878" s="150"/>
      <c r="BJ878" s="150"/>
      <c r="BK878" s="150"/>
      <c r="BL878" s="150"/>
      <c r="BM878" s="150"/>
      <c r="BN878" s="150"/>
      <c r="BO878" s="150"/>
      <c r="BP878" s="150"/>
      <c r="BQ878" s="150"/>
      <c r="BR878" s="150"/>
      <c r="BS878" s="150"/>
    </row>
    <row r="879" spans="1:71" s="55" customFormat="1" ht="24.95" customHeight="1">
      <c r="A879" s="454"/>
      <c r="B879" s="252" t="s">
        <v>410</v>
      </c>
      <c r="C879" s="252"/>
      <c r="D879" s="252"/>
      <c r="E879" s="252"/>
      <c r="F879" s="252"/>
      <c r="G879" s="74"/>
      <c r="H879" s="74"/>
      <c r="I879" s="74"/>
      <c r="J879" s="74"/>
      <c r="K879" s="74"/>
      <c r="L879" s="131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>
        <f>22000-8000+29550</f>
        <v>43550</v>
      </c>
      <c r="W879" s="132"/>
      <c r="X879" s="252"/>
      <c r="Y879" s="453"/>
      <c r="AT879" s="150"/>
      <c r="AU879" s="150"/>
      <c r="AV879" s="150"/>
      <c r="AW879" s="150"/>
      <c r="AX879" s="150"/>
      <c r="AY879" s="150"/>
      <c r="AZ879" s="150"/>
      <c r="BA879" s="150"/>
      <c r="BB879" s="150"/>
      <c r="BC879" s="150"/>
      <c r="BD879" s="150"/>
      <c r="BE879" s="150"/>
      <c r="BF879" s="150"/>
      <c r="BG879" s="150"/>
      <c r="BH879" s="150"/>
      <c r="BI879" s="150"/>
      <c r="BJ879" s="150"/>
      <c r="BK879" s="150"/>
      <c r="BL879" s="150"/>
      <c r="BM879" s="150"/>
      <c r="BN879" s="150"/>
      <c r="BO879" s="150"/>
      <c r="BP879" s="150"/>
      <c r="BQ879" s="150"/>
      <c r="BR879" s="150"/>
      <c r="BS879" s="150"/>
    </row>
    <row r="880" spans="1:71" s="55" customFormat="1" ht="24" customHeight="1">
      <c r="A880" s="452"/>
      <c r="B880" s="252" t="s">
        <v>428</v>
      </c>
      <c r="C880" s="252"/>
      <c r="D880" s="252"/>
      <c r="E880" s="252"/>
      <c r="F880" s="252"/>
      <c r="G880" s="74"/>
      <c r="H880" s="74"/>
      <c r="I880" s="74"/>
      <c r="J880" s="74"/>
      <c r="K880" s="74"/>
      <c r="L880" s="131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>
        <v>10000</v>
      </c>
      <c r="W880" s="132"/>
      <c r="X880" s="252"/>
      <c r="Y880" s="453"/>
      <c r="AT880" s="150"/>
      <c r="AU880" s="150"/>
      <c r="AV880" s="150"/>
      <c r="AW880" s="150"/>
      <c r="AX880" s="150"/>
      <c r="AY880" s="150"/>
      <c r="AZ880" s="150"/>
      <c r="BA880" s="150"/>
      <c r="BB880" s="150"/>
      <c r="BC880" s="150"/>
      <c r="BD880" s="150"/>
      <c r="BE880" s="150"/>
      <c r="BF880" s="150"/>
      <c r="BG880" s="150"/>
      <c r="BH880" s="150"/>
      <c r="BI880" s="150"/>
      <c r="BJ880" s="150"/>
      <c r="BK880" s="150"/>
      <c r="BL880" s="150"/>
      <c r="BM880" s="150"/>
      <c r="BN880" s="150"/>
      <c r="BO880" s="150"/>
      <c r="BP880" s="150"/>
      <c r="BQ880" s="150"/>
      <c r="BR880" s="150"/>
      <c r="BS880" s="150"/>
    </row>
    <row r="881" spans="1:71" s="55" customFormat="1" ht="24.95" customHeight="1">
      <c r="A881" s="455" t="s">
        <v>200</v>
      </c>
      <c r="B881" s="167" t="s">
        <v>89</v>
      </c>
      <c r="C881" s="167">
        <v>176</v>
      </c>
      <c r="D881" s="167" t="s">
        <v>15</v>
      </c>
      <c r="E881" s="167">
        <v>6100404</v>
      </c>
      <c r="F881" s="167">
        <v>244</v>
      </c>
      <c r="G881" s="74">
        <v>0</v>
      </c>
      <c r="H881" s="74">
        <v>0</v>
      </c>
      <c r="I881" s="74">
        <v>0</v>
      </c>
      <c r="J881" s="74">
        <v>0</v>
      </c>
      <c r="K881" s="74">
        <v>0</v>
      </c>
      <c r="L881" s="132">
        <v>0</v>
      </c>
      <c r="M881" s="132"/>
      <c r="N881" s="132"/>
      <c r="O881" s="132"/>
      <c r="P881" s="132"/>
      <c r="Q881" s="132">
        <v>7.8</v>
      </c>
      <c r="R881" s="132"/>
      <c r="S881" s="132"/>
      <c r="T881" s="132">
        <v>7.8</v>
      </c>
      <c r="U881" s="132"/>
      <c r="V881" s="132">
        <v>2</v>
      </c>
      <c r="W881" s="132"/>
      <c r="X881" s="167"/>
      <c r="Y881" s="453" t="s">
        <v>476</v>
      </c>
      <c r="AT881" s="150"/>
      <c r="AU881" s="150"/>
      <c r="AV881" s="150"/>
      <c r="AW881" s="150"/>
      <c r="AX881" s="150"/>
      <c r="AY881" s="150"/>
      <c r="AZ881" s="150"/>
      <c r="BA881" s="150"/>
      <c r="BB881" s="150"/>
      <c r="BC881" s="150"/>
      <c r="BD881" s="150"/>
      <c r="BE881" s="150"/>
      <c r="BF881" s="150"/>
      <c r="BG881" s="150"/>
      <c r="BH881" s="150"/>
      <c r="BI881" s="150"/>
      <c r="BJ881" s="150"/>
      <c r="BK881" s="150"/>
      <c r="BL881" s="150"/>
      <c r="BM881" s="150"/>
      <c r="BN881" s="150"/>
      <c r="BO881" s="150"/>
      <c r="BP881" s="150"/>
      <c r="BQ881" s="150"/>
      <c r="BR881" s="150"/>
      <c r="BS881" s="150"/>
    </row>
    <row r="882" spans="1:71" s="55" customFormat="1" ht="24.95" customHeight="1">
      <c r="A882" s="455"/>
      <c r="B882" s="167" t="s">
        <v>284</v>
      </c>
      <c r="C882" s="167"/>
      <c r="D882" s="167"/>
      <c r="E882" s="167"/>
      <c r="F882" s="167"/>
      <c r="G882" s="74"/>
      <c r="H882" s="74"/>
      <c r="I882" s="74"/>
      <c r="J882" s="74"/>
      <c r="K882" s="74"/>
      <c r="L882" s="132"/>
      <c r="M882" s="132"/>
      <c r="N882" s="132"/>
      <c r="O882" s="132"/>
      <c r="P882" s="132"/>
      <c r="Q882" s="132">
        <f>Q883+Q884</f>
        <v>52027.9</v>
      </c>
      <c r="R882" s="132">
        <f t="shared" ref="R882:U882" si="386">R883+R884</f>
        <v>0</v>
      </c>
      <c r="S882" s="132">
        <f t="shared" si="386"/>
        <v>15936.9</v>
      </c>
      <c r="T882" s="132">
        <f t="shared" si="386"/>
        <v>36091</v>
      </c>
      <c r="U882" s="132">
        <f t="shared" si="386"/>
        <v>0</v>
      </c>
      <c r="V882" s="132">
        <f>V883+V884</f>
        <v>22853.8</v>
      </c>
      <c r="W882" s="132">
        <f>W883+W884</f>
        <v>0</v>
      </c>
      <c r="X882" s="167"/>
      <c r="Y882" s="453"/>
      <c r="AT882" s="150"/>
      <c r="AU882" s="150"/>
      <c r="AV882" s="150"/>
      <c r="AW882" s="150"/>
      <c r="AX882" s="150"/>
      <c r="AY882" s="150"/>
      <c r="AZ882" s="150"/>
      <c r="BA882" s="150"/>
      <c r="BB882" s="150"/>
      <c r="BC882" s="150"/>
      <c r="BD882" s="150"/>
      <c r="BE882" s="150"/>
      <c r="BF882" s="150"/>
      <c r="BG882" s="150"/>
      <c r="BH882" s="150"/>
      <c r="BI882" s="150"/>
      <c r="BJ882" s="150"/>
      <c r="BK882" s="150"/>
      <c r="BL882" s="150"/>
      <c r="BM882" s="150"/>
      <c r="BN882" s="150"/>
      <c r="BO882" s="150"/>
      <c r="BP882" s="150"/>
      <c r="BQ882" s="150"/>
      <c r="BR882" s="150"/>
      <c r="BS882" s="150"/>
    </row>
    <row r="883" spans="1:71" s="55" customFormat="1" ht="24.95" customHeight="1">
      <c r="A883" s="455"/>
      <c r="B883" s="167" t="s">
        <v>410</v>
      </c>
      <c r="C883" s="167"/>
      <c r="D883" s="167"/>
      <c r="E883" s="167"/>
      <c r="F883" s="167"/>
      <c r="G883" s="74"/>
      <c r="H883" s="74"/>
      <c r="I883" s="74"/>
      <c r="J883" s="74"/>
      <c r="K883" s="74"/>
      <c r="L883" s="132"/>
      <c r="M883" s="132"/>
      <c r="N883" s="132"/>
      <c r="O883" s="132"/>
      <c r="P883" s="132"/>
      <c r="Q883" s="132">
        <f>S883+T883</f>
        <v>26719.9</v>
      </c>
      <c r="R883" s="132"/>
      <c r="S883" s="132">
        <v>1620</v>
      </c>
      <c r="T883" s="132">
        <f>29680-567.7-1248.8-2763.6</f>
        <v>25099.9</v>
      </c>
      <c r="U883" s="132"/>
      <c r="V883" s="132">
        <f>11853.8-9000</f>
        <v>2853.7999999999993</v>
      </c>
      <c r="W883" s="132"/>
      <c r="X883" s="167"/>
      <c r="Y883" s="453"/>
      <c r="AT883" s="150"/>
      <c r="AU883" s="150"/>
      <c r="AV883" s="150"/>
      <c r="AW883" s="150"/>
      <c r="AX883" s="150"/>
      <c r="AY883" s="150"/>
      <c r="AZ883" s="150"/>
      <c r="BA883" s="150"/>
      <c r="BB883" s="150"/>
      <c r="BC883" s="150"/>
      <c r="BD883" s="150"/>
      <c r="BE883" s="150"/>
      <c r="BF883" s="150"/>
      <c r="BG883" s="150"/>
      <c r="BH883" s="150"/>
      <c r="BI883" s="150"/>
      <c r="BJ883" s="150"/>
      <c r="BK883" s="150"/>
      <c r="BL883" s="150"/>
      <c r="BM883" s="150"/>
      <c r="BN883" s="150"/>
      <c r="BO883" s="150"/>
      <c r="BP883" s="150"/>
      <c r="BQ883" s="150"/>
      <c r="BR883" s="150"/>
      <c r="BS883" s="150"/>
    </row>
    <row r="884" spans="1:71" ht="24.75" customHeight="1">
      <c r="A884" s="455"/>
      <c r="B884" s="167" t="s">
        <v>428</v>
      </c>
      <c r="C884" s="167"/>
      <c r="D884" s="167"/>
      <c r="E884" s="167"/>
      <c r="F884" s="167"/>
      <c r="G884" s="74"/>
      <c r="H884" s="74"/>
      <c r="I884" s="74"/>
      <c r="J884" s="74"/>
      <c r="K884" s="74"/>
      <c r="L884" s="132"/>
      <c r="M884" s="132"/>
      <c r="N884" s="132"/>
      <c r="O884" s="132"/>
      <c r="P884" s="132"/>
      <c r="Q884" s="132">
        <f>S884+T884</f>
        <v>25308</v>
      </c>
      <c r="R884" s="132"/>
      <c r="S884" s="132">
        <v>14316.9</v>
      </c>
      <c r="T884" s="132">
        <f>13743.1-2752</f>
        <v>10991.1</v>
      </c>
      <c r="U884" s="132"/>
      <c r="V884" s="132">
        <f>28050-8050</f>
        <v>20000</v>
      </c>
      <c r="W884" s="132"/>
      <c r="X884" s="167"/>
      <c r="Y884" s="453"/>
    </row>
    <row r="885" spans="1:71" ht="24.95" hidden="1" customHeight="1">
      <c r="A885" s="461" t="s">
        <v>104</v>
      </c>
      <c r="B885" s="82" t="s">
        <v>89</v>
      </c>
      <c r="C885" s="82"/>
      <c r="D885" s="82"/>
      <c r="E885" s="82"/>
      <c r="F885" s="82"/>
      <c r="G885" s="80">
        <f>G887</f>
        <v>0</v>
      </c>
      <c r="H885" s="80">
        <f t="shared" ref="H885:W886" si="387">H887</f>
        <v>0</v>
      </c>
      <c r="I885" s="80">
        <f t="shared" si="387"/>
        <v>0</v>
      </c>
      <c r="J885" s="80">
        <f t="shared" si="387"/>
        <v>0</v>
      </c>
      <c r="K885" s="80">
        <f t="shared" si="387"/>
        <v>0</v>
      </c>
      <c r="L885" s="131">
        <f t="shared" si="387"/>
        <v>8.6</v>
      </c>
      <c r="M885" s="131">
        <f t="shared" si="387"/>
        <v>0</v>
      </c>
      <c r="N885" s="131">
        <f t="shared" si="387"/>
        <v>8.6</v>
      </c>
      <c r="O885" s="131">
        <f t="shared" si="387"/>
        <v>0</v>
      </c>
      <c r="P885" s="131">
        <f t="shared" si="387"/>
        <v>0</v>
      </c>
      <c r="Q885" s="131">
        <f t="shared" si="387"/>
        <v>0</v>
      </c>
      <c r="R885" s="131"/>
      <c r="S885" s="131"/>
      <c r="T885" s="131"/>
      <c r="U885" s="131"/>
      <c r="V885" s="131">
        <f t="shared" si="387"/>
        <v>0</v>
      </c>
      <c r="W885" s="131">
        <f t="shared" si="387"/>
        <v>0</v>
      </c>
      <c r="X885" s="167"/>
      <c r="Y885" s="82"/>
    </row>
    <row r="886" spans="1:71" s="55" customFormat="1" ht="24.95" hidden="1" customHeight="1">
      <c r="A886" s="461"/>
      <c r="B886" s="82" t="s">
        <v>284</v>
      </c>
      <c r="C886" s="82"/>
      <c r="D886" s="82"/>
      <c r="E886" s="82"/>
      <c r="F886" s="82"/>
      <c r="G886" s="80">
        <f>G888</f>
        <v>0</v>
      </c>
      <c r="H886" s="80">
        <f t="shared" si="387"/>
        <v>0</v>
      </c>
      <c r="I886" s="80">
        <f t="shared" si="387"/>
        <v>0</v>
      </c>
      <c r="J886" s="80">
        <f t="shared" si="387"/>
        <v>0</v>
      </c>
      <c r="K886" s="80">
        <f t="shared" si="387"/>
        <v>0</v>
      </c>
      <c r="L886" s="131">
        <f t="shared" si="387"/>
        <v>18527.400000000001</v>
      </c>
      <c r="M886" s="131">
        <f t="shared" si="387"/>
        <v>0</v>
      </c>
      <c r="N886" s="131">
        <f t="shared" si="387"/>
        <v>18527.400000000001</v>
      </c>
      <c r="O886" s="131">
        <f t="shared" si="387"/>
        <v>0</v>
      </c>
      <c r="P886" s="131">
        <f t="shared" si="387"/>
        <v>0</v>
      </c>
      <c r="Q886" s="131">
        <f t="shared" si="387"/>
        <v>0</v>
      </c>
      <c r="R886" s="131"/>
      <c r="S886" s="131"/>
      <c r="T886" s="131"/>
      <c r="U886" s="131"/>
      <c r="V886" s="131">
        <f t="shared" si="387"/>
        <v>0</v>
      </c>
      <c r="W886" s="131">
        <f t="shared" si="387"/>
        <v>0</v>
      </c>
      <c r="X886" s="167"/>
      <c r="Y886" s="82"/>
      <c r="AT886" s="150"/>
      <c r="AU886" s="150"/>
      <c r="AV886" s="150"/>
      <c r="AW886" s="150"/>
      <c r="AX886" s="150"/>
      <c r="AY886" s="150"/>
      <c r="AZ886" s="150"/>
      <c r="BA886" s="150"/>
      <c r="BB886" s="150"/>
      <c r="BC886" s="150"/>
      <c r="BD886" s="150"/>
      <c r="BE886" s="150"/>
      <c r="BF886" s="150"/>
      <c r="BG886" s="150"/>
      <c r="BH886" s="150"/>
      <c r="BI886" s="150"/>
      <c r="BJ886" s="150"/>
      <c r="BK886" s="150"/>
      <c r="BL886" s="150"/>
      <c r="BM886" s="150"/>
      <c r="BN886" s="150"/>
      <c r="BO886" s="150"/>
      <c r="BP886" s="150"/>
      <c r="BQ886" s="150"/>
      <c r="BR886" s="150"/>
      <c r="BS886" s="150"/>
    </row>
    <row r="887" spans="1:71" s="55" customFormat="1" ht="24.95" hidden="1" customHeight="1">
      <c r="A887" s="455" t="s">
        <v>175</v>
      </c>
      <c r="B887" s="167" t="s">
        <v>89</v>
      </c>
      <c r="C887" s="167">
        <v>176</v>
      </c>
      <c r="D887" s="167" t="s">
        <v>15</v>
      </c>
      <c r="E887" s="167">
        <v>6100404</v>
      </c>
      <c r="F887" s="167">
        <v>244</v>
      </c>
      <c r="G887" s="74">
        <v>0</v>
      </c>
      <c r="H887" s="74">
        <v>0</v>
      </c>
      <c r="I887" s="74">
        <v>0</v>
      </c>
      <c r="J887" s="74">
        <v>0</v>
      </c>
      <c r="K887" s="74">
        <v>0</v>
      </c>
      <c r="L887" s="132">
        <v>8.6</v>
      </c>
      <c r="M887" s="132"/>
      <c r="N887" s="132">
        <v>8.6</v>
      </c>
      <c r="O887" s="132"/>
      <c r="P887" s="132"/>
      <c r="Q887" s="132"/>
      <c r="R887" s="132"/>
      <c r="S887" s="132"/>
      <c r="T887" s="132"/>
      <c r="U887" s="132"/>
      <c r="V887" s="132"/>
      <c r="W887" s="132"/>
      <c r="X887" s="167"/>
      <c r="Y887" s="453" t="s">
        <v>597</v>
      </c>
      <c r="AT887" s="150"/>
      <c r="AU887" s="150"/>
      <c r="AV887" s="150"/>
      <c r="AW887" s="150"/>
      <c r="AX887" s="150"/>
      <c r="AY887" s="150"/>
      <c r="AZ887" s="150"/>
      <c r="BA887" s="150"/>
      <c r="BB887" s="150"/>
      <c r="BC887" s="150"/>
      <c r="BD887" s="150"/>
      <c r="BE887" s="150"/>
      <c r="BF887" s="150"/>
      <c r="BG887" s="150"/>
      <c r="BH887" s="150"/>
      <c r="BI887" s="150"/>
      <c r="BJ887" s="150"/>
      <c r="BK887" s="150"/>
      <c r="BL887" s="150"/>
      <c r="BM887" s="150"/>
      <c r="BN887" s="150"/>
      <c r="BO887" s="150"/>
      <c r="BP887" s="150"/>
      <c r="BQ887" s="150"/>
      <c r="BR887" s="150"/>
      <c r="BS887" s="150"/>
    </row>
    <row r="888" spans="1:71" ht="24.95" hidden="1" customHeight="1">
      <c r="A888" s="455"/>
      <c r="B888" s="167" t="s">
        <v>284</v>
      </c>
      <c r="C888" s="167"/>
      <c r="D888" s="167"/>
      <c r="E888" s="167"/>
      <c r="F888" s="167"/>
      <c r="G888" s="74"/>
      <c r="H888" s="74"/>
      <c r="I888" s="74"/>
      <c r="J888" s="74"/>
      <c r="K888" s="74"/>
      <c r="L888" s="132">
        <v>18527.400000000001</v>
      </c>
      <c r="M888" s="132"/>
      <c r="N888" s="132">
        <v>18527.400000000001</v>
      </c>
      <c r="O888" s="132"/>
      <c r="P888" s="132"/>
      <c r="Q888" s="132"/>
      <c r="R888" s="132"/>
      <c r="S888" s="132"/>
      <c r="T888" s="132"/>
      <c r="U888" s="132"/>
      <c r="V888" s="132"/>
      <c r="W888" s="132"/>
      <c r="X888" s="167"/>
      <c r="Y888" s="453"/>
    </row>
    <row r="889" spans="1:71" ht="24.6" customHeight="1">
      <c r="A889" s="461" t="s">
        <v>176</v>
      </c>
      <c r="B889" s="82" t="s">
        <v>89</v>
      </c>
      <c r="C889" s="82"/>
      <c r="D889" s="82"/>
      <c r="E889" s="82"/>
      <c r="F889" s="82"/>
      <c r="G889" s="80">
        <f>G891</f>
        <v>0</v>
      </c>
      <c r="H889" s="80">
        <f t="shared" ref="H889:V890" si="388">H891</f>
        <v>0</v>
      </c>
      <c r="I889" s="80">
        <f t="shared" si="388"/>
        <v>0</v>
      </c>
      <c r="J889" s="80">
        <f t="shared" si="388"/>
        <v>0</v>
      </c>
      <c r="K889" s="80">
        <f t="shared" si="388"/>
        <v>0</v>
      </c>
      <c r="L889" s="131">
        <f t="shared" si="388"/>
        <v>8</v>
      </c>
      <c r="M889" s="131">
        <f t="shared" si="388"/>
        <v>0</v>
      </c>
      <c r="N889" s="131">
        <f t="shared" si="388"/>
        <v>0</v>
      </c>
      <c r="O889" s="131">
        <f t="shared" si="388"/>
        <v>8</v>
      </c>
      <c r="P889" s="131">
        <f t="shared" si="388"/>
        <v>0</v>
      </c>
      <c r="Q889" s="131">
        <f t="shared" si="388"/>
        <v>1.44</v>
      </c>
      <c r="R889" s="131">
        <f t="shared" si="388"/>
        <v>0</v>
      </c>
      <c r="S889" s="131">
        <f t="shared" si="388"/>
        <v>0</v>
      </c>
      <c r="T889" s="131">
        <f t="shared" si="388"/>
        <v>1.44</v>
      </c>
      <c r="U889" s="131"/>
      <c r="V889" s="131">
        <f t="shared" si="388"/>
        <v>0</v>
      </c>
      <c r="W889" s="131"/>
      <c r="X889" s="167"/>
      <c r="Y889" s="82"/>
    </row>
    <row r="890" spans="1:71" s="55" customFormat="1" ht="24.6" customHeight="1">
      <c r="A890" s="461"/>
      <c r="B890" s="82" t="s">
        <v>284</v>
      </c>
      <c r="C890" s="82"/>
      <c r="D890" s="82"/>
      <c r="E890" s="82"/>
      <c r="F890" s="82"/>
      <c r="G890" s="80">
        <f>G892</f>
        <v>0</v>
      </c>
      <c r="H890" s="80">
        <f t="shared" si="388"/>
        <v>0</v>
      </c>
      <c r="I890" s="80">
        <f t="shared" si="388"/>
        <v>0</v>
      </c>
      <c r="J890" s="80">
        <f t="shared" si="388"/>
        <v>0</v>
      </c>
      <c r="K890" s="80">
        <f t="shared" si="388"/>
        <v>0</v>
      </c>
      <c r="L890" s="131">
        <f t="shared" si="388"/>
        <v>17020.2</v>
      </c>
      <c r="M890" s="131">
        <f t="shared" si="388"/>
        <v>0</v>
      </c>
      <c r="N890" s="131">
        <f t="shared" si="388"/>
        <v>0</v>
      </c>
      <c r="O890" s="131">
        <f t="shared" si="388"/>
        <v>17020.2</v>
      </c>
      <c r="P890" s="131">
        <f t="shared" si="388"/>
        <v>0</v>
      </c>
      <c r="Q890" s="131">
        <f t="shared" si="388"/>
        <v>19299.8</v>
      </c>
      <c r="R890" s="131">
        <f t="shared" si="388"/>
        <v>0</v>
      </c>
      <c r="S890" s="131">
        <f t="shared" si="388"/>
        <v>0</v>
      </c>
      <c r="T890" s="131">
        <f t="shared" si="388"/>
        <v>19299.8</v>
      </c>
      <c r="U890" s="131"/>
      <c r="V890" s="131">
        <f t="shared" si="388"/>
        <v>0</v>
      </c>
      <c r="W890" s="131"/>
      <c r="X890" s="167"/>
      <c r="Y890" s="82"/>
      <c r="AT890" s="150"/>
      <c r="AU890" s="150"/>
      <c r="AV890" s="150"/>
      <c r="AW890" s="150"/>
      <c r="AX890" s="150"/>
      <c r="AY890" s="150"/>
      <c r="AZ890" s="150"/>
      <c r="BA890" s="150"/>
      <c r="BB890" s="150"/>
      <c r="BC890" s="150"/>
      <c r="BD890" s="150"/>
      <c r="BE890" s="150"/>
      <c r="BF890" s="150"/>
      <c r="BG890" s="150"/>
      <c r="BH890" s="150"/>
      <c r="BI890" s="150"/>
      <c r="BJ890" s="150"/>
      <c r="BK890" s="150"/>
      <c r="BL890" s="150"/>
      <c r="BM890" s="150"/>
      <c r="BN890" s="150"/>
      <c r="BO890" s="150"/>
      <c r="BP890" s="150"/>
      <c r="BQ890" s="150"/>
      <c r="BR890" s="150"/>
      <c r="BS890" s="150"/>
    </row>
    <row r="891" spans="1:71" s="55" customFormat="1" ht="24" customHeight="1">
      <c r="A891" s="455" t="s">
        <v>169</v>
      </c>
      <c r="B891" s="167" t="s">
        <v>89</v>
      </c>
      <c r="C891" s="167">
        <v>176</v>
      </c>
      <c r="D891" s="167" t="s">
        <v>15</v>
      </c>
      <c r="E891" s="167">
        <v>6100404</v>
      </c>
      <c r="F891" s="167">
        <v>244</v>
      </c>
      <c r="G891" s="74">
        <v>0</v>
      </c>
      <c r="H891" s="74">
        <v>0</v>
      </c>
      <c r="I891" s="74">
        <v>0</v>
      </c>
      <c r="J891" s="74">
        <v>0</v>
      </c>
      <c r="K891" s="74">
        <v>0</v>
      </c>
      <c r="L891" s="132">
        <v>8</v>
      </c>
      <c r="M891" s="132"/>
      <c r="N891" s="132"/>
      <c r="O891" s="132">
        <v>8</v>
      </c>
      <c r="P891" s="132"/>
      <c r="Q891" s="132">
        <f>T891</f>
        <v>1.44</v>
      </c>
      <c r="R891" s="132"/>
      <c r="S891" s="132"/>
      <c r="T891" s="132">
        <v>1.44</v>
      </c>
      <c r="U891" s="132"/>
      <c r="V891" s="132"/>
      <c r="W891" s="132"/>
      <c r="X891" s="167"/>
      <c r="Y891" s="453" t="s">
        <v>586</v>
      </c>
      <c r="AT891" s="150"/>
      <c r="AU891" s="150"/>
      <c r="AV891" s="150"/>
      <c r="AW891" s="150"/>
      <c r="AX891" s="150"/>
      <c r="AY891" s="150"/>
      <c r="AZ891" s="150"/>
      <c r="BA891" s="150"/>
      <c r="BB891" s="150"/>
      <c r="BC891" s="150"/>
      <c r="BD891" s="150"/>
      <c r="BE891" s="150"/>
      <c r="BF891" s="150"/>
      <c r="BG891" s="150"/>
      <c r="BH891" s="150"/>
      <c r="BI891" s="150"/>
      <c r="BJ891" s="150"/>
      <c r="BK891" s="150"/>
      <c r="BL891" s="150"/>
      <c r="BM891" s="150"/>
      <c r="BN891" s="150"/>
      <c r="BO891" s="150"/>
      <c r="BP891" s="150"/>
      <c r="BQ891" s="150"/>
      <c r="BR891" s="150"/>
      <c r="BS891" s="150"/>
    </row>
    <row r="892" spans="1:71" ht="24.6" customHeight="1">
      <c r="A892" s="455"/>
      <c r="B892" s="167" t="s">
        <v>284</v>
      </c>
      <c r="C892" s="167"/>
      <c r="D892" s="167"/>
      <c r="E892" s="167"/>
      <c r="F892" s="167"/>
      <c r="G892" s="74"/>
      <c r="H892" s="74"/>
      <c r="I892" s="74"/>
      <c r="J892" s="74"/>
      <c r="K892" s="74"/>
      <c r="L892" s="132">
        <v>17020.2</v>
      </c>
      <c r="M892" s="132"/>
      <c r="N892" s="132"/>
      <c r="O892" s="132">
        <v>17020.2</v>
      </c>
      <c r="P892" s="132"/>
      <c r="Q892" s="132">
        <f>T892</f>
        <v>19299.8</v>
      </c>
      <c r="R892" s="132"/>
      <c r="S892" s="132"/>
      <c r="T892" s="132">
        <f>19635.3-335.5</f>
        <v>19299.8</v>
      </c>
      <c r="U892" s="132"/>
      <c r="V892" s="132"/>
      <c r="W892" s="132"/>
      <c r="X892" s="167"/>
      <c r="Y892" s="453"/>
    </row>
    <row r="893" spans="1:71" ht="24.6" customHeight="1">
      <c r="A893" s="461" t="s">
        <v>105</v>
      </c>
      <c r="B893" s="82" t="s">
        <v>89</v>
      </c>
      <c r="C893" s="82"/>
      <c r="D893" s="82"/>
      <c r="E893" s="82"/>
      <c r="F893" s="82"/>
      <c r="G893" s="80">
        <f>G895+G897</f>
        <v>0</v>
      </c>
      <c r="H893" s="80">
        <f t="shared" ref="H893:W894" si="389">H895+H897</f>
        <v>0</v>
      </c>
      <c r="I893" s="80">
        <f t="shared" si="389"/>
        <v>0</v>
      </c>
      <c r="J893" s="80">
        <f t="shared" si="389"/>
        <v>0</v>
      </c>
      <c r="K893" s="80">
        <f t="shared" si="389"/>
        <v>0</v>
      </c>
      <c r="L893" s="131">
        <f t="shared" si="389"/>
        <v>0</v>
      </c>
      <c r="M893" s="131"/>
      <c r="N893" s="131"/>
      <c r="O893" s="131"/>
      <c r="P893" s="131"/>
      <c r="Q893" s="131">
        <f t="shared" si="389"/>
        <v>0</v>
      </c>
      <c r="R893" s="131"/>
      <c r="S893" s="131"/>
      <c r="T893" s="131"/>
      <c r="U893" s="131"/>
      <c r="V893" s="131">
        <f t="shared" si="389"/>
        <v>1</v>
      </c>
      <c r="W893" s="131">
        <f t="shared" si="389"/>
        <v>0</v>
      </c>
      <c r="X893" s="167"/>
      <c r="Y893" s="82"/>
    </row>
    <row r="894" spans="1:71" ht="24.95" customHeight="1">
      <c r="A894" s="461"/>
      <c r="B894" s="82" t="s">
        <v>284</v>
      </c>
      <c r="C894" s="82"/>
      <c r="D894" s="82"/>
      <c r="E894" s="82"/>
      <c r="F894" s="82"/>
      <c r="G894" s="80">
        <f>G896+G898</f>
        <v>5975.1</v>
      </c>
      <c r="H894" s="80">
        <f t="shared" si="389"/>
        <v>5975.1</v>
      </c>
      <c r="I894" s="80">
        <f t="shared" si="389"/>
        <v>0</v>
      </c>
      <c r="J894" s="80">
        <f t="shared" si="389"/>
        <v>0</v>
      </c>
      <c r="K894" s="80">
        <f t="shared" si="389"/>
        <v>0</v>
      </c>
      <c r="L894" s="131">
        <f t="shared" si="389"/>
        <v>0</v>
      </c>
      <c r="M894" s="131"/>
      <c r="N894" s="131"/>
      <c r="O894" s="131"/>
      <c r="P894" s="131"/>
      <c r="Q894" s="131">
        <f t="shared" si="389"/>
        <v>0</v>
      </c>
      <c r="R894" s="131"/>
      <c r="S894" s="131"/>
      <c r="T894" s="131"/>
      <c r="U894" s="131"/>
      <c r="V894" s="131">
        <f t="shared" si="389"/>
        <v>7330.9</v>
      </c>
      <c r="W894" s="131">
        <f t="shared" si="389"/>
        <v>0</v>
      </c>
      <c r="X894" s="167"/>
      <c r="Y894" s="82"/>
    </row>
    <row r="895" spans="1:71" ht="24.95" hidden="1" customHeight="1">
      <c r="A895" s="455" t="s">
        <v>177</v>
      </c>
      <c r="B895" s="167" t="s">
        <v>89</v>
      </c>
      <c r="C895" s="167">
        <v>176</v>
      </c>
      <c r="D895" s="167" t="s">
        <v>15</v>
      </c>
      <c r="E895" s="167">
        <v>6100404</v>
      </c>
      <c r="F895" s="167">
        <v>244</v>
      </c>
      <c r="G895" s="74"/>
      <c r="H895" s="74"/>
      <c r="I895" s="74">
        <v>0</v>
      </c>
      <c r="J895" s="74"/>
      <c r="K895" s="74">
        <v>0</v>
      </c>
      <c r="L895" s="132">
        <v>0</v>
      </c>
      <c r="M895" s="132"/>
      <c r="N895" s="132"/>
      <c r="O895" s="132"/>
      <c r="P895" s="132"/>
      <c r="Q895" s="132">
        <v>0</v>
      </c>
      <c r="R895" s="132"/>
      <c r="S895" s="132"/>
      <c r="T895" s="132"/>
      <c r="U895" s="132"/>
      <c r="V895" s="132"/>
      <c r="W895" s="132"/>
      <c r="X895" s="167"/>
      <c r="Y895" s="453" t="s">
        <v>243</v>
      </c>
    </row>
    <row r="896" spans="1:71" s="55" customFormat="1" ht="24.95" hidden="1" customHeight="1">
      <c r="A896" s="455"/>
      <c r="B896" s="167" t="s">
        <v>284</v>
      </c>
      <c r="C896" s="167"/>
      <c r="D896" s="167"/>
      <c r="E896" s="167"/>
      <c r="F896" s="167"/>
      <c r="G896" s="74">
        <f>SUM(H896:K896)</f>
        <v>5975.1</v>
      </c>
      <c r="H896" s="74">
        <v>5975.1</v>
      </c>
      <c r="I896" s="74"/>
      <c r="J896" s="74"/>
      <c r="K896" s="74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67"/>
      <c r="Y896" s="453"/>
      <c r="AT896" s="150"/>
      <c r="AU896" s="150"/>
      <c r="AV896" s="150"/>
      <c r="AW896" s="150"/>
      <c r="AX896" s="150"/>
      <c r="AY896" s="150"/>
      <c r="AZ896" s="150"/>
      <c r="BA896" s="150"/>
      <c r="BB896" s="150"/>
      <c r="BC896" s="150"/>
      <c r="BD896" s="150"/>
      <c r="BE896" s="150"/>
      <c r="BF896" s="150"/>
      <c r="BG896" s="150"/>
      <c r="BH896" s="150"/>
      <c r="BI896" s="150"/>
      <c r="BJ896" s="150"/>
      <c r="BK896" s="150"/>
      <c r="BL896" s="150"/>
      <c r="BM896" s="150"/>
      <c r="BN896" s="150"/>
      <c r="BO896" s="150"/>
      <c r="BP896" s="150"/>
      <c r="BQ896" s="150"/>
      <c r="BR896" s="150"/>
      <c r="BS896" s="150"/>
    </row>
    <row r="897" spans="1:71" s="55" customFormat="1" ht="24.95" customHeight="1">
      <c r="A897" s="455" t="s">
        <v>201</v>
      </c>
      <c r="B897" s="167" t="s">
        <v>89</v>
      </c>
      <c r="C897" s="167">
        <v>176</v>
      </c>
      <c r="D897" s="167" t="s">
        <v>15</v>
      </c>
      <c r="E897" s="167">
        <v>6100404</v>
      </c>
      <c r="F897" s="167">
        <v>244</v>
      </c>
      <c r="G897" s="74">
        <v>0</v>
      </c>
      <c r="H897" s="74">
        <v>0</v>
      </c>
      <c r="I897" s="74">
        <v>0</v>
      </c>
      <c r="J897" s="74">
        <v>0</v>
      </c>
      <c r="K897" s="74">
        <v>0</v>
      </c>
      <c r="L897" s="132">
        <v>0</v>
      </c>
      <c r="M897" s="132"/>
      <c r="N897" s="132"/>
      <c r="O897" s="132"/>
      <c r="P897" s="132"/>
      <c r="Q897" s="132">
        <v>0</v>
      </c>
      <c r="R897" s="132"/>
      <c r="S897" s="132"/>
      <c r="T897" s="132"/>
      <c r="U897" s="132"/>
      <c r="V897" s="132">
        <v>1</v>
      </c>
      <c r="W897" s="132"/>
      <c r="X897" s="167"/>
      <c r="Y897" s="453" t="s">
        <v>40</v>
      </c>
      <c r="AT897" s="150"/>
      <c r="AU897" s="150"/>
      <c r="AV897" s="150"/>
      <c r="AW897" s="150"/>
      <c r="AX897" s="150"/>
      <c r="AY897" s="150"/>
      <c r="AZ897" s="150"/>
      <c r="BA897" s="150"/>
      <c r="BB897" s="150"/>
      <c r="BC897" s="150"/>
      <c r="BD897" s="150"/>
      <c r="BE897" s="150"/>
      <c r="BF897" s="150"/>
      <c r="BG897" s="150"/>
      <c r="BH897" s="150"/>
      <c r="BI897" s="150"/>
      <c r="BJ897" s="150"/>
      <c r="BK897" s="150"/>
      <c r="BL897" s="150"/>
      <c r="BM897" s="150"/>
      <c r="BN897" s="150"/>
      <c r="BO897" s="150"/>
      <c r="BP897" s="150"/>
      <c r="BQ897" s="150"/>
      <c r="BR897" s="150"/>
      <c r="BS897" s="150"/>
    </row>
    <row r="898" spans="1:71" ht="24.95" customHeight="1">
      <c r="A898" s="455"/>
      <c r="B898" s="167" t="s">
        <v>284</v>
      </c>
      <c r="C898" s="167"/>
      <c r="D898" s="167"/>
      <c r="E898" s="167"/>
      <c r="F898" s="167"/>
      <c r="G898" s="74"/>
      <c r="H898" s="74"/>
      <c r="I898" s="74"/>
      <c r="J898" s="74"/>
      <c r="K898" s="74"/>
      <c r="L898" s="132"/>
      <c r="M898" s="132"/>
      <c r="N898" s="132"/>
      <c r="O898" s="132"/>
      <c r="P898" s="132"/>
      <c r="Q898" s="132"/>
      <c r="R898" s="132"/>
      <c r="S898" s="132"/>
      <c r="T898" s="132"/>
      <c r="U898" s="132"/>
      <c r="V898" s="132">
        <v>7330.9</v>
      </c>
      <c r="W898" s="132"/>
      <c r="X898" s="167"/>
      <c r="Y898" s="453"/>
    </row>
    <row r="899" spans="1:71" ht="24.95" customHeight="1">
      <c r="A899" s="410" t="s">
        <v>140</v>
      </c>
      <c r="B899" s="82" t="s">
        <v>89</v>
      </c>
      <c r="C899" s="82"/>
      <c r="D899" s="82"/>
      <c r="E899" s="82"/>
      <c r="F899" s="82"/>
      <c r="G899" s="80">
        <f t="shared" ref="G899:O899" si="390">G903+G905+G907+G913</f>
        <v>0</v>
      </c>
      <c r="H899" s="80">
        <f t="shared" si="390"/>
        <v>0</v>
      </c>
      <c r="I899" s="80">
        <f t="shared" si="390"/>
        <v>0</v>
      </c>
      <c r="J899" s="80">
        <f t="shared" si="390"/>
        <v>0</v>
      </c>
      <c r="K899" s="80">
        <f t="shared" si="390"/>
        <v>0</v>
      </c>
      <c r="L899" s="131">
        <f t="shared" si="390"/>
        <v>27.15</v>
      </c>
      <c r="M899" s="131">
        <f t="shared" si="390"/>
        <v>25</v>
      </c>
      <c r="N899" s="131">
        <f t="shared" si="390"/>
        <v>0</v>
      </c>
      <c r="O899" s="131">
        <f t="shared" si="390"/>
        <v>2.15</v>
      </c>
      <c r="P899" s="131"/>
      <c r="Q899" s="131">
        <f>Q903+Q905</f>
        <v>5.516</v>
      </c>
      <c r="R899" s="131">
        <f t="shared" ref="R899:U899" si="391">R903+R905+R907+R909</f>
        <v>0</v>
      </c>
      <c r="S899" s="131">
        <f t="shared" si="391"/>
        <v>0</v>
      </c>
      <c r="T899" s="131">
        <f t="shared" si="391"/>
        <v>5.516</v>
      </c>
      <c r="U899" s="131">
        <f t="shared" si="391"/>
        <v>0</v>
      </c>
      <c r="V899" s="131">
        <f t="shared" ref="V899:W899" si="392">V903+V905+V907+V909+V913</f>
        <v>0</v>
      </c>
      <c r="W899" s="131">
        <f t="shared" si="392"/>
        <v>0</v>
      </c>
      <c r="X899" s="167"/>
      <c r="Y899" s="82"/>
    </row>
    <row r="900" spans="1:71" ht="24.95" customHeight="1">
      <c r="A900" s="411"/>
      <c r="B900" s="82" t="s">
        <v>413</v>
      </c>
      <c r="C900" s="82"/>
      <c r="D900" s="82"/>
      <c r="E900" s="82"/>
      <c r="F900" s="82"/>
      <c r="G900" s="80"/>
      <c r="H900" s="80"/>
      <c r="I900" s="80"/>
      <c r="J900" s="80"/>
      <c r="K900" s="80"/>
      <c r="L900" s="131"/>
      <c r="M900" s="131"/>
      <c r="N900" s="131"/>
      <c r="O900" s="131"/>
      <c r="P900" s="131"/>
      <c r="Q900" s="131">
        <f>Q901+Q902</f>
        <v>33946.400000000001</v>
      </c>
      <c r="R900" s="131">
        <f t="shared" ref="R900:U900" si="393">R901+R902</f>
        <v>0</v>
      </c>
      <c r="S900" s="131">
        <f t="shared" si="393"/>
        <v>0</v>
      </c>
      <c r="T900" s="131">
        <f t="shared" si="393"/>
        <v>33946.400000000001</v>
      </c>
      <c r="U900" s="131">
        <f t="shared" si="393"/>
        <v>0</v>
      </c>
      <c r="V900" s="131">
        <f t="shared" ref="V900:W900" si="394">V901+V902</f>
        <v>0</v>
      </c>
      <c r="W900" s="131">
        <f t="shared" si="394"/>
        <v>0</v>
      </c>
      <c r="X900" s="167"/>
      <c r="Y900" s="82"/>
    </row>
    <row r="901" spans="1:71" ht="24.95" customHeight="1">
      <c r="A901" s="411"/>
      <c r="B901" s="82" t="s">
        <v>410</v>
      </c>
      <c r="C901" s="82"/>
      <c r="D901" s="82"/>
      <c r="E901" s="82"/>
      <c r="F901" s="82"/>
      <c r="G901" s="80"/>
      <c r="H901" s="80"/>
      <c r="I901" s="80"/>
      <c r="J901" s="80"/>
      <c r="K901" s="80"/>
      <c r="L901" s="131"/>
      <c r="M901" s="131"/>
      <c r="N901" s="131"/>
      <c r="O901" s="131"/>
      <c r="P901" s="131"/>
      <c r="Q901" s="131">
        <f>Q904+Q906+Q908+Q911+Q914</f>
        <v>33946.400000000001</v>
      </c>
      <c r="R901" s="131">
        <f t="shared" ref="R901:U901" si="395">R904+R906+R908+R911+R914</f>
        <v>0</v>
      </c>
      <c r="S901" s="131">
        <f t="shared" si="395"/>
        <v>0</v>
      </c>
      <c r="T901" s="131">
        <f t="shared" si="395"/>
        <v>33946.400000000001</v>
      </c>
      <c r="U901" s="131">
        <f t="shared" si="395"/>
        <v>0</v>
      </c>
      <c r="V901" s="131">
        <f t="shared" ref="V901:W901" si="396">V904+V906+V908+V911+V914</f>
        <v>0</v>
      </c>
      <c r="W901" s="131">
        <f t="shared" si="396"/>
        <v>0</v>
      </c>
      <c r="X901" s="167"/>
      <c r="Y901" s="82"/>
    </row>
    <row r="902" spans="1:71" ht="24.95" customHeight="1">
      <c r="A902" s="446"/>
      <c r="B902" s="82" t="s">
        <v>428</v>
      </c>
      <c r="C902" s="82"/>
      <c r="D902" s="82"/>
      <c r="E902" s="82"/>
      <c r="F902" s="82"/>
      <c r="G902" s="80">
        <f t="shared" ref="G902:O902" si="397">G904+G906+G908+G914</f>
        <v>0</v>
      </c>
      <c r="H902" s="80">
        <f t="shared" si="397"/>
        <v>0</v>
      </c>
      <c r="I902" s="80">
        <f t="shared" si="397"/>
        <v>0</v>
      </c>
      <c r="J902" s="80">
        <f t="shared" si="397"/>
        <v>0</v>
      </c>
      <c r="K902" s="80">
        <f t="shared" si="397"/>
        <v>0</v>
      </c>
      <c r="L902" s="131">
        <f t="shared" si="397"/>
        <v>68521.3</v>
      </c>
      <c r="M902" s="131">
        <f t="shared" si="397"/>
        <v>45521.3</v>
      </c>
      <c r="N902" s="131">
        <f t="shared" si="397"/>
        <v>0</v>
      </c>
      <c r="O902" s="131">
        <f t="shared" si="397"/>
        <v>23000</v>
      </c>
      <c r="P902" s="131">
        <f>P904+P906+P908+P914</f>
        <v>0</v>
      </c>
      <c r="Q902" s="131">
        <f>Q912</f>
        <v>0</v>
      </c>
      <c r="R902" s="131">
        <f t="shared" ref="R902:U902" si="398">R912</f>
        <v>0</v>
      </c>
      <c r="S902" s="131">
        <f t="shared" si="398"/>
        <v>0</v>
      </c>
      <c r="T902" s="131">
        <f t="shared" si="398"/>
        <v>0</v>
      </c>
      <c r="U902" s="131">
        <f t="shared" si="398"/>
        <v>0</v>
      </c>
      <c r="V902" s="131">
        <f t="shared" ref="V902:W902" si="399">V912</f>
        <v>0</v>
      </c>
      <c r="W902" s="131">
        <f t="shared" si="399"/>
        <v>0</v>
      </c>
      <c r="X902" s="167"/>
      <c r="Y902" s="82"/>
    </row>
    <row r="903" spans="1:71" ht="31.15" customHeight="1">
      <c r="A903" s="460" t="s">
        <v>535</v>
      </c>
      <c r="B903" s="167" t="s">
        <v>89</v>
      </c>
      <c r="C903" s="167">
        <v>176</v>
      </c>
      <c r="D903" s="167" t="s">
        <v>15</v>
      </c>
      <c r="E903" s="167">
        <v>6100404</v>
      </c>
      <c r="F903" s="167">
        <v>244</v>
      </c>
      <c r="G903" s="74">
        <v>0</v>
      </c>
      <c r="H903" s="74">
        <v>0</v>
      </c>
      <c r="I903" s="74">
        <v>0</v>
      </c>
      <c r="J903" s="74">
        <f>G903</f>
        <v>0</v>
      </c>
      <c r="K903" s="74">
        <v>0</v>
      </c>
      <c r="L903" s="132">
        <v>25</v>
      </c>
      <c r="M903" s="132">
        <v>25</v>
      </c>
      <c r="N903" s="132"/>
      <c r="O903" s="132"/>
      <c r="P903" s="132"/>
      <c r="Q903" s="132">
        <f>T903</f>
        <v>4.09</v>
      </c>
      <c r="R903" s="132"/>
      <c r="S903" s="132"/>
      <c r="T903" s="132">
        <v>4.09</v>
      </c>
      <c r="U903" s="132"/>
      <c r="V903" s="132"/>
      <c r="W903" s="132"/>
      <c r="X903" s="167"/>
      <c r="Y903" s="453" t="s">
        <v>550</v>
      </c>
    </row>
    <row r="904" spans="1:71" ht="27" customHeight="1">
      <c r="A904" s="460"/>
      <c r="B904" s="167" t="s">
        <v>284</v>
      </c>
      <c r="C904" s="167"/>
      <c r="D904" s="167"/>
      <c r="E904" s="167"/>
      <c r="F904" s="167"/>
      <c r="G904" s="74"/>
      <c r="H904" s="74"/>
      <c r="I904" s="74"/>
      <c r="J904" s="74"/>
      <c r="K904" s="74"/>
      <c r="L904" s="132">
        <f>45521.3</f>
        <v>45521.3</v>
      </c>
      <c r="M904" s="132">
        <f>$L$904</f>
        <v>45521.3</v>
      </c>
      <c r="N904" s="132"/>
      <c r="O904" s="132"/>
      <c r="P904" s="132"/>
      <c r="Q904" s="132">
        <f>T904</f>
        <v>28859.1</v>
      </c>
      <c r="R904" s="132"/>
      <c r="S904" s="132"/>
      <c r="T904" s="132">
        <f>30000-708-432.9</f>
        <v>28859.1</v>
      </c>
      <c r="U904" s="132"/>
      <c r="V904" s="132"/>
      <c r="W904" s="132"/>
      <c r="X904" s="167"/>
      <c r="Y904" s="453"/>
    </row>
    <row r="905" spans="1:71" ht="22.9" customHeight="1">
      <c r="A905" s="460" t="s">
        <v>202</v>
      </c>
      <c r="B905" s="167" t="s">
        <v>89</v>
      </c>
      <c r="C905" s="167">
        <v>176</v>
      </c>
      <c r="D905" s="167" t="s">
        <v>15</v>
      </c>
      <c r="E905" s="167">
        <v>6100404</v>
      </c>
      <c r="F905" s="167">
        <v>244</v>
      </c>
      <c r="G905" s="74">
        <v>0</v>
      </c>
      <c r="H905" s="74">
        <v>0</v>
      </c>
      <c r="I905" s="74"/>
      <c r="J905" s="74">
        <v>0</v>
      </c>
      <c r="K905" s="74">
        <v>0</v>
      </c>
      <c r="L905" s="132">
        <v>2.15</v>
      </c>
      <c r="M905" s="132"/>
      <c r="N905" s="132"/>
      <c r="O905" s="132">
        <v>2.15</v>
      </c>
      <c r="P905" s="132"/>
      <c r="Q905" s="132">
        <f>T905</f>
        <v>1.4259999999999999</v>
      </c>
      <c r="R905" s="132"/>
      <c r="S905" s="132"/>
      <c r="T905" s="132">
        <v>1.4259999999999999</v>
      </c>
      <c r="U905" s="132"/>
      <c r="V905" s="132"/>
      <c r="W905" s="132"/>
      <c r="X905" s="167"/>
      <c r="Y905" s="453" t="s">
        <v>551</v>
      </c>
    </row>
    <row r="906" spans="1:71" ht="24.6" customHeight="1">
      <c r="A906" s="460"/>
      <c r="B906" s="167" t="s">
        <v>284</v>
      </c>
      <c r="C906" s="167"/>
      <c r="D906" s="167"/>
      <c r="E906" s="167"/>
      <c r="F906" s="167"/>
      <c r="G906" s="74"/>
      <c r="H906" s="74"/>
      <c r="I906" s="74"/>
      <c r="J906" s="74"/>
      <c r="K906" s="74"/>
      <c r="L906" s="132">
        <v>23000</v>
      </c>
      <c r="M906" s="132"/>
      <c r="N906" s="132"/>
      <c r="O906" s="132">
        <v>23000</v>
      </c>
      <c r="P906" s="132"/>
      <c r="Q906" s="132">
        <f>T906</f>
        <v>5087.3000000000011</v>
      </c>
      <c r="R906" s="132"/>
      <c r="S906" s="132"/>
      <c r="T906" s="132">
        <f>31117.4-22760-3025.5-244.6</f>
        <v>5087.3000000000011</v>
      </c>
      <c r="U906" s="132"/>
      <c r="V906" s="132"/>
      <c r="W906" s="132"/>
      <c r="X906" s="167"/>
      <c r="Y906" s="453"/>
    </row>
    <row r="907" spans="1:71" ht="1.1499999999999999" hidden="1" customHeight="1">
      <c r="A907" s="464" t="s">
        <v>299</v>
      </c>
      <c r="B907" s="167" t="s">
        <v>89</v>
      </c>
      <c r="C907" s="167"/>
      <c r="D907" s="167"/>
      <c r="E907" s="167"/>
      <c r="F907" s="167"/>
      <c r="G907" s="74"/>
      <c r="H907" s="74"/>
      <c r="I907" s="74"/>
      <c r="J907" s="74"/>
      <c r="K907" s="74"/>
      <c r="L907" s="132"/>
      <c r="M907" s="132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67"/>
      <c r="Y907" s="453" t="s">
        <v>300</v>
      </c>
    </row>
    <row r="908" spans="1:71" s="55" customFormat="1" ht="24.6" hidden="1" customHeight="1">
      <c r="A908" s="464"/>
      <c r="B908" s="167" t="s">
        <v>284</v>
      </c>
      <c r="C908" s="167"/>
      <c r="D908" s="167"/>
      <c r="E908" s="167"/>
      <c r="F908" s="167"/>
      <c r="G908" s="74"/>
      <c r="H908" s="74"/>
      <c r="I908" s="74"/>
      <c r="J908" s="74"/>
      <c r="K908" s="74"/>
      <c r="L908" s="132"/>
      <c r="M908" s="132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67"/>
      <c r="Y908" s="453"/>
      <c r="AT908" s="150"/>
      <c r="AU908" s="150"/>
      <c r="AV908" s="150"/>
      <c r="AW908" s="150"/>
      <c r="AX908" s="150"/>
      <c r="AY908" s="150"/>
      <c r="AZ908" s="150"/>
      <c r="BA908" s="150"/>
      <c r="BB908" s="150"/>
      <c r="BC908" s="150"/>
      <c r="BD908" s="150"/>
      <c r="BE908" s="150"/>
      <c r="BF908" s="150"/>
      <c r="BG908" s="150"/>
      <c r="BH908" s="150"/>
      <c r="BI908" s="150"/>
      <c r="BJ908" s="150"/>
      <c r="BK908" s="150"/>
      <c r="BL908" s="150"/>
      <c r="BM908" s="150"/>
      <c r="BN908" s="150"/>
      <c r="BO908" s="150"/>
      <c r="BP908" s="150"/>
      <c r="BQ908" s="150"/>
      <c r="BR908" s="150"/>
      <c r="BS908" s="150"/>
    </row>
    <row r="909" spans="1:71" s="55" customFormat="1" ht="24.6" hidden="1" customHeight="1">
      <c r="A909" s="468" t="s">
        <v>301</v>
      </c>
      <c r="B909" s="167" t="s">
        <v>89</v>
      </c>
      <c r="C909" s="167"/>
      <c r="D909" s="167"/>
      <c r="E909" s="167"/>
      <c r="F909" s="167"/>
      <c r="G909" s="74"/>
      <c r="H909" s="74"/>
      <c r="I909" s="74"/>
      <c r="J909" s="74"/>
      <c r="K909" s="74"/>
      <c r="L909" s="132"/>
      <c r="M909" s="132"/>
      <c r="N909" s="132"/>
      <c r="O909" s="132"/>
      <c r="P909" s="132"/>
      <c r="Q909" s="191"/>
      <c r="R909" s="191"/>
      <c r="S909" s="191"/>
      <c r="T909" s="191"/>
      <c r="U909" s="191"/>
      <c r="V909" s="191"/>
      <c r="W909" s="191"/>
      <c r="X909" s="167"/>
      <c r="Y909" s="453" t="s">
        <v>478</v>
      </c>
      <c r="AT909" s="150"/>
      <c r="AU909" s="150"/>
      <c r="AV909" s="150"/>
      <c r="AW909" s="150"/>
      <c r="AX909" s="150"/>
      <c r="AY909" s="150"/>
      <c r="AZ909" s="150"/>
      <c r="BA909" s="150"/>
      <c r="BB909" s="150"/>
      <c r="BC909" s="150"/>
      <c r="BD909" s="150"/>
      <c r="BE909" s="150"/>
      <c r="BF909" s="150"/>
      <c r="BG909" s="150"/>
      <c r="BH909" s="150"/>
      <c r="BI909" s="150"/>
      <c r="BJ909" s="150"/>
      <c r="BK909" s="150"/>
      <c r="BL909" s="150"/>
      <c r="BM909" s="150"/>
      <c r="BN909" s="150"/>
      <c r="BO909" s="150"/>
      <c r="BP909" s="150"/>
      <c r="BQ909" s="150"/>
      <c r="BR909" s="150"/>
      <c r="BS909" s="150"/>
    </row>
    <row r="910" spans="1:71" s="55" customFormat="1" ht="24.6" hidden="1" customHeight="1">
      <c r="A910" s="469"/>
      <c r="B910" s="167" t="s">
        <v>413</v>
      </c>
      <c r="C910" s="167"/>
      <c r="D910" s="167"/>
      <c r="E910" s="167"/>
      <c r="F910" s="167"/>
      <c r="G910" s="74"/>
      <c r="H910" s="74"/>
      <c r="I910" s="74"/>
      <c r="J910" s="74"/>
      <c r="K910" s="74"/>
      <c r="L910" s="132"/>
      <c r="M910" s="132"/>
      <c r="N910" s="132"/>
      <c r="O910" s="132"/>
      <c r="P910" s="132"/>
      <c r="Q910" s="132">
        <f>Q911+Q912</f>
        <v>0</v>
      </c>
      <c r="R910" s="132"/>
      <c r="S910" s="132"/>
      <c r="T910" s="132"/>
      <c r="U910" s="132"/>
      <c r="V910" s="132">
        <f>V911+V912</f>
        <v>0</v>
      </c>
      <c r="W910" s="132">
        <f>W911+W912</f>
        <v>0</v>
      </c>
      <c r="X910" s="167"/>
      <c r="Y910" s="453"/>
      <c r="AT910" s="150"/>
      <c r="AU910" s="150"/>
      <c r="AV910" s="150"/>
      <c r="AW910" s="150"/>
      <c r="AX910" s="150"/>
      <c r="AY910" s="150"/>
      <c r="AZ910" s="150"/>
      <c r="BA910" s="150"/>
      <c r="BB910" s="150"/>
      <c r="BC910" s="150"/>
      <c r="BD910" s="150"/>
      <c r="BE910" s="150"/>
      <c r="BF910" s="150"/>
      <c r="BG910" s="150"/>
      <c r="BH910" s="150"/>
      <c r="BI910" s="150"/>
      <c r="BJ910" s="150"/>
      <c r="BK910" s="150"/>
      <c r="BL910" s="150"/>
      <c r="BM910" s="150"/>
      <c r="BN910" s="150"/>
      <c r="BO910" s="150"/>
      <c r="BP910" s="150"/>
      <c r="BQ910" s="150"/>
      <c r="BR910" s="150"/>
      <c r="BS910" s="150"/>
    </row>
    <row r="911" spans="1:71" s="55" customFormat="1" ht="24.6" hidden="1" customHeight="1">
      <c r="A911" s="469"/>
      <c r="B911" s="167" t="s">
        <v>410</v>
      </c>
      <c r="C911" s="167"/>
      <c r="D911" s="167"/>
      <c r="E911" s="167"/>
      <c r="F911" s="167"/>
      <c r="G911" s="74"/>
      <c r="H911" s="74"/>
      <c r="I911" s="74"/>
      <c r="J911" s="74"/>
      <c r="K911" s="74"/>
      <c r="L911" s="132"/>
      <c r="M911" s="132"/>
      <c r="N911" s="132"/>
      <c r="O911" s="132"/>
      <c r="P911" s="132"/>
      <c r="Q911" s="132">
        <f>U911</f>
        <v>0</v>
      </c>
      <c r="R911" s="132"/>
      <c r="S911" s="132"/>
      <c r="T911" s="132"/>
      <c r="U911" s="132"/>
      <c r="V911" s="132"/>
      <c r="W911" s="132"/>
      <c r="X911" s="167"/>
      <c r="Y911" s="453"/>
      <c r="AT911" s="150"/>
      <c r="AU911" s="150"/>
      <c r="AV911" s="150"/>
      <c r="AW911" s="150"/>
      <c r="AX911" s="150"/>
      <c r="AY911" s="150"/>
      <c r="AZ911" s="150"/>
      <c r="BA911" s="150"/>
      <c r="BB911" s="150"/>
      <c r="BC911" s="150"/>
      <c r="BD911" s="150"/>
      <c r="BE911" s="150"/>
      <c r="BF911" s="150"/>
      <c r="BG911" s="150"/>
      <c r="BH911" s="150"/>
      <c r="BI911" s="150"/>
      <c r="BJ911" s="150"/>
      <c r="BK911" s="150"/>
      <c r="BL911" s="150"/>
      <c r="BM911" s="150"/>
      <c r="BN911" s="150"/>
      <c r="BO911" s="150"/>
      <c r="BP911" s="150"/>
      <c r="BQ911" s="150"/>
      <c r="BR911" s="150"/>
      <c r="BS911" s="150"/>
    </row>
    <row r="912" spans="1:71" s="55" customFormat="1" ht="24.6" hidden="1" customHeight="1">
      <c r="A912" s="470"/>
      <c r="B912" s="167" t="s">
        <v>428</v>
      </c>
      <c r="C912" s="167"/>
      <c r="D912" s="167"/>
      <c r="E912" s="167"/>
      <c r="F912" s="167"/>
      <c r="G912" s="74"/>
      <c r="H912" s="74"/>
      <c r="I912" s="74"/>
      <c r="J912" s="74"/>
      <c r="K912" s="74"/>
      <c r="L912" s="132"/>
      <c r="M912" s="132"/>
      <c r="N912" s="132"/>
      <c r="O912" s="132"/>
      <c r="P912" s="132"/>
      <c r="Q912" s="132">
        <f>U912</f>
        <v>0</v>
      </c>
      <c r="R912" s="132"/>
      <c r="S912" s="132"/>
      <c r="T912" s="132"/>
      <c r="U912" s="132"/>
      <c r="V912" s="132"/>
      <c r="W912" s="132"/>
      <c r="X912" s="167"/>
      <c r="Y912" s="453"/>
      <c r="AT912" s="150"/>
      <c r="AU912" s="150"/>
      <c r="AV912" s="150"/>
      <c r="AW912" s="150"/>
      <c r="AX912" s="150"/>
      <c r="AY912" s="150"/>
      <c r="AZ912" s="150"/>
      <c r="BA912" s="150"/>
      <c r="BB912" s="150"/>
      <c r="BC912" s="150"/>
      <c r="BD912" s="150"/>
      <c r="BE912" s="150"/>
      <c r="BF912" s="150"/>
      <c r="BG912" s="150"/>
      <c r="BH912" s="150"/>
      <c r="BI912" s="150"/>
      <c r="BJ912" s="150"/>
      <c r="BK912" s="150"/>
      <c r="BL912" s="150"/>
      <c r="BM912" s="150"/>
      <c r="BN912" s="150"/>
      <c r="BO912" s="150"/>
      <c r="BP912" s="150"/>
      <c r="BQ912" s="150"/>
      <c r="BR912" s="150"/>
      <c r="BS912" s="150"/>
    </row>
    <row r="913" spans="1:77" s="55" customFormat="1" ht="0.6" hidden="1" customHeight="1">
      <c r="A913" s="465" t="s">
        <v>393</v>
      </c>
      <c r="B913" s="167" t="s">
        <v>89</v>
      </c>
      <c r="C913" s="167"/>
      <c r="D913" s="167"/>
      <c r="E913" s="167"/>
      <c r="F913" s="167"/>
      <c r="G913" s="74"/>
      <c r="H913" s="74"/>
      <c r="I913" s="74"/>
      <c r="J913" s="74"/>
      <c r="K913" s="74"/>
      <c r="L913" s="132"/>
      <c r="M913" s="132"/>
      <c r="N913" s="132"/>
      <c r="O913" s="132"/>
      <c r="P913" s="132"/>
      <c r="Q913" s="132">
        <v>0</v>
      </c>
      <c r="R913" s="132"/>
      <c r="S913" s="132"/>
      <c r="T913" s="132"/>
      <c r="U913" s="132"/>
      <c r="V913" s="132"/>
      <c r="W913" s="132"/>
      <c r="X913" s="167"/>
      <c r="Y913" s="453" t="s">
        <v>406</v>
      </c>
      <c r="AT913" s="150"/>
      <c r="AU913" s="150"/>
      <c r="AV913" s="150"/>
      <c r="AW913" s="150"/>
      <c r="AX913" s="150"/>
      <c r="AY913" s="150"/>
      <c r="AZ913" s="150"/>
      <c r="BA913" s="150"/>
      <c r="BB913" s="150"/>
      <c r="BC913" s="150"/>
      <c r="BD913" s="150"/>
      <c r="BE913" s="150"/>
      <c r="BF913" s="150"/>
      <c r="BG913" s="150"/>
      <c r="BH913" s="150"/>
      <c r="BI913" s="150"/>
      <c r="BJ913" s="150"/>
      <c r="BK913" s="150"/>
      <c r="BL913" s="150"/>
      <c r="BM913" s="150"/>
      <c r="BN913" s="150"/>
      <c r="BO913" s="150"/>
      <c r="BP913" s="150"/>
      <c r="BQ913" s="150"/>
      <c r="BR913" s="150"/>
      <c r="BS913" s="150"/>
    </row>
    <row r="914" spans="1:77" ht="37.15" hidden="1" customHeight="1">
      <c r="A914" s="466"/>
      <c r="B914" s="167" t="s">
        <v>284</v>
      </c>
      <c r="C914" s="167"/>
      <c r="D914" s="167"/>
      <c r="E914" s="167"/>
      <c r="F914" s="167"/>
      <c r="G914" s="74"/>
      <c r="H914" s="74"/>
      <c r="I914" s="74"/>
      <c r="J914" s="74"/>
      <c r="K914" s="74"/>
      <c r="L914" s="132"/>
      <c r="M914" s="132"/>
      <c r="N914" s="132"/>
      <c r="O914" s="132"/>
      <c r="P914" s="132"/>
      <c r="Q914" s="132">
        <v>0</v>
      </c>
      <c r="R914" s="132"/>
      <c r="S914" s="132"/>
      <c r="T914" s="132"/>
      <c r="U914" s="132"/>
      <c r="V914" s="132"/>
      <c r="W914" s="132">
        <v>0</v>
      </c>
      <c r="X914" s="167"/>
      <c r="Y914" s="453"/>
    </row>
    <row r="915" spans="1:77" ht="0.6" hidden="1" customHeight="1">
      <c r="A915" s="467" t="s">
        <v>536</v>
      </c>
      <c r="B915" s="82" t="s">
        <v>89</v>
      </c>
      <c r="C915" s="82"/>
      <c r="D915" s="82"/>
      <c r="E915" s="82"/>
      <c r="F915" s="82"/>
      <c r="G915" s="80">
        <f>G918</f>
        <v>0</v>
      </c>
      <c r="H915" s="80">
        <f t="shared" ref="H915:Q915" si="400">H918</f>
        <v>0</v>
      </c>
      <c r="I915" s="80">
        <f t="shared" si="400"/>
        <v>0</v>
      </c>
      <c r="J915" s="80">
        <f t="shared" si="400"/>
        <v>0</v>
      </c>
      <c r="K915" s="80">
        <f t="shared" si="400"/>
        <v>0</v>
      </c>
      <c r="L915" s="131">
        <f t="shared" si="400"/>
        <v>0</v>
      </c>
      <c r="M915" s="131"/>
      <c r="N915" s="131"/>
      <c r="O915" s="131"/>
      <c r="P915" s="131"/>
      <c r="Q915" s="131">
        <f t="shared" si="400"/>
        <v>1.7</v>
      </c>
      <c r="R915" s="131"/>
      <c r="S915" s="131"/>
      <c r="T915" s="131"/>
      <c r="U915" s="131"/>
      <c r="V915" s="131"/>
      <c r="W915" s="131"/>
      <c r="X915" s="167"/>
      <c r="Y915" s="82"/>
    </row>
    <row r="916" spans="1:77" ht="27" customHeight="1">
      <c r="A916" s="467"/>
      <c r="B916" s="82" t="s">
        <v>89</v>
      </c>
      <c r="C916" s="82"/>
      <c r="D916" s="82"/>
      <c r="E916" s="82"/>
      <c r="F916" s="82"/>
      <c r="G916" s="80"/>
      <c r="H916" s="80"/>
      <c r="I916" s="80"/>
      <c r="J916" s="80"/>
      <c r="K916" s="80"/>
      <c r="L916" s="131"/>
      <c r="M916" s="131"/>
      <c r="N916" s="131"/>
      <c r="O916" s="131"/>
      <c r="P916" s="131"/>
      <c r="Q916" s="131">
        <f>Q918</f>
        <v>1.7</v>
      </c>
      <c r="R916" s="131">
        <f t="shared" ref="R916:T916" si="401">R918</f>
        <v>0</v>
      </c>
      <c r="S916" s="131">
        <f t="shared" si="401"/>
        <v>0</v>
      </c>
      <c r="T916" s="131">
        <f t="shared" si="401"/>
        <v>1.7</v>
      </c>
      <c r="U916" s="131"/>
      <c r="V916" s="131"/>
      <c r="W916" s="131"/>
      <c r="X916" s="312"/>
      <c r="Y916" s="82"/>
    </row>
    <row r="917" spans="1:77" s="55" customFormat="1" ht="27.6" customHeight="1">
      <c r="A917" s="467"/>
      <c r="B917" s="82" t="s">
        <v>284</v>
      </c>
      <c r="C917" s="82"/>
      <c r="D917" s="82"/>
      <c r="E917" s="82"/>
      <c r="F917" s="82"/>
      <c r="G917" s="80"/>
      <c r="H917" s="80"/>
      <c r="I917" s="80"/>
      <c r="J917" s="80"/>
      <c r="K917" s="80"/>
      <c r="L917" s="131"/>
      <c r="M917" s="131"/>
      <c r="N917" s="131"/>
      <c r="O917" s="131"/>
      <c r="P917" s="131"/>
      <c r="Q917" s="131">
        <f>Q919</f>
        <v>29159.5</v>
      </c>
      <c r="R917" s="131">
        <f t="shared" ref="R917:T917" si="402">R919</f>
        <v>0</v>
      </c>
      <c r="S917" s="131">
        <f t="shared" si="402"/>
        <v>0</v>
      </c>
      <c r="T917" s="131">
        <f t="shared" si="402"/>
        <v>29159.5</v>
      </c>
      <c r="U917" s="131"/>
      <c r="V917" s="131"/>
      <c r="W917" s="131"/>
      <c r="X917" s="167"/>
      <c r="Y917" s="82"/>
      <c r="AT917" s="150"/>
      <c r="AU917" s="150"/>
      <c r="AV917" s="150"/>
      <c r="AW917" s="150"/>
      <c r="AX917" s="150"/>
      <c r="AY917" s="150"/>
      <c r="AZ917" s="150"/>
      <c r="BA917" s="150"/>
      <c r="BB917" s="150"/>
      <c r="BC917" s="150"/>
      <c r="BD917" s="150"/>
      <c r="BE917" s="150"/>
      <c r="BF917" s="150"/>
      <c r="BG917" s="150"/>
      <c r="BH917" s="150"/>
      <c r="BI917" s="150"/>
      <c r="BJ917" s="150"/>
      <c r="BK917" s="150"/>
      <c r="BL917" s="150"/>
      <c r="BM917" s="150"/>
      <c r="BN917" s="150"/>
      <c r="BO917" s="150"/>
      <c r="BP917" s="150"/>
      <c r="BQ917" s="150"/>
      <c r="BR917" s="150"/>
      <c r="BS917" s="150"/>
    </row>
    <row r="918" spans="1:77" s="55" customFormat="1" ht="24.6" customHeight="1">
      <c r="A918" s="455" t="s">
        <v>260</v>
      </c>
      <c r="B918" s="167" t="s">
        <v>89</v>
      </c>
      <c r="C918" s="167">
        <v>176</v>
      </c>
      <c r="D918" s="167" t="s">
        <v>15</v>
      </c>
      <c r="E918" s="167">
        <v>6100404</v>
      </c>
      <c r="F918" s="167">
        <v>244</v>
      </c>
      <c r="G918" s="74">
        <v>0</v>
      </c>
      <c r="H918" s="74">
        <v>0</v>
      </c>
      <c r="I918" s="74">
        <v>0</v>
      </c>
      <c r="J918" s="74">
        <f>G918-I918</f>
        <v>0</v>
      </c>
      <c r="K918" s="74">
        <v>0</v>
      </c>
      <c r="L918" s="132"/>
      <c r="M918" s="132"/>
      <c r="N918" s="132"/>
      <c r="O918" s="132"/>
      <c r="P918" s="132"/>
      <c r="Q918" s="132">
        <f>T918</f>
        <v>1.7</v>
      </c>
      <c r="R918" s="132"/>
      <c r="S918" s="132"/>
      <c r="T918" s="132">
        <v>1.7</v>
      </c>
      <c r="U918" s="132"/>
      <c r="V918" s="132"/>
      <c r="W918" s="132"/>
      <c r="X918" s="167"/>
      <c r="Y918" s="453" t="s">
        <v>588</v>
      </c>
      <c r="AT918" s="150"/>
      <c r="AU918" s="150"/>
      <c r="AV918" s="150"/>
      <c r="AW918" s="150"/>
      <c r="AX918" s="150"/>
      <c r="AY918" s="150"/>
      <c r="AZ918" s="150"/>
      <c r="BA918" s="150"/>
      <c r="BB918" s="150"/>
      <c r="BC918" s="150"/>
      <c r="BD918" s="150"/>
      <c r="BE918" s="150"/>
      <c r="BF918" s="150"/>
      <c r="BG918" s="150"/>
      <c r="BH918" s="150"/>
      <c r="BI918" s="150"/>
      <c r="BJ918" s="150"/>
      <c r="BK918" s="150"/>
      <c r="BL918" s="150"/>
      <c r="BM918" s="150"/>
      <c r="BN918" s="150"/>
      <c r="BO918" s="150"/>
      <c r="BP918" s="150"/>
      <c r="BQ918" s="150"/>
      <c r="BR918" s="150"/>
      <c r="BS918" s="150"/>
    </row>
    <row r="919" spans="1:77" ht="24.6" customHeight="1">
      <c r="A919" s="455"/>
      <c r="B919" s="167" t="s">
        <v>284</v>
      </c>
      <c r="C919" s="167"/>
      <c r="D919" s="167"/>
      <c r="E919" s="167"/>
      <c r="F919" s="167"/>
      <c r="G919" s="74"/>
      <c r="H919" s="74"/>
      <c r="I919" s="74"/>
      <c r="J919" s="74"/>
      <c r="K919" s="74"/>
      <c r="L919" s="132"/>
      <c r="M919" s="132"/>
      <c r="N919" s="132"/>
      <c r="O919" s="132"/>
      <c r="P919" s="132"/>
      <c r="Q919" s="132">
        <f>T919</f>
        <v>29159.5</v>
      </c>
      <c r="R919" s="132"/>
      <c r="S919" s="132"/>
      <c r="T919" s="132">
        <f>29714.2-554.7</f>
        <v>29159.5</v>
      </c>
      <c r="U919" s="132"/>
      <c r="V919" s="132"/>
      <c r="W919" s="132"/>
      <c r="X919" s="167"/>
      <c r="Y919" s="453"/>
    </row>
    <row r="920" spans="1:77" ht="24.6" customHeight="1">
      <c r="A920" s="461" t="s">
        <v>143</v>
      </c>
      <c r="B920" s="82" t="s">
        <v>89</v>
      </c>
      <c r="C920" s="82"/>
      <c r="D920" s="82"/>
      <c r="E920" s="82"/>
      <c r="F920" s="82"/>
      <c r="G920" s="80">
        <f>G922</f>
        <v>0</v>
      </c>
      <c r="H920" s="80">
        <f t="shared" ref="H920:W921" si="403">H922</f>
        <v>0</v>
      </c>
      <c r="I920" s="80">
        <f t="shared" si="403"/>
        <v>0</v>
      </c>
      <c r="J920" s="80">
        <f t="shared" si="403"/>
        <v>0</v>
      </c>
      <c r="K920" s="80">
        <f t="shared" si="403"/>
        <v>0</v>
      </c>
      <c r="L920" s="131">
        <f t="shared" si="403"/>
        <v>0</v>
      </c>
      <c r="M920" s="131"/>
      <c r="N920" s="131"/>
      <c r="O920" s="131"/>
      <c r="P920" s="131"/>
      <c r="Q920" s="131">
        <f t="shared" si="403"/>
        <v>7.07</v>
      </c>
      <c r="R920" s="131">
        <f t="shared" si="403"/>
        <v>0</v>
      </c>
      <c r="S920" s="131">
        <f t="shared" si="403"/>
        <v>0</v>
      </c>
      <c r="T920" s="131">
        <f t="shared" si="403"/>
        <v>7.07</v>
      </c>
      <c r="U920" s="131"/>
      <c r="V920" s="131">
        <f t="shared" si="403"/>
        <v>0</v>
      </c>
      <c r="W920" s="131">
        <f t="shared" si="403"/>
        <v>4.38</v>
      </c>
      <c r="X920" s="167"/>
      <c r="Y920" s="82"/>
    </row>
    <row r="921" spans="1:77" ht="24.95" customHeight="1">
      <c r="A921" s="461"/>
      <c r="B921" s="82" t="s">
        <v>284</v>
      </c>
      <c r="C921" s="82"/>
      <c r="D921" s="82"/>
      <c r="E921" s="82"/>
      <c r="F921" s="82"/>
      <c r="G921" s="80">
        <f>G923</f>
        <v>0</v>
      </c>
      <c r="H921" s="80">
        <f t="shared" si="403"/>
        <v>0</v>
      </c>
      <c r="I921" s="80">
        <f t="shared" si="403"/>
        <v>0</v>
      </c>
      <c r="J921" s="80">
        <f t="shared" si="403"/>
        <v>0</v>
      </c>
      <c r="K921" s="80">
        <f t="shared" si="403"/>
        <v>0</v>
      </c>
      <c r="L921" s="131">
        <f t="shared" si="403"/>
        <v>0</v>
      </c>
      <c r="M921" s="131"/>
      <c r="N921" s="131"/>
      <c r="O921" s="131"/>
      <c r="P921" s="131"/>
      <c r="Q921" s="131">
        <f t="shared" si="403"/>
        <v>27563.200000000001</v>
      </c>
      <c r="R921" s="131">
        <f t="shared" si="403"/>
        <v>0</v>
      </c>
      <c r="S921" s="131">
        <f t="shared" si="403"/>
        <v>0</v>
      </c>
      <c r="T921" s="131">
        <f t="shared" si="403"/>
        <v>27563.200000000001</v>
      </c>
      <c r="U921" s="131"/>
      <c r="V921" s="131">
        <f t="shared" si="403"/>
        <v>10005.9</v>
      </c>
      <c r="W921" s="131">
        <f t="shared" si="403"/>
        <v>9495.2000000000007</v>
      </c>
      <c r="X921" s="167"/>
      <c r="Y921" s="82"/>
    </row>
    <row r="922" spans="1:77" ht="24.95" customHeight="1">
      <c r="A922" s="455" t="s">
        <v>394</v>
      </c>
      <c r="B922" s="167" t="s">
        <v>89</v>
      </c>
      <c r="C922" s="167">
        <v>176</v>
      </c>
      <c r="D922" s="167" t="s">
        <v>15</v>
      </c>
      <c r="E922" s="167">
        <v>6100404</v>
      </c>
      <c r="F922" s="167">
        <v>244</v>
      </c>
      <c r="G922" s="74">
        <v>0</v>
      </c>
      <c r="H922" s="74">
        <v>0</v>
      </c>
      <c r="I922" s="74">
        <v>0</v>
      </c>
      <c r="J922" s="74">
        <v>0</v>
      </c>
      <c r="K922" s="74">
        <v>0</v>
      </c>
      <c r="L922" s="132">
        <v>0</v>
      </c>
      <c r="M922" s="132"/>
      <c r="N922" s="132"/>
      <c r="O922" s="132"/>
      <c r="P922" s="132"/>
      <c r="Q922" s="132">
        <f>T922</f>
        <v>7.07</v>
      </c>
      <c r="R922" s="132"/>
      <c r="S922" s="132"/>
      <c r="T922" s="132">
        <v>7.07</v>
      </c>
      <c r="U922" s="132"/>
      <c r="V922" s="132"/>
      <c r="W922" s="132">
        <v>4.38</v>
      </c>
      <c r="X922" s="167"/>
      <c r="Y922" s="453" t="s">
        <v>587</v>
      </c>
    </row>
    <row r="923" spans="1:77" ht="24">
      <c r="A923" s="455"/>
      <c r="B923" s="167" t="s">
        <v>284</v>
      </c>
      <c r="C923" s="167"/>
      <c r="D923" s="167"/>
      <c r="E923" s="167"/>
      <c r="F923" s="167"/>
      <c r="G923" s="74"/>
      <c r="H923" s="74"/>
      <c r="I923" s="74"/>
      <c r="J923" s="74"/>
      <c r="K923" s="74"/>
      <c r="L923" s="132"/>
      <c r="M923" s="132"/>
      <c r="N923" s="132"/>
      <c r="O923" s="132"/>
      <c r="P923" s="132"/>
      <c r="Q923" s="132">
        <f>T923</f>
        <v>27563.200000000001</v>
      </c>
      <c r="R923" s="132"/>
      <c r="S923" s="132"/>
      <c r="T923" s="132">
        <f>28891.9-1328.7</f>
        <v>27563.200000000001</v>
      </c>
      <c r="U923" s="132"/>
      <c r="V923" s="132">
        <v>10005.9</v>
      </c>
      <c r="W923" s="132">
        <f>15300-5804.8</f>
        <v>9495.2000000000007</v>
      </c>
      <c r="X923" s="167"/>
      <c r="Y923" s="453"/>
    </row>
    <row r="924" spans="1:77" ht="23.45" customHeight="1">
      <c r="A924" s="410" t="s">
        <v>144</v>
      </c>
      <c r="B924" s="287" t="s">
        <v>89</v>
      </c>
      <c r="C924" s="287"/>
      <c r="D924" s="287"/>
      <c r="E924" s="287"/>
      <c r="F924" s="287"/>
      <c r="G924" s="74"/>
      <c r="H924" s="74"/>
      <c r="I924" s="74"/>
      <c r="J924" s="74"/>
      <c r="K924" s="74"/>
      <c r="L924" s="132"/>
      <c r="M924" s="132"/>
      <c r="N924" s="132"/>
      <c r="O924" s="132"/>
      <c r="P924" s="132"/>
      <c r="Q924" s="132"/>
      <c r="R924" s="132"/>
      <c r="S924" s="132"/>
      <c r="T924" s="132"/>
      <c r="U924" s="132"/>
      <c r="V924" s="132"/>
      <c r="W924" s="131">
        <f>W926</f>
        <v>2</v>
      </c>
      <c r="X924" s="287"/>
      <c r="Y924" s="338"/>
    </row>
    <row r="925" spans="1:77" ht="24">
      <c r="A925" s="411"/>
      <c r="B925" s="285" t="s">
        <v>284</v>
      </c>
      <c r="C925" s="285"/>
      <c r="D925" s="285"/>
      <c r="E925" s="285"/>
      <c r="F925" s="285"/>
      <c r="G925" s="140"/>
      <c r="H925" s="140"/>
      <c r="I925" s="140"/>
      <c r="J925" s="140"/>
      <c r="K925" s="140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243">
        <f>W927</f>
        <v>60000</v>
      </c>
      <c r="X925" s="285"/>
      <c r="Y925" s="338"/>
      <c r="Z925" s="249"/>
      <c r="AA925" s="249"/>
      <c r="AB925" s="249"/>
      <c r="AC925" s="249"/>
      <c r="AD925" s="249"/>
      <c r="AE925" s="249"/>
      <c r="AF925" s="249"/>
      <c r="AG925" s="249"/>
      <c r="AH925" s="249"/>
      <c r="AI925" s="249"/>
      <c r="AJ925" s="249"/>
      <c r="AK925" s="249"/>
      <c r="AL925" s="249"/>
      <c r="AM925" s="249"/>
      <c r="AN925" s="249"/>
      <c r="AO925" s="249"/>
      <c r="AP925" s="249"/>
      <c r="AQ925" s="249"/>
      <c r="AR925" s="249"/>
      <c r="AS925" s="249"/>
      <c r="BT925" s="249"/>
      <c r="BU925" s="249"/>
      <c r="BV925" s="249"/>
      <c r="BW925" s="249"/>
      <c r="BX925" s="249"/>
    </row>
    <row r="926" spans="1:77" s="71" customFormat="1" ht="26.45" customHeight="1">
      <c r="A926" s="451" t="s">
        <v>512</v>
      </c>
      <c r="B926" s="287" t="s">
        <v>89</v>
      </c>
      <c r="C926" s="287"/>
      <c r="D926" s="287"/>
      <c r="E926" s="287"/>
      <c r="F926" s="287"/>
      <c r="G926" s="74"/>
      <c r="H926" s="74"/>
      <c r="I926" s="74"/>
      <c r="J926" s="74"/>
      <c r="K926" s="74"/>
      <c r="L926" s="132"/>
      <c r="M926" s="132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>
        <v>2</v>
      </c>
      <c r="X926" s="287"/>
      <c r="Y926" s="453" t="s">
        <v>513</v>
      </c>
      <c r="Z926" s="249"/>
      <c r="AA926" s="249"/>
      <c r="AB926" s="249"/>
      <c r="AC926" s="249"/>
      <c r="AD926" s="249"/>
      <c r="AE926" s="249"/>
      <c r="AF926" s="249"/>
      <c r="AG926" s="249"/>
      <c r="AH926" s="249"/>
      <c r="AI926" s="249"/>
      <c r="AJ926" s="249"/>
      <c r="AK926" s="249"/>
      <c r="AL926" s="249"/>
      <c r="AM926" s="249"/>
      <c r="AN926" s="249"/>
      <c r="AO926" s="249"/>
      <c r="AP926" s="249"/>
      <c r="AQ926" s="249"/>
      <c r="AR926" s="248"/>
      <c r="AS926" s="340"/>
      <c r="AT926" s="249"/>
      <c r="AU926" s="249"/>
      <c r="AV926" s="249"/>
      <c r="AW926" s="249"/>
      <c r="AX926" s="249"/>
      <c r="AY926" s="249"/>
      <c r="AZ926" s="249"/>
      <c r="BA926" s="249"/>
      <c r="BB926" s="249"/>
      <c r="BC926" s="249"/>
      <c r="BD926" s="249"/>
      <c r="BE926" s="249"/>
      <c r="BF926" s="249"/>
      <c r="BG926" s="249"/>
      <c r="BH926" s="249"/>
      <c r="BI926" s="249"/>
      <c r="BJ926" s="249"/>
      <c r="BK926" s="249"/>
      <c r="BL926" s="249"/>
      <c r="BM926" s="249"/>
      <c r="BN926" s="249"/>
      <c r="BO926" s="249"/>
      <c r="BP926" s="249"/>
      <c r="BQ926" s="249"/>
      <c r="BR926" s="249"/>
      <c r="BS926" s="249"/>
      <c r="BT926" s="249"/>
      <c r="BU926" s="249"/>
      <c r="BV926" s="249"/>
      <c r="BW926" s="249"/>
      <c r="BX926" s="249"/>
      <c r="BY926" s="248"/>
    </row>
    <row r="927" spans="1:77" s="71" customFormat="1" ht="33" customHeight="1">
      <c r="A927" s="452"/>
      <c r="B927" s="287" t="s">
        <v>284</v>
      </c>
      <c r="C927" s="287"/>
      <c r="D927" s="287"/>
      <c r="E927" s="287"/>
      <c r="F927" s="287"/>
      <c r="G927" s="74"/>
      <c r="H927" s="74"/>
      <c r="I927" s="74"/>
      <c r="J927" s="74"/>
      <c r="K927" s="74"/>
      <c r="L927" s="132"/>
      <c r="M927" s="132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>
        <v>60000</v>
      </c>
      <c r="X927" s="287"/>
      <c r="Y927" s="453"/>
      <c r="Z927" s="249"/>
      <c r="AA927" s="249"/>
      <c r="AB927" s="249"/>
      <c r="AC927" s="249"/>
      <c r="AD927" s="249"/>
      <c r="AE927" s="249"/>
      <c r="AF927" s="249"/>
      <c r="AG927" s="249"/>
      <c r="AH927" s="249"/>
      <c r="AI927" s="249"/>
      <c r="AJ927" s="249"/>
      <c r="AK927" s="249"/>
      <c r="AL927" s="249"/>
      <c r="AM927" s="249"/>
      <c r="AN927" s="249"/>
      <c r="AO927" s="249"/>
      <c r="AP927" s="249"/>
      <c r="AQ927" s="249"/>
      <c r="AR927" s="248"/>
      <c r="AS927" s="340"/>
      <c r="AT927" s="249"/>
      <c r="AU927" s="249"/>
      <c r="AV927" s="249"/>
      <c r="AW927" s="249"/>
      <c r="AX927" s="249"/>
      <c r="AY927" s="249"/>
      <c r="AZ927" s="249"/>
      <c r="BA927" s="249"/>
      <c r="BB927" s="249"/>
      <c r="BC927" s="249"/>
      <c r="BD927" s="249"/>
      <c r="BE927" s="249"/>
      <c r="BF927" s="249"/>
      <c r="BG927" s="249"/>
      <c r="BH927" s="249"/>
      <c r="BI927" s="249"/>
      <c r="BJ927" s="249"/>
      <c r="BK927" s="249"/>
      <c r="BL927" s="249"/>
      <c r="BM927" s="249"/>
      <c r="BN927" s="249"/>
      <c r="BO927" s="249"/>
      <c r="BP927" s="249"/>
      <c r="BQ927" s="249"/>
      <c r="BR927" s="249"/>
      <c r="BS927" s="249"/>
      <c r="BT927" s="249"/>
      <c r="BU927" s="249"/>
      <c r="BV927" s="249"/>
      <c r="BW927" s="249"/>
      <c r="BX927" s="249"/>
      <c r="BY927" s="248"/>
    </row>
    <row r="928" spans="1:77" ht="60">
      <c r="A928" s="100" t="s">
        <v>32</v>
      </c>
      <c r="B928" s="286" t="s">
        <v>284</v>
      </c>
      <c r="C928" s="286">
        <v>176</v>
      </c>
      <c r="D928" s="286" t="s">
        <v>15</v>
      </c>
      <c r="E928" s="286">
        <v>6100404</v>
      </c>
      <c r="F928" s="286">
        <v>244</v>
      </c>
      <c r="G928" s="245">
        <f>SUM(H928:K928)</f>
        <v>686.9</v>
      </c>
      <c r="H928" s="245"/>
      <c r="I928" s="245"/>
      <c r="J928" s="245">
        <v>24.8</v>
      </c>
      <c r="K928" s="245">
        <v>662.1</v>
      </c>
      <c r="L928" s="246">
        <f>P928</f>
        <v>500</v>
      </c>
      <c r="M928" s="246"/>
      <c r="N928" s="246"/>
      <c r="O928" s="246"/>
      <c r="P928" s="246">
        <f>3000-1500-1000</f>
        <v>500</v>
      </c>
      <c r="Q928" s="143">
        <f>T928</f>
        <v>887</v>
      </c>
      <c r="R928" s="143"/>
      <c r="S928" s="143"/>
      <c r="T928" s="246">
        <f>2000-1100-13</f>
        <v>887</v>
      </c>
      <c r="U928" s="143"/>
      <c r="V928" s="143">
        <f>1500+2000</f>
        <v>3500</v>
      </c>
      <c r="W928" s="143">
        <v>2000</v>
      </c>
      <c r="X928" s="286"/>
      <c r="Y928" s="339" t="s">
        <v>522</v>
      </c>
      <c r="Z928" s="249"/>
      <c r="AA928" s="249"/>
      <c r="AB928" s="249"/>
      <c r="AC928" s="249"/>
      <c r="AD928" s="249"/>
      <c r="AE928" s="249"/>
      <c r="AF928" s="249"/>
      <c r="AG928" s="249"/>
      <c r="AH928" s="249"/>
      <c r="AI928" s="249"/>
      <c r="AJ928" s="249"/>
      <c r="AK928" s="249"/>
      <c r="AL928" s="249"/>
      <c r="AM928" s="249"/>
      <c r="AN928" s="249"/>
      <c r="AO928" s="249"/>
      <c r="AP928" s="249"/>
      <c r="AQ928" s="249"/>
      <c r="AR928" s="249"/>
      <c r="AS928" s="249"/>
      <c r="BT928" s="249"/>
      <c r="BU928" s="249"/>
      <c r="BV928" s="249"/>
      <c r="BW928" s="249"/>
      <c r="BX928" s="249"/>
    </row>
    <row r="929" spans="1:25" ht="33.6" hidden="1" customHeight="1">
      <c r="A929" s="257" t="s">
        <v>238</v>
      </c>
      <c r="B929" s="256" t="s">
        <v>284</v>
      </c>
      <c r="C929" s="256"/>
      <c r="D929" s="256"/>
      <c r="E929" s="256"/>
      <c r="F929" s="256"/>
      <c r="G929" s="74"/>
      <c r="H929" s="74"/>
      <c r="I929" s="74"/>
      <c r="J929" s="74"/>
      <c r="K929" s="74"/>
      <c r="L929" s="132"/>
      <c r="M929" s="132"/>
      <c r="N929" s="132"/>
      <c r="O929" s="132"/>
      <c r="P929" s="132"/>
      <c r="Q929" s="131"/>
      <c r="R929" s="132"/>
      <c r="S929" s="131"/>
      <c r="T929" s="131"/>
      <c r="U929" s="131"/>
      <c r="V929" s="131"/>
      <c r="W929" s="131"/>
      <c r="X929" s="256"/>
      <c r="Y929" s="256" t="s">
        <v>434</v>
      </c>
    </row>
    <row r="930" spans="1:25" ht="18.600000000000001" customHeight="1">
      <c r="A930" s="104"/>
      <c r="B930" s="105"/>
      <c r="C930" s="105"/>
      <c r="D930" s="105"/>
      <c r="E930" s="105"/>
      <c r="F930" s="105"/>
      <c r="G930" s="106"/>
      <c r="H930" s="106"/>
      <c r="I930" s="106"/>
      <c r="J930" s="106"/>
      <c r="K930" s="106"/>
      <c r="L930" s="126"/>
      <c r="M930" s="126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9"/>
      <c r="Y930" s="129"/>
    </row>
    <row r="931" spans="1:25" ht="34.9" customHeight="1">
      <c r="A931" s="450" t="s">
        <v>608</v>
      </c>
      <c r="B931" s="450"/>
      <c r="C931" s="450"/>
      <c r="D931" s="450"/>
      <c r="E931" s="450"/>
      <c r="F931" s="450"/>
      <c r="G931" s="450"/>
      <c r="H931" s="450"/>
      <c r="I931" s="450"/>
      <c r="J931" s="450"/>
      <c r="K931" s="450"/>
      <c r="L931" s="450"/>
      <c r="M931" s="450"/>
      <c r="N931" s="450"/>
      <c r="O931" s="450"/>
      <c r="P931" s="450"/>
      <c r="Q931" s="450"/>
      <c r="R931" s="450"/>
      <c r="S931" s="450"/>
      <c r="T931" s="450"/>
      <c r="U931" s="450"/>
      <c r="V931" s="450"/>
      <c r="W931" s="450"/>
      <c r="X931" s="450"/>
      <c r="Y931" s="450"/>
    </row>
    <row r="932" spans="1:25" ht="39.6" customHeight="1">
      <c r="A932" s="450" t="s">
        <v>310</v>
      </c>
      <c r="B932" s="450"/>
      <c r="C932" s="450"/>
      <c r="D932" s="450"/>
      <c r="E932" s="450"/>
      <c r="F932" s="450"/>
      <c r="G932" s="450"/>
      <c r="H932" s="450"/>
      <c r="I932" s="450"/>
      <c r="J932" s="450"/>
      <c r="K932" s="450"/>
      <c r="L932" s="450"/>
      <c r="M932" s="450"/>
      <c r="N932" s="450"/>
      <c r="O932" s="450"/>
      <c r="P932" s="450"/>
      <c r="Q932" s="450"/>
      <c r="R932" s="450"/>
      <c r="S932" s="450"/>
      <c r="T932" s="450"/>
      <c r="U932" s="450"/>
      <c r="V932" s="450"/>
      <c r="W932" s="450"/>
      <c r="X932" s="450"/>
      <c r="Y932" s="450"/>
    </row>
    <row r="933" spans="1:25" ht="37.5" customHeight="1">
      <c r="A933" s="450" t="s">
        <v>650</v>
      </c>
      <c r="B933" s="450"/>
      <c r="C933" s="450"/>
      <c r="D933" s="450"/>
      <c r="E933" s="450"/>
      <c r="F933" s="450"/>
      <c r="G933" s="450"/>
      <c r="H933" s="450"/>
      <c r="I933" s="450"/>
      <c r="J933" s="450"/>
      <c r="K933" s="450"/>
      <c r="L933" s="450"/>
      <c r="M933" s="450"/>
      <c r="N933" s="450"/>
      <c r="O933" s="450"/>
      <c r="P933" s="450"/>
      <c r="Q933" s="450"/>
      <c r="R933" s="450"/>
      <c r="S933" s="450"/>
      <c r="T933" s="450"/>
      <c r="U933" s="450"/>
      <c r="V933" s="450"/>
      <c r="W933" s="450"/>
      <c r="X933" s="450"/>
      <c r="Y933" s="450"/>
    </row>
    <row r="934" spans="1:25" ht="37.5" customHeight="1">
      <c r="A934" s="450" t="s">
        <v>651</v>
      </c>
      <c r="B934" s="450"/>
      <c r="C934" s="450"/>
      <c r="D934" s="450"/>
      <c r="E934" s="450"/>
      <c r="F934" s="450"/>
      <c r="G934" s="450"/>
      <c r="H934" s="450"/>
      <c r="I934" s="450"/>
      <c r="J934" s="450"/>
      <c r="K934" s="450"/>
      <c r="L934" s="450"/>
      <c r="M934" s="450"/>
      <c r="N934" s="450"/>
      <c r="O934" s="450"/>
      <c r="P934" s="450"/>
      <c r="Q934" s="450"/>
      <c r="R934" s="450"/>
      <c r="S934" s="450"/>
      <c r="T934" s="450"/>
      <c r="U934" s="450"/>
      <c r="V934" s="450"/>
      <c r="W934" s="450"/>
      <c r="X934" s="450"/>
      <c r="Y934" s="450"/>
    </row>
    <row r="935" spans="1:25" ht="31.15" customHeight="1">
      <c r="A935" s="450" t="s">
        <v>430</v>
      </c>
      <c r="B935" s="450"/>
      <c r="C935" s="450"/>
      <c r="D935" s="450"/>
      <c r="E935" s="450"/>
      <c r="F935" s="450"/>
      <c r="G935" s="450"/>
      <c r="H935" s="450"/>
      <c r="I935" s="450"/>
      <c r="J935" s="450"/>
      <c r="K935" s="450"/>
      <c r="L935" s="450"/>
      <c r="M935" s="450"/>
      <c r="N935" s="450"/>
      <c r="O935" s="450"/>
      <c r="P935" s="450"/>
      <c r="Q935" s="450"/>
      <c r="R935" s="450"/>
      <c r="S935" s="450"/>
      <c r="T935" s="450"/>
      <c r="U935" s="450"/>
      <c r="V935" s="450"/>
      <c r="W935" s="450"/>
      <c r="X935" s="450"/>
      <c r="Y935" s="450"/>
    </row>
    <row r="936" spans="1:25">
      <c r="A936" s="540"/>
      <c r="B936" s="540"/>
      <c r="C936" s="540"/>
      <c r="D936" s="540"/>
      <c r="E936" s="540"/>
      <c r="F936" s="540"/>
      <c r="G936" s="540"/>
      <c r="H936" s="540"/>
      <c r="I936" s="540"/>
      <c r="J936" s="540"/>
      <c r="K936" s="540"/>
      <c r="L936" s="540"/>
      <c r="M936" s="540"/>
      <c r="N936" s="540"/>
      <c r="O936" s="540"/>
      <c r="P936" s="540"/>
      <c r="Q936" s="540"/>
      <c r="R936" s="540"/>
      <c r="S936" s="540"/>
      <c r="T936" s="540"/>
      <c r="U936" s="540"/>
      <c r="V936" s="540"/>
      <c r="W936" s="540"/>
      <c r="X936" s="540"/>
      <c r="Y936" s="540"/>
    </row>
  </sheetData>
  <mergeCells count="538">
    <mergeCell ref="A933:Y933"/>
    <mergeCell ref="A931:Y931"/>
    <mergeCell ref="A936:Y936"/>
    <mergeCell ref="A935:Y935"/>
    <mergeCell ref="A932:Y932"/>
    <mergeCell ref="A457:A458"/>
    <mergeCell ref="A459:A460"/>
    <mergeCell ref="Y459:Y460"/>
    <mergeCell ref="A463:A464"/>
    <mergeCell ref="Y463:Y464"/>
    <mergeCell ref="A469:A470"/>
    <mergeCell ref="Y469:Y470"/>
    <mergeCell ref="A479:A480"/>
    <mergeCell ref="Y479:Y480"/>
    <mergeCell ref="A483:A484"/>
    <mergeCell ref="A485:A486"/>
    <mergeCell ref="Y485:Y486"/>
    <mergeCell ref="Y489:Y490"/>
    <mergeCell ref="A471:A472"/>
    <mergeCell ref="Y471:Y472"/>
    <mergeCell ref="A473:A474"/>
    <mergeCell ref="Y473:Y474"/>
    <mergeCell ref="A475:A476"/>
    <mergeCell ref="Y477:Y478"/>
    <mergeCell ref="A246:A249"/>
    <mergeCell ref="Y79:Y82"/>
    <mergeCell ref="A242:A245"/>
    <mergeCell ref="A177:A179"/>
    <mergeCell ref="Y177:Y179"/>
    <mergeCell ref="A158:A161"/>
    <mergeCell ref="A190:A193"/>
    <mergeCell ref="A174:A176"/>
    <mergeCell ref="A162:A165"/>
    <mergeCell ref="Y162:Y165"/>
    <mergeCell ref="A166:A169"/>
    <mergeCell ref="Y166:Y169"/>
    <mergeCell ref="A180:A182"/>
    <mergeCell ref="Y180:Y182"/>
    <mergeCell ref="A183:A186"/>
    <mergeCell ref="A187:A189"/>
    <mergeCell ref="Y187:Y189"/>
    <mergeCell ref="Y183:Y186"/>
    <mergeCell ref="Y242:Y245"/>
    <mergeCell ref="A170:A173"/>
    <mergeCell ref="Y174:Y176"/>
    <mergeCell ref="A194:A196"/>
    <mergeCell ref="Y194:Y196"/>
    <mergeCell ref="A213:A215"/>
    <mergeCell ref="Y213:Y215"/>
    <mergeCell ref="A216:A218"/>
    <mergeCell ref="Y216:Y218"/>
    <mergeCell ref="A227:A230"/>
    <mergeCell ref="Y227:Y230"/>
    <mergeCell ref="A197:A200"/>
    <mergeCell ref="Y197:Y200"/>
    <mergeCell ref="A201:A204"/>
    <mergeCell ref="Y238:Y241"/>
    <mergeCell ref="A113:A115"/>
    <mergeCell ref="A139:A142"/>
    <mergeCell ref="A155:A157"/>
    <mergeCell ref="Y155:Y157"/>
    <mergeCell ref="A123:A126"/>
    <mergeCell ref="Y123:Y126"/>
    <mergeCell ref="A127:A130"/>
    <mergeCell ref="Y127:Y130"/>
    <mergeCell ref="A131:A134"/>
    <mergeCell ref="Y135:Y138"/>
    <mergeCell ref="A135:A138"/>
    <mergeCell ref="A116:A118"/>
    <mergeCell ref="Y116:Y118"/>
    <mergeCell ref="A119:A122"/>
    <mergeCell ref="Y119:Y122"/>
    <mergeCell ref="Y143:Y146"/>
    <mergeCell ref="A147:A150"/>
    <mergeCell ref="A151:A154"/>
    <mergeCell ref="Y147:Y150"/>
    <mergeCell ref="Y151:Y154"/>
    <mergeCell ref="A143:A146"/>
    <mergeCell ref="A3:Y3"/>
    <mergeCell ref="A4:Y4"/>
    <mergeCell ref="A6:A8"/>
    <mergeCell ref="B6:B8"/>
    <mergeCell ref="C6:F7"/>
    <mergeCell ref="G6:G8"/>
    <mergeCell ref="H6:K7"/>
    <mergeCell ref="L6:L8"/>
    <mergeCell ref="Q6:Q8"/>
    <mergeCell ref="M6:P6"/>
    <mergeCell ref="W6:W7"/>
    <mergeCell ref="Z20:AB20"/>
    <mergeCell ref="A22:A25"/>
    <mergeCell ref="A26:A29"/>
    <mergeCell ref="Y26:Y29"/>
    <mergeCell ref="A30:A33"/>
    <mergeCell ref="Y30:Y33"/>
    <mergeCell ref="V6:V8"/>
    <mergeCell ref="X6:X8"/>
    <mergeCell ref="Y6:Y8"/>
    <mergeCell ref="A11:A20"/>
    <mergeCell ref="Y11:Y20"/>
    <mergeCell ref="R6:U6"/>
    <mergeCell ref="A49:A51"/>
    <mergeCell ref="Y49:Y51"/>
    <mergeCell ref="A52:A55"/>
    <mergeCell ref="A56:A59"/>
    <mergeCell ref="Y57:Y59"/>
    <mergeCell ref="A60:A63"/>
    <mergeCell ref="Y60:Y63"/>
    <mergeCell ref="A34:A37"/>
    <mergeCell ref="Y34:Y37"/>
    <mergeCell ref="A38:A41"/>
    <mergeCell ref="Y42:Y45"/>
    <mergeCell ref="A46:A48"/>
    <mergeCell ref="A42:A45"/>
    <mergeCell ref="A260:A263"/>
    <mergeCell ref="Y260:Y263"/>
    <mergeCell ref="A64:A66"/>
    <mergeCell ref="Y64:Y66"/>
    <mergeCell ref="A87:A90"/>
    <mergeCell ref="A91:A94"/>
    <mergeCell ref="Y91:Y94"/>
    <mergeCell ref="A107:A109"/>
    <mergeCell ref="Y107:Y109"/>
    <mergeCell ref="A110:A112"/>
    <mergeCell ref="Y110:Y112"/>
    <mergeCell ref="A83:A86"/>
    <mergeCell ref="A71:A74"/>
    <mergeCell ref="A99:A102"/>
    <mergeCell ref="Y67:Y70"/>
    <mergeCell ref="Y71:Y74"/>
    <mergeCell ref="Y83:Y86"/>
    <mergeCell ref="Y99:Y102"/>
    <mergeCell ref="A95:A98"/>
    <mergeCell ref="Y96:Y98"/>
    <mergeCell ref="A103:A106"/>
    <mergeCell ref="A75:A78"/>
    <mergeCell ref="Y75:Y78"/>
    <mergeCell ref="A79:A82"/>
    <mergeCell ref="Y331:Y334"/>
    <mergeCell ref="A335:A338"/>
    <mergeCell ref="A298:A302"/>
    <mergeCell ref="Y298:Y302"/>
    <mergeCell ref="A319:A322"/>
    <mergeCell ref="Y319:Y322"/>
    <mergeCell ref="A205:A208"/>
    <mergeCell ref="Y205:Y208"/>
    <mergeCell ref="A209:A212"/>
    <mergeCell ref="A269:A272"/>
    <mergeCell ref="Y269:Y272"/>
    <mergeCell ref="A273:A276"/>
    <mergeCell ref="Y273:Y276"/>
    <mergeCell ref="A219:A222"/>
    <mergeCell ref="Y209:Y212"/>
    <mergeCell ref="Y219:Y222"/>
    <mergeCell ref="A250:A253"/>
    <mergeCell ref="Y250:Y253"/>
    <mergeCell ref="A264:A268"/>
    <mergeCell ref="Y264:Y268"/>
    <mergeCell ref="A231:A233"/>
    <mergeCell ref="Y231:Y233"/>
    <mergeCell ref="A234:A237"/>
    <mergeCell ref="A238:A241"/>
    <mergeCell ref="Y294:Y297"/>
    <mergeCell ref="A315:A318"/>
    <mergeCell ref="Y323:Y326"/>
    <mergeCell ref="A277:A280"/>
    <mergeCell ref="Y277:Y280"/>
    <mergeCell ref="A303:A306"/>
    <mergeCell ref="A311:A314"/>
    <mergeCell ref="Y303:Y306"/>
    <mergeCell ref="Y311:Y314"/>
    <mergeCell ref="A286:A289"/>
    <mergeCell ref="Y286:Y289"/>
    <mergeCell ref="A307:A310"/>
    <mergeCell ref="Y307:Y310"/>
    <mergeCell ref="Y290:Y293"/>
    <mergeCell ref="A423:A426"/>
    <mergeCell ref="Y423:Y426"/>
    <mergeCell ref="A395:A398"/>
    <mergeCell ref="Y395:Y398"/>
    <mergeCell ref="A399:A402"/>
    <mergeCell ref="Y399:Y402"/>
    <mergeCell ref="A403:A406"/>
    <mergeCell ref="Y403:Y406"/>
    <mergeCell ref="A375:A378"/>
    <mergeCell ref="Y375:Y378"/>
    <mergeCell ref="A379:A382"/>
    <mergeCell ref="A383:A386"/>
    <mergeCell ref="Y383:Y386"/>
    <mergeCell ref="A391:A394"/>
    <mergeCell ref="A387:A390"/>
    <mergeCell ref="Y387:Y390"/>
    <mergeCell ref="Y419:Y422"/>
    <mergeCell ref="A419:A422"/>
    <mergeCell ref="Y415:Y418"/>
    <mergeCell ref="A415:A418"/>
    <mergeCell ref="Y411:Y414"/>
    <mergeCell ref="A411:A414"/>
    <mergeCell ref="A427:A429"/>
    <mergeCell ref="A449:A456"/>
    <mergeCell ref="X449:X456"/>
    <mergeCell ref="Y449:Y456"/>
    <mergeCell ref="Y427:Y429"/>
    <mergeCell ref="A467:A468"/>
    <mergeCell ref="Y467:Y468"/>
    <mergeCell ref="X430:X442"/>
    <mergeCell ref="A430:A436"/>
    <mergeCell ref="A437:A442"/>
    <mergeCell ref="A443:A448"/>
    <mergeCell ref="X443:X448"/>
    <mergeCell ref="Y443:Y448"/>
    <mergeCell ref="Y430:Y442"/>
    <mergeCell ref="A495:A496"/>
    <mergeCell ref="Y495:Y496"/>
    <mergeCell ref="A497:A498"/>
    <mergeCell ref="A499:A500"/>
    <mergeCell ref="A501:A502"/>
    <mergeCell ref="Y501:Y502"/>
    <mergeCell ref="Y505:Y506"/>
    <mergeCell ref="A511:A512"/>
    <mergeCell ref="Y511:Y512"/>
    <mergeCell ref="Y497:Y498"/>
    <mergeCell ref="A505:A506"/>
    <mergeCell ref="A477:A478"/>
    <mergeCell ref="A529:A530"/>
    <mergeCell ref="Y529:Y530"/>
    <mergeCell ref="A531:A532"/>
    <mergeCell ref="A533:A534"/>
    <mergeCell ref="Y533:Y534"/>
    <mergeCell ref="Y539:Y540"/>
    <mergeCell ref="A517:A520"/>
    <mergeCell ref="A521:A524"/>
    <mergeCell ref="Y521:Y524"/>
    <mergeCell ref="A525:A526"/>
    <mergeCell ref="Y525:Y526"/>
    <mergeCell ref="A527:A528"/>
    <mergeCell ref="Y527:Y528"/>
    <mergeCell ref="A535:A536"/>
    <mergeCell ref="Y535:Y536"/>
    <mergeCell ref="A503:A504"/>
    <mergeCell ref="Y503:Y504"/>
    <mergeCell ref="A507:A508"/>
    <mergeCell ref="A509:A510"/>
    <mergeCell ref="Y509:Y510"/>
    <mergeCell ref="A513:A514"/>
    <mergeCell ref="Y513:Y514"/>
    <mergeCell ref="A493:A494"/>
    <mergeCell ref="A555:A556"/>
    <mergeCell ref="Y555:Y556"/>
    <mergeCell ref="A557:A558"/>
    <mergeCell ref="Y561:Y562"/>
    <mergeCell ref="A563:A564"/>
    <mergeCell ref="A567:A568"/>
    <mergeCell ref="Y567:Y568"/>
    <mergeCell ref="A543:A544"/>
    <mergeCell ref="A545:A546"/>
    <mergeCell ref="Y545:Y546"/>
    <mergeCell ref="A547:A548"/>
    <mergeCell ref="Y547:Y548"/>
    <mergeCell ref="Y551:Y552"/>
    <mergeCell ref="A553:A554"/>
    <mergeCell ref="Y553:Y554"/>
    <mergeCell ref="A565:A566"/>
    <mergeCell ref="Y565:Y566"/>
    <mergeCell ref="A561:A562"/>
    <mergeCell ref="A550:A552"/>
    <mergeCell ref="A583:A584"/>
    <mergeCell ref="Y583:Y584"/>
    <mergeCell ref="A585:A586"/>
    <mergeCell ref="A587:A588"/>
    <mergeCell ref="Y587:Y588"/>
    <mergeCell ref="A589:A590"/>
    <mergeCell ref="Y589:Y590"/>
    <mergeCell ref="A569:A570"/>
    <mergeCell ref="A573:A574"/>
    <mergeCell ref="Y573:Y574"/>
    <mergeCell ref="A575:A576"/>
    <mergeCell ref="A577:A578"/>
    <mergeCell ref="Y577:Y578"/>
    <mergeCell ref="A571:A572"/>
    <mergeCell ref="Y571:Y572"/>
    <mergeCell ref="A605:A606"/>
    <mergeCell ref="Y605:Y606"/>
    <mergeCell ref="A607:A608"/>
    <mergeCell ref="Y607:Y608"/>
    <mergeCell ref="A609:A612"/>
    <mergeCell ref="Y609:Y610"/>
    <mergeCell ref="A591:A592"/>
    <mergeCell ref="A593:A594"/>
    <mergeCell ref="Y593:Y594"/>
    <mergeCell ref="A595:A596"/>
    <mergeCell ref="Y595:Y596"/>
    <mergeCell ref="A597:A598"/>
    <mergeCell ref="Y597:Y598"/>
    <mergeCell ref="A603:A604"/>
    <mergeCell ref="Y603:Y604"/>
    <mergeCell ref="A599:A601"/>
    <mergeCell ref="A635:A636"/>
    <mergeCell ref="Y635:Y636"/>
    <mergeCell ref="A637:A638"/>
    <mergeCell ref="A639:A640"/>
    <mergeCell ref="Y639:Y640"/>
    <mergeCell ref="A641:A642"/>
    <mergeCell ref="Y641:Y642"/>
    <mergeCell ref="A613:A614"/>
    <mergeCell ref="Y615:Y616"/>
    <mergeCell ref="Y617:Y618"/>
    <mergeCell ref="A619:A622"/>
    <mergeCell ref="A625:A626"/>
    <mergeCell ref="Y625:Y626"/>
    <mergeCell ref="A615:A616"/>
    <mergeCell ref="A617:A618"/>
    <mergeCell ref="A627:A630"/>
    <mergeCell ref="A631:A634"/>
    <mergeCell ref="Y627:Y630"/>
    <mergeCell ref="Y631:Y634"/>
    <mergeCell ref="A657:A658"/>
    <mergeCell ref="Y659:Y660"/>
    <mergeCell ref="A661:A662"/>
    <mergeCell ref="Y661:Y662"/>
    <mergeCell ref="A663:A664"/>
    <mergeCell ref="Y663:Y664"/>
    <mergeCell ref="A643:A644"/>
    <mergeCell ref="A645:A646"/>
    <mergeCell ref="Y645:Y646"/>
    <mergeCell ref="A649:A650"/>
    <mergeCell ref="Y649:Y650"/>
    <mergeCell ref="A655:A656"/>
    <mergeCell ref="Y655:Y656"/>
    <mergeCell ref="A653:A654"/>
    <mergeCell ref="Y653:Y654"/>
    <mergeCell ref="A659:A660"/>
    <mergeCell ref="A673:A674"/>
    <mergeCell ref="Y673:Y674"/>
    <mergeCell ref="A675:A678"/>
    <mergeCell ref="A679:A680"/>
    <mergeCell ref="A681:A684"/>
    <mergeCell ref="A685:A686"/>
    <mergeCell ref="Y685:Y686"/>
    <mergeCell ref="A665:A666"/>
    <mergeCell ref="Y665:Y666"/>
    <mergeCell ref="A667:A668"/>
    <mergeCell ref="A669:A670"/>
    <mergeCell ref="Y669:Y670"/>
    <mergeCell ref="A671:A672"/>
    <mergeCell ref="Y679:Y680"/>
    <mergeCell ref="Y681:Y684"/>
    <mergeCell ref="A699:A700"/>
    <mergeCell ref="Y699:Y700"/>
    <mergeCell ref="A701:A702"/>
    <mergeCell ref="A703:A704"/>
    <mergeCell ref="Y703:Y704"/>
    <mergeCell ref="A705:A706"/>
    <mergeCell ref="Y705:Y706"/>
    <mergeCell ref="A687:A688"/>
    <mergeCell ref="Y691:Y692"/>
    <mergeCell ref="A693:A694"/>
    <mergeCell ref="A695:A696"/>
    <mergeCell ref="Y695:Y696"/>
    <mergeCell ref="A697:A698"/>
    <mergeCell ref="Y697:Y698"/>
    <mergeCell ref="Y689:Y690"/>
    <mergeCell ref="A689:A690"/>
    <mergeCell ref="A719:A720"/>
    <mergeCell ref="A721:A722"/>
    <mergeCell ref="Y721:Y722"/>
    <mergeCell ref="A723:A724"/>
    <mergeCell ref="Y723:Y724"/>
    <mergeCell ref="A725:A726"/>
    <mergeCell ref="A709:A710"/>
    <mergeCell ref="A711:A712"/>
    <mergeCell ref="Y711:Y712"/>
    <mergeCell ref="A713:A714"/>
    <mergeCell ref="Y713:Y714"/>
    <mergeCell ref="A717:A718"/>
    <mergeCell ref="Y717:Y718"/>
    <mergeCell ref="A742:A743"/>
    <mergeCell ref="A744:A745"/>
    <mergeCell ref="Y744:Y745"/>
    <mergeCell ref="A746:A747"/>
    <mergeCell ref="A748:A749"/>
    <mergeCell ref="Y748:Y749"/>
    <mergeCell ref="A727:A728"/>
    <mergeCell ref="Y727:Y728"/>
    <mergeCell ref="A729:A730"/>
    <mergeCell ref="Y729:Y730"/>
    <mergeCell ref="A734:A741"/>
    <mergeCell ref="X734:X741"/>
    <mergeCell ref="Y734:Y741"/>
    <mergeCell ref="A750:A751"/>
    <mergeCell ref="Y750:Y751"/>
    <mergeCell ref="A758:A759"/>
    <mergeCell ref="A762:A763"/>
    <mergeCell ref="Y762:Y763"/>
    <mergeCell ref="A764:A765"/>
    <mergeCell ref="A754:A755"/>
    <mergeCell ref="Y756:Y757"/>
    <mergeCell ref="A756:A757"/>
    <mergeCell ref="A774:A775"/>
    <mergeCell ref="Y774:Y775"/>
    <mergeCell ref="A776:A777"/>
    <mergeCell ref="Y776:Y777"/>
    <mergeCell ref="Y778:Y779"/>
    <mergeCell ref="A780:A781"/>
    <mergeCell ref="A778:A779"/>
    <mergeCell ref="A766:A767"/>
    <mergeCell ref="Y766:Y767"/>
    <mergeCell ref="A768:A769"/>
    <mergeCell ref="A770:A771"/>
    <mergeCell ref="Y770:Y771"/>
    <mergeCell ref="A772:A773"/>
    <mergeCell ref="Y772:Y773"/>
    <mergeCell ref="Y794:Y797"/>
    <mergeCell ref="A798:A801"/>
    <mergeCell ref="A802:A805"/>
    <mergeCell ref="Y802:Y805"/>
    <mergeCell ref="A813:A814"/>
    <mergeCell ref="A790:A793"/>
    <mergeCell ref="A782:A783"/>
    <mergeCell ref="Y782:Y783"/>
    <mergeCell ref="A784:A785"/>
    <mergeCell ref="A786:A787"/>
    <mergeCell ref="Y786:Y787"/>
    <mergeCell ref="A788:A789"/>
    <mergeCell ref="A811:A812"/>
    <mergeCell ref="Y811:Y812"/>
    <mergeCell ref="Y813:Y814"/>
    <mergeCell ref="Y806:Y808"/>
    <mergeCell ref="A815:A816"/>
    <mergeCell ref="A817:A818"/>
    <mergeCell ref="Y817:Y818"/>
    <mergeCell ref="A835:A836"/>
    <mergeCell ref="A837:A838"/>
    <mergeCell ref="A839:A840"/>
    <mergeCell ref="A819:A820"/>
    <mergeCell ref="Y819:Y820"/>
    <mergeCell ref="A821:A822"/>
    <mergeCell ref="A823:A824"/>
    <mergeCell ref="Y823:Y824"/>
    <mergeCell ref="A829:A830"/>
    <mergeCell ref="A833:A834"/>
    <mergeCell ref="Y837:Y838"/>
    <mergeCell ref="A903:A904"/>
    <mergeCell ref="Y903:Y904"/>
    <mergeCell ref="Y857:Y860"/>
    <mergeCell ref="A327:A330"/>
    <mergeCell ref="A331:A334"/>
    <mergeCell ref="Y897:Y898"/>
    <mergeCell ref="A841:A842"/>
    <mergeCell ref="A845:A848"/>
    <mergeCell ref="A849:A852"/>
    <mergeCell ref="A831:A832"/>
    <mergeCell ref="Y831:Y832"/>
    <mergeCell ref="Y833:Y834"/>
    <mergeCell ref="Y849:Y852"/>
    <mergeCell ref="A861:A864"/>
    <mergeCell ref="A865:A868"/>
    <mergeCell ref="Y865:Y868"/>
    <mergeCell ref="A853:A856"/>
    <mergeCell ref="Y841:Y842"/>
    <mergeCell ref="Y853:Y856"/>
    <mergeCell ref="Y861:Y864"/>
    <mergeCell ref="A809:A810"/>
    <mergeCell ref="A869:A872"/>
    <mergeCell ref="Y869:Y872"/>
    <mergeCell ref="A885:A886"/>
    <mergeCell ref="AG9:AI9"/>
    <mergeCell ref="AA9:AC9"/>
    <mergeCell ref="AD9:AF9"/>
    <mergeCell ref="A223:A226"/>
    <mergeCell ref="A254:A259"/>
    <mergeCell ref="A351:A354"/>
    <mergeCell ref="A67:A70"/>
    <mergeCell ref="A407:A410"/>
    <mergeCell ref="A359:A362"/>
    <mergeCell ref="Y359:Y362"/>
    <mergeCell ref="A363:A366"/>
    <mergeCell ref="A367:A370"/>
    <mergeCell ref="Y367:Y370"/>
    <mergeCell ref="A371:A374"/>
    <mergeCell ref="A339:A342"/>
    <mergeCell ref="Y339:Y342"/>
    <mergeCell ref="A343:A346"/>
    <mergeCell ref="Y343:Y346"/>
    <mergeCell ref="A347:A350"/>
    <mergeCell ref="Y347:Y350"/>
    <mergeCell ref="A281:A285"/>
    <mergeCell ref="Y281:Y285"/>
    <mergeCell ref="A290:A293"/>
    <mergeCell ref="A294:A297"/>
    <mergeCell ref="A899:A902"/>
    <mergeCell ref="A924:A925"/>
    <mergeCell ref="A926:A927"/>
    <mergeCell ref="Y926:Y927"/>
    <mergeCell ref="A355:A358"/>
    <mergeCell ref="Y355:Y358"/>
    <mergeCell ref="A323:A326"/>
    <mergeCell ref="A920:A921"/>
    <mergeCell ref="A922:A923"/>
    <mergeCell ref="Y922:Y923"/>
    <mergeCell ref="A907:A908"/>
    <mergeCell ref="Y907:Y908"/>
    <mergeCell ref="A913:A914"/>
    <mergeCell ref="Y913:Y914"/>
    <mergeCell ref="A915:A917"/>
    <mergeCell ref="A918:A919"/>
    <mergeCell ref="A843:A844"/>
    <mergeCell ref="Y843:Y844"/>
    <mergeCell ref="A857:A860"/>
    <mergeCell ref="A909:A912"/>
    <mergeCell ref="Y909:Y912"/>
    <mergeCell ref="A897:A898"/>
    <mergeCell ref="A881:A884"/>
    <mergeCell ref="Y881:Y884"/>
    <mergeCell ref="A934:Y934"/>
    <mergeCell ref="A515:A516"/>
    <mergeCell ref="Y515:Y516"/>
    <mergeCell ref="A559:A560"/>
    <mergeCell ref="Y559:Y560"/>
    <mergeCell ref="A827:A828"/>
    <mergeCell ref="Y827:Y828"/>
    <mergeCell ref="A825:A826"/>
    <mergeCell ref="Y918:Y919"/>
    <mergeCell ref="A806:A808"/>
    <mergeCell ref="A887:A888"/>
    <mergeCell ref="Y887:Y888"/>
    <mergeCell ref="A873:A876"/>
    <mergeCell ref="Y873:Y876"/>
    <mergeCell ref="A877:A880"/>
    <mergeCell ref="Y877:Y880"/>
    <mergeCell ref="A905:A906"/>
    <mergeCell ref="Y905:Y906"/>
    <mergeCell ref="A889:A890"/>
    <mergeCell ref="A891:A892"/>
    <mergeCell ref="Y891:Y892"/>
    <mergeCell ref="A893:A894"/>
    <mergeCell ref="A895:A896"/>
    <mergeCell ref="Y895:Y896"/>
  </mergeCells>
  <conditionalFormatting sqref="V145:V153">
    <cfRule type="cellIs" dxfId="1" priority="3" stopIfTrue="1" operator="equal">
      <formula>0</formula>
    </cfRule>
  </conditionalFormatting>
  <conditionalFormatting sqref="W268">
    <cfRule type="cellIs" dxfId="0" priority="1" stopIfTrue="1" operator="equal">
      <formula>0</formula>
    </cfRule>
  </conditionalFormatting>
  <printOptions horizontalCentered="1"/>
  <pageMargins left="0.39370078740157483" right="0.39370078740157483" top="0.98425196850393704" bottom="0.39370078740157483" header="0.31496062992125984" footer="0.31496062992125984"/>
  <pageSetup paperSize="9" scale="76" fitToHeight="20" orientation="landscape" r:id="rId1"/>
  <headerFooter differentFirst="1">
    <oddHeader>Страница 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Индикаторы </vt:lpstr>
      <vt:lpstr>Мероприятия</vt:lpstr>
      <vt:lpstr>Подробный перечень</vt:lpstr>
      <vt:lpstr>Лист3</vt:lpstr>
      <vt:lpstr>'Индикаторы '!Заголовки_для_печати</vt:lpstr>
      <vt:lpstr>Мероприятия!Заголовки_для_печати</vt:lpstr>
      <vt:lpstr>'Подробный перечень'!Заголовки_для_печати</vt:lpstr>
      <vt:lpstr>'Индикаторы '!Область_печати</vt:lpstr>
      <vt:lpstr>Мероприятия!Область_печати</vt:lpstr>
      <vt:lpstr>'Подробный перечень'!Область_печати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Анна Александровна</dc:creator>
  <cp:lastModifiedBy>Рофе Марина Ивановна</cp:lastModifiedBy>
  <cp:lastPrinted>2018-12-03T02:52:25Z</cp:lastPrinted>
  <dcterms:created xsi:type="dcterms:W3CDTF">2014-05-15T06:42:43Z</dcterms:created>
  <dcterms:modified xsi:type="dcterms:W3CDTF">2018-12-03T03:17:56Z</dcterms:modified>
</cp:coreProperties>
</file>