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Мои документы\ГОСПРОГРАММЫ\ГП РАД 2020-2022\5 вариант\"/>
    </mc:Choice>
  </mc:AlternateContent>
  <bookViews>
    <workbookView xWindow="0" yWindow="0" windowWidth="28800" windowHeight="11400" activeTab="3"/>
  </bookViews>
  <sheets>
    <sheet name="Индикаторы " sheetId="16" r:id="rId1"/>
    <sheet name="Мероприятия" sheetId="6" r:id="rId2"/>
    <sheet name="Подробный перечень(БКАД)" sheetId="5" r:id="rId3"/>
    <sheet name="Подробный перечень (ОБ)" sheetId="18" r:id="rId4"/>
    <sheet name="прил. 1  (3)" sheetId="14" state="hidden" r:id="rId5"/>
    <sheet name="прил .6 с мостом (2)" sheetId="15" state="hidden" r:id="rId6"/>
    <sheet name="для вставки в ворд" sheetId="13" state="hidden" r:id="rId7"/>
    <sheet name="Лист3" sheetId="10" r:id="rId8"/>
  </sheets>
  <externalReferences>
    <externalReference r:id="rId9"/>
    <externalReference r:id="rId10"/>
    <externalReference r:id="rId11"/>
  </externalReferences>
  <definedNames>
    <definedName name="_xlnm.Print_Titles" localSheetId="6">'для вставки в ворд'!$1:$3</definedName>
    <definedName name="_xlnm.Print_Titles" localSheetId="0">'Индикаторы '!$11:$14</definedName>
    <definedName name="_xlnm.Print_Titles" localSheetId="1">Мероприятия!$8:$11</definedName>
    <definedName name="_xlnm.Print_Titles" localSheetId="3">'Подробный перечень (ОБ)'!$5:$8</definedName>
    <definedName name="_xlnm.Print_Titles" localSheetId="2">'Подробный перечень(БКАД)'!$6:$9</definedName>
    <definedName name="_xlnm.Print_Titles" localSheetId="5">'прил .6 с мостом (2)'!$1:$3</definedName>
    <definedName name="_xlnm.Print_Titles" localSheetId="4">'прил. 1  (3)'!$11:$12</definedName>
    <definedName name="_xlnm.Print_Area" localSheetId="0">'Индикаторы '!$A$1:$R$71</definedName>
    <definedName name="_xlnm.Print_Area" localSheetId="1">Мероприятия!$A$1:$Z$721</definedName>
    <definedName name="_xlnm.Print_Area" localSheetId="3">'Подробный перечень (ОБ)'!$A$1:$O$1370</definedName>
    <definedName name="_xlnm.Print_Area" localSheetId="2">'Подробный перечень(БКАД)'!$A$1:$O$1194</definedName>
    <definedName name="_xlnm.Print_Area" localSheetId="5">'прил .6 с мостом (2)'!$A$41:$K$45</definedName>
    <definedName name="_xlnm.Print_Area" localSheetId="4">'прил. 1  (3)'!$B$2:$S$56</definedName>
  </definedNames>
  <calcPr calcId="162913"/>
</workbook>
</file>

<file path=xl/calcChain.xml><?xml version="1.0" encoding="utf-8"?>
<calcChain xmlns="http://schemas.openxmlformats.org/spreadsheetml/2006/main">
  <c r="K81" i="15" l="1"/>
  <c r="X188" i="6"/>
  <c r="H75" i="15"/>
  <c r="W468" i="6" l="1"/>
  <c r="P35" i="16" l="1"/>
  <c r="K35" i="16"/>
  <c r="Q36" i="16"/>
  <c r="P36" i="16"/>
  <c r="K36" i="16"/>
  <c r="U40" i="14" l="1"/>
  <c r="N34" i="14" l="1"/>
  <c r="N50" i="14" l="1"/>
  <c r="N45" i="14"/>
  <c r="O17" i="14"/>
  <c r="X399" i="6"/>
  <c r="X391" i="6" s="1"/>
  <c r="W399" i="6"/>
  <c r="W391" i="6" s="1"/>
  <c r="R399" i="6"/>
  <c r="R391" i="6" s="1"/>
  <c r="X213" i="6"/>
  <c r="W213" i="6"/>
  <c r="M209" i="18" l="1"/>
  <c r="X12" i="18" s="1"/>
  <c r="M217" i="18"/>
  <c r="C62" i="15" l="1"/>
  <c r="D62" i="15"/>
  <c r="E62" i="15"/>
  <c r="F62" i="15"/>
  <c r="G62" i="15"/>
  <c r="H62" i="15"/>
  <c r="I62" i="15"/>
  <c r="J62" i="15"/>
  <c r="K62" i="15"/>
  <c r="L62" i="15"/>
  <c r="M62" i="15"/>
  <c r="J22" i="15" l="1"/>
  <c r="I22" i="15"/>
  <c r="H22" i="15"/>
  <c r="S90" i="6"/>
  <c r="S88" i="6" s="1"/>
  <c r="T90" i="6"/>
  <c r="T88" i="6" s="1"/>
  <c r="U90" i="6"/>
  <c r="U88" i="6" s="1"/>
  <c r="V90" i="6"/>
  <c r="V88" i="6" s="1"/>
  <c r="W90" i="6"/>
  <c r="W88" i="6" s="1"/>
  <c r="X90" i="6"/>
  <c r="X88" i="6" s="1"/>
  <c r="S112" i="6"/>
  <c r="T112" i="6"/>
  <c r="U112" i="6"/>
  <c r="V112" i="6"/>
  <c r="W112" i="6"/>
  <c r="W111" i="6" s="1"/>
  <c r="X112" i="6"/>
  <c r="X111" i="6" s="1"/>
  <c r="R114" i="6"/>
  <c r="R112" i="6" s="1"/>
  <c r="R111" i="6" s="1"/>
  <c r="R102" i="6"/>
  <c r="R90" i="6" l="1"/>
  <c r="R88" i="6" s="1"/>
  <c r="I57" i="15"/>
  <c r="J57" i="15"/>
  <c r="H57" i="15"/>
  <c r="Y737" i="6"/>
  <c r="H15" i="15"/>
  <c r="Y735" i="6"/>
  <c r="Z735" i="6"/>
  <c r="X179" i="6" l="1"/>
  <c r="X307" i="6"/>
  <c r="X303" i="6"/>
  <c r="W312" i="6"/>
  <c r="W307" i="6"/>
  <c r="V306" i="6"/>
  <c r="R306" i="6"/>
  <c r="H532" i="18"/>
  <c r="I532" i="18"/>
  <c r="J532" i="18"/>
  <c r="K532" i="18"/>
  <c r="H527" i="18"/>
  <c r="I527" i="18"/>
  <c r="J527" i="18"/>
  <c r="K527" i="18"/>
  <c r="P36" i="14" l="1"/>
  <c r="O36" i="14"/>
  <c r="N36" i="14"/>
  <c r="P20" i="14"/>
  <c r="O20" i="14"/>
  <c r="X14" i="5" l="1"/>
  <c r="Y14" i="5"/>
  <c r="Y13" i="5"/>
  <c r="S14" i="5"/>
  <c r="S13" i="5"/>
  <c r="V193" i="6" l="1"/>
  <c r="M635" i="5"/>
  <c r="K976" i="18"/>
  <c r="H1327" i="18" l="1"/>
  <c r="I1327" i="18"/>
  <c r="J1327" i="18"/>
  <c r="K1327" i="18"/>
  <c r="G1327" i="18"/>
  <c r="H1269" i="18"/>
  <c r="I1269" i="18"/>
  <c r="J1269" i="18"/>
  <c r="K1269" i="18"/>
  <c r="L1269" i="18"/>
  <c r="M1269" i="18"/>
  <c r="G1273" i="18"/>
  <c r="G1272" i="18"/>
  <c r="H351" i="18" l="1"/>
  <c r="I351" i="18"/>
  <c r="J351" i="18"/>
  <c r="K351" i="18"/>
  <c r="G351" i="18"/>
  <c r="G355" i="18"/>
  <c r="G356" i="18"/>
  <c r="H352" i="18"/>
  <c r="I352" i="18"/>
  <c r="J352" i="18"/>
  <c r="K352" i="18"/>
  <c r="G352" i="18"/>
  <c r="K355" i="18"/>
  <c r="M355" i="18"/>
  <c r="L355" i="18"/>
  <c r="L1301" i="18" l="1"/>
  <c r="M1301" i="18"/>
  <c r="H1301" i="18"/>
  <c r="I1301" i="18"/>
  <c r="J1301" i="18"/>
  <c r="K1301" i="18"/>
  <c r="M1271" i="18"/>
  <c r="L1155" i="5" l="1"/>
  <c r="L1157" i="5"/>
  <c r="M1317" i="18"/>
  <c r="M1315" i="18"/>
  <c r="M1143" i="5"/>
  <c r="M1141" i="5"/>
  <c r="H1128" i="5"/>
  <c r="I1128" i="5"/>
  <c r="J1128" i="5"/>
  <c r="K1128" i="5"/>
  <c r="L1128" i="5"/>
  <c r="M1128" i="5"/>
  <c r="H1129" i="5"/>
  <c r="I1129" i="5"/>
  <c r="J1129" i="5"/>
  <c r="K1129" i="5"/>
  <c r="L1129" i="5"/>
  <c r="M1129" i="5"/>
  <c r="G1131" i="5"/>
  <c r="G1129" i="5" s="1"/>
  <c r="G1130" i="5"/>
  <c r="G1128" i="5" s="1"/>
  <c r="G1303" i="18"/>
  <c r="G1301" i="18" s="1"/>
  <c r="G1302" i="18"/>
  <c r="M1239" i="18"/>
  <c r="M1206" i="18"/>
  <c r="L978" i="5"/>
  <c r="L976" i="5"/>
  <c r="M1147" i="18"/>
  <c r="L1139" i="18"/>
  <c r="M1109" i="18"/>
  <c r="G1012" i="18"/>
  <c r="G1011" i="18"/>
  <c r="L836" i="5"/>
  <c r="L1008" i="18"/>
  <c r="L972" i="18"/>
  <c r="L973" i="18"/>
  <c r="M936" i="18"/>
  <c r="L802" i="5"/>
  <c r="K274" i="5" l="1"/>
  <c r="K912" i="18" l="1"/>
  <c r="M870" i="18" l="1"/>
  <c r="L749" i="5"/>
  <c r="M824" i="18" l="1"/>
  <c r="H813" i="18"/>
  <c r="I813" i="18"/>
  <c r="J813" i="18"/>
  <c r="K813" i="18"/>
  <c r="L813" i="18"/>
  <c r="M813" i="18"/>
  <c r="G813" i="18"/>
  <c r="H814" i="18"/>
  <c r="I814" i="18"/>
  <c r="J814" i="18"/>
  <c r="M814" i="18"/>
  <c r="H815" i="18"/>
  <c r="I815" i="18"/>
  <c r="J815" i="18"/>
  <c r="M815" i="18"/>
  <c r="L833" i="18"/>
  <c r="M753" i="18"/>
  <c r="M754" i="18"/>
  <c r="G764" i="18"/>
  <c r="G763" i="18"/>
  <c r="H754" i="18"/>
  <c r="I754" i="18"/>
  <c r="J754" i="18"/>
  <c r="K754" i="18"/>
  <c r="L754" i="18"/>
  <c r="H753" i="18"/>
  <c r="I753" i="18"/>
  <c r="J753" i="18"/>
  <c r="K753" i="18"/>
  <c r="L753" i="18"/>
  <c r="G774" i="18"/>
  <c r="G773" i="18"/>
  <c r="G760" i="18"/>
  <c r="G759" i="18"/>
  <c r="G762" i="18"/>
  <c r="G761" i="18"/>
  <c r="H726" i="18"/>
  <c r="I726" i="18"/>
  <c r="J726" i="18"/>
  <c r="K726" i="18"/>
  <c r="L726" i="18"/>
  <c r="M726" i="18"/>
  <c r="G726" i="18"/>
  <c r="H728" i="18"/>
  <c r="I728" i="18"/>
  <c r="J728" i="18"/>
  <c r="K728" i="18"/>
  <c r="L728" i="18"/>
  <c r="M728" i="18"/>
  <c r="G748" i="18"/>
  <c r="G750" i="18"/>
  <c r="L639" i="5"/>
  <c r="M721" i="18"/>
  <c r="L723" i="18"/>
  <c r="M597" i="18"/>
  <c r="G859" i="18"/>
  <c r="K805" i="18"/>
  <c r="G807" i="18"/>
  <c r="K806" i="18"/>
  <c r="G808" i="18"/>
  <c r="M411" i="5" l="1"/>
  <c r="M416" i="18"/>
  <c r="L416" i="18"/>
  <c r="M265" i="5" l="1"/>
  <c r="H267" i="5"/>
  <c r="I267" i="5"/>
  <c r="J267" i="5"/>
  <c r="J266" i="5" s="1"/>
  <c r="K267" i="5"/>
  <c r="L267" i="5"/>
  <c r="M267" i="5"/>
  <c r="H270" i="5"/>
  <c r="I270" i="5"/>
  <c r="J270" i="5"/>
  <c r="K270" i="5"/>
  <c r="K266" i="5" s="1"/>
  <c r="L270" i="5"/>
  <c r="M270" i="5"/>
  <c r="M310" i="5"/>
  <c r="M327" i="18"/>
  <c r="L324" i="18"/>
  <c r="I266" i="5" l="1"/>
  <c r="H266" i="5"/>
  <c r="M302" i="5"/>
  <c r="M319" i="18"/>
  <c r="L315" i="18"/>
  <c r="L311" i="18"/>
  <c r="M307" i="5"/>
  <c r="L307" i="5"/>
  <c r="L283" i="18"/>
  <c r="L274" i="18"/>
  <c r="L270" i="18"/>
  <c r="L260" i="18"/>
  <c r="M273" i="5"/>
  <c r="L251" i="5"/>
  <c r="L248" i="18"/>
  <c r="L180" i="18"/>
  <c r="H104" i="18"/>
  <c r="I104" i="18"/>
  <c r="J104" i="18"/>
  <c r="K104" i="18"/>
  <c r="L104" i="18"/>
  <c r="M144" i="5"/>
  <c r="G124" i="18"/>
  <c r="K123" i="18"/>
  <c r="G123" i="18" s="1"/>
  <c r="L96" i="18"/>
  <c r="M41" i="18"/>
  <c r="L41" i="18"/>
  <c r="R438" i="6" l="1"/>
  <c r="H23" i="15" l="1"/>
  <c r="K1172" i="5"/>
  <c r="V494" i="6"/>
  <c r="N42" i="14" l="1"/>
  <c r="W289" i="6" l="1"/>
  <c r="G746" i="18"/>
  <c r="L1333" i="18"/>
  <c r="L1277" i="18"/>
  <c r="L1109" i="18"/>
  <c r="L1093" i="18"/>
  <c r="L1061" i="18"/>
  <c r="L989" i="18"/>
  <c r="L938" i="18"/>
  <c r="Q61" i="16" l="1"/>
  <c r="P61" i="16"/>
  <c r="K61" i="16"/>
  <c r="Q60" i="16"/>
  <c r="P60" i="16"/>
  <c r="K60" i="16"/>
  <c r="Q59" i="16"/>
  <c r="P59" i="16"/>
  <c r="K59" i="16"/>
  <c r="Q58" i="16"/>
  <c r="P58" i="16"/>
  <c r="K58" i="16"/>
  <c r="Q57" i="16"/>
  <c r="P57" i="16"/>
  <c r="K57" i="16"/>
  <c r="Q56" i="16"/>
  <c r="P56" i="16"/>
  <c r="K56" i="16"/>
  <c r="K55" i="16"/>
  <c r="Q53" i="16"/>
  <c r="P53" i="16"/>
  <c r="K53" i="16"/>
  <c r="Q52" i="16"/>
  <c r="P52" i="16"/>
  <c r="K52" i="16"/>
  <c r="Q49" i="16"/>
  <c r="P49" i="16"/>
  <c r="K49" i="16"/>
  <c r="P46" i="16"/>
  <c r="K46" i="16"/>
  <c r="Q42" i="16"/>
  <c r="P42" i="16"/>
  <c r="K42" i="16"/>
  <c r="Q41" i="16"/>
  <c r="P41" i="16"/>
  <c r="K41" i="16"/>
  <c r="Q38" i="16"/>
  <c r="Q32" i="16"/>
  <c r="P32" i="16"/>
  <c r="K32" i="16"/>
  <c r="Q31" i="16"/>
  <c r="P31" i="16"/>
  <c r="K31" i="16"/>
  <c r="P29" i="16"/>
  <c r="Q26" i="16"/>
  <c r="P26" i="16"/>
  <c r="K26" i="16"/>
  <c r="Q25" i="16"/>
  <c r="P25" i="16"/>
  <c r="K25" i="16"/>
  <c r="Q24" i="16"/>
  <c r="P24" i="16"/>
  <c r="K24" i="16"/>
  <c r="Q23" i="16"/>
  <c r="P23" i="16"/>
  <c r="K23" i="16"/>
  <c r="Q22" i="16"/>
  <c r="P22" i="16" l="1"/>
  <c r="K22" i="16"/>
  <c r="K21" i="16"/>
  <c r="Q20" i="16"/>
  <c r="P20" i="16"/>
  <c r="K20" i="16"/>
  <c r="K19" i="16"/>
  <c r="K18" i="16"/>
  <c r="K17" i="16"/>
  <c r="R224" i="6"/>
  <c r="R232" i="6"/>
  <c r="U276" i="6" l="1"/>
  <c r="U268" i="6" l="1"/>
  <c r="H378" i="5" l="1"/>
  <c r="I378" i="5"/>
  <c r="J378" i="5"/>
  <c r="K378" i="5"/>
  <c r="F56" i="14" l="1"/>
  <c r="N28" i="14"/>
  <c r="N20" i="14"/>
  <c r="N17" i="14"/>
  <c r="R14" i="5"/>
  <c r="Y13" i="18"/>
  <c r="V13" i="18"/>
  <c r="S13" i="18"/>
  <c r="X13" i="5"/>
  <c r="U14" i="5"/>
  <c r="V14" i="5"/>
  <c r="L45" i="5"/>
  <c r="H77" i="14"/>
  <c r="N15" i="14"/>
  <c r="N14" i="14"/>
  <c r="N16" i="14"/>
  <c r="E77" i="14"/>
  <c r="M16" i="15" l="1"/>
  <c r="L16" i="15"/>
  <c r="K16" i="15"/>
  <c r="K791" i="5"/>
  <c r="C76" i="15" l="1"/>
  <c r="D76" i="15"/>
  <c r="E76" i="15"/>
  <c r="F76" i="15"/>
  <c r="G76" i="15"/>
  <c r="H76" i="15"/>
  <c r="I76" i="15"/>
  <c r="J76" i="15"/>
  <c r="K76" i="15"/>
  <c r="L76" i="15"/>
  <c r="M76" i="15"/>
  <c r="C74" i="15"/>
  <c r="D74" i="15"/>
  <c r="E74" i="15"/>
  <c r="F74" i="15"/>
  <c r="G74" i="15"/>
  <c r="H74" i="15"/>
  <c r="I74" i="15"/>
  <c r="J74" i="15"/>
  <c r="K74" i="15"/>
  <c r="L74" i="15"/>
  <c r="M74" i="15"/>
  <c r="B75" i="15"/>
  <c r="B74" i="15" s="1"/>
  <c r="B71" i="15"/>
  <c r="L73" i="15" l="1"/>
  <c r="H73" i="15"/>
  <c r="K73" i="15"/>
  <c r="G73" i="15"/>
  <c r="C73" i="15"/>
  <c r="J73" i="15"/>
  <c r="D73" i="15"/>
  <c r="F73" i="15"/>
  <c r="I73" i="15"/>
  <c r="E73" i="15"/>
  <c r="B66" i="15"/>
  <c r="B78" i="15"/>
  <c r="B77" i="15"/>
  <c r="B76" i="15" l="1"/>
  <c r="B73" i="15" s="1"/>
  <c r="C24" i="15"/>
  <c r="D24" i="15"/>
  <c r="E24" i="15"/>
  <c r="F24" i="15"/>
  <c r="G24" i="15"/>
  <c r="H24" i="15"/>
  <c r="I24" i="15"/>
  <c r="J24" i="15"/>
  <c r="J53" i="15" l="1"/>
  <c r="J23" i="15"/>
  <c r="I23" i="15"/>
  <c r="X624" i="6" l="1"/>
  <c r="X640" i="6"/>
  <c r="W640" i="6"/>
  <c r="X636" i="6"/>
  <c r="W636" i="6"/>
  <c r="T569" i="6"/>
  <c r="U569" i="6"/>
  <c r="R653" i="6"/>
  <c r="L1319" i="18" l="1"/>
  <c r="L1206" i="18"/>
  <c r="L965" i="18"/>
  <c r="L920" i="18"/>
  <c r="L915" i="18"/>
  <c r="M1185" i="5" l="1"/>
  <c r="L1185" i="5"/>
  <c r="K1185" i="5"/>
  <c r="G1185" i="5" s="1"/>
  <c r="K1164" i="5"/>
  <c r="G1186" i="5"/>
  <c r="G1187" i="5"/>
  <c r="V579" i="6"/>
  <c r="K887" i="18" l="1"/>
  <c r="V555" i="6" l="1"/>
  <c r="V554" i="6"/>
  <c r="V553" i="6"/>
  <c r="V552" i="6"/>
  <c r="V551" i="6"/>
  <c r="V550" i="6"/>
  <c r="V549" i="6"/>
  <c r="V548" i="6"/>
  <c r="V547" i="6"/>
  <c r="V546" i="6"/>
  <c r="V545" i="6"/>
  <c r="V544" i="6"/>
  <c r="V543" i="6"/>
  <c r="V542" i="6"/>
  <c r="V541" i="6"/>
  <c r="V540" i="6"/>
  <c r="V539" i="6"/>
  <c r="V538" i="6"/>
  <c r="V537" i="6"/>
  <c r="V536" i="6"/>
  <c r="V535" i="6"/>
  <c r="V534" i="6"/>
  <c r="V533" i="6"/>
  <c r="V532" i="6"/>
  <c r="V531" i="6"/>
  <c r="V530" i="6"/>
  <c r="V529" i="6"/>
  <c r="V528" i="6"/>
  <c r="V527" i="6"/>
  <c r="R494" i="6"/>
  <c r="S394" i="6"/>
  <c r="T394" i="6"/>
  <c r="U394" i="6"/>
  <c r="V438" i="6"/>
  <c r="AG411" i="6" s="1"/>
  <c r="AG409" i="6"/>
  <c r="AG408" i="6"/>
  <c r="AG402" i="6"/>
  <c r="K1180" i="5" l="1"/>
  <c r="G1172" i="5"/>
  <c r="L1172" i="5"/>
  <c r="H1172" i="5"/>
  <c r="I1172" i="5"/>
  <c r="J1172" i="5"/>
  <c r="M1172" i="5"/>
  <c r="Q393" i="6"/>
  <c r="P393" i="6"/>
  <c r="O393" i="6"/>
  <c r="N393" i="6"/>
  <c r="M393" i="6"/>
  <c r="L393" i="6"/>
  <c r="K393" i="6"/>
  <c r="J393" i="6"/>
  <c r="I393" i="6"/>
  <c r="H393" i="6"/>
  <c r="G393" i="6"/>
  <c r="F393" i="6"/>
  <c r="E393" i="6"/>
  <c r="D393" i="6"/>
  <c r="C393" i="6"/>
  <c r="R94" i="6" l="1"/>
  <c r="S216" i="6" l="1"/>
  <c r="T216" i="6"/>
  <c r="U216" i="6"/>
  <c r="V216" i="6"/>
  <c r="W216" i="6"/>
  <c r="X216" i="6"/>
  <c r="W231" i="6"/>
  <c r="V190" i="6" l="1"/>
  <c r="R194" i="6"/>
  <c r="S333" i="6"/>
  <c r="T333" i="6"/>
  <c r="T325" i="6" s="1"/>
  <c r="U333" i="6"/>
  <c r="U325" i="6" s="1"/>
  <c r="G1340" i="18"/>
  <c r="R379" i="6" s="1"/>
  <c r="R377" i="6"/>
  <c r="V372" i="6"/>
  <c r="S379" i="6"/>
  <c r="X374" i="6"/>
  <c r="W374" i="6"/>
  <c r="V374" i="6"/>
  <c r="M967" i="18"/>
  <c r="V370" i="6"/>
  <c r="V367" i="6"/>
  <c r="H1078" i="18"/>
  <c r="I1078" i="18"/>
  <c r="J1078" i="18"/>
  <c r="H1076" i="18"/>
  <c r="I1076" i="18"/>
  <c r="J1076" i="18"/>
  <c r="K1076" i="18"/>
  <c r="L1076" i="18"/>
  <c r="M1076" i="18"/>
  <c r="H1064" i="18"/>
  <c r="I1064" i="18"/>
  <c r="J1064" i="18"/>
  <c r="K1064" i="18"/>
  <c r="V350" i="6" s="1"/>
  <c r="L1064" i="18"/>
  <c r="M1064" i="18"/>
  <c r="H1062" i="18"/>
  <c r="I1062" i="18"/>
  <c r="J1062" i="18"/>
  <c r="K1062" i="18"/>
  <c r="L1062" i="18"/>
  <c r="M1062" i="18"/>
  <c r="G1068" i="18"/>
  <c r="G1067" i="18"/>
  <c r="G1066" i="18"/>
  <c r="G1335" i="18"/>
  <c r="R374" i="6" s="1"/>
  <c r="H1322" i="18"/>
  <c r="I1322" i="18"/>
  <c r="J1322" i="18"/>
  <c r="M1322" i="18"/>
  <c r="L1322" i="18"/>
  <c r="G1332" i="18"/>
  <c r="K1333" i="18"/>
  <c r="K1322" i="18" s="1"/>
  <c r="G1331" i="18"/>
  <c r="G1330" i="18"/>
  <c r="H1311" i="18"/>
  <c r="I1311" i="18"/>
  <c r="J1311" i="18"/>
  <c r="K1311" i="18"/>
  <c r="V371" i="6" s="1"/>
  <c r="L1311" i="18"/>
  <c r="M1311" i="18"/>
  <c r="H1310" i="18"/>
  <c r="I1310" i="18"/>
  <c r="J1310" i="18"/>
  <c r="K1310" i="18"/>
  <c r="L1310" i="18"/>
  <c r="M1310" i="18"/>
  <c r="G1319" i="18"/>
  <c r="G1318" i="18"/>
  <c r="G1313" i="18"/>
  <c r="G1311" i="18" s="1"/>
  <c r="R371" i="6" s="1"/>
  <c r="G1312" i="18"/>
  <c r="G1310" i="18" s="1"/>
  <c r="G1309" i="18"/>
  <c r="G1308" i="18"/>
  <c r="G1305" i="18"/>
  <c r="G1304" i="18"/>
  <c r="G1307" i="18"/>
  <c r="R370" i="6" s="1"/>
  <c r="G1306" i="18"/>
  <c r="M1287" i="18"/>
  <c r="G1287" i="18"/>
  <c r="G1286" i="18"/>
  <c r="G1277" i="18"/>
  <c r="G1276" i="18"/>
  <c r="G1275" i="18"/>
  <c r="G1274" i="18"/>
  <c r="G1271" i="18"/>
  <c r="G1269" i="18" s="1"/>
  <c r="G1270" i="18"/>
  <c r="G1267" i="18"/>
  <c r="G1266" i="18"/>
  <c r="G1265" i="18"/>
  <c r="G1264" i="18"/>
  <c r="G1251" i="18"/>
  <c r="G1250" i="18"/>
  <c r="G1245" i="18"/>
  <c r="G1244" i="18"/>
  <c r="G1237" i="18"/>
  <c r="G1236" i="18"/>
  <c r="G1233" i="18"/>
  <c r="G1232" i="18"/>
  <c r="H1168" i="18"/>
  <c r="I1168" i="18"/>
  <c r="J1168" i="18"/>
  <c r="K1168" i="18"/>
  <c r="L1168" i="18"/>
  <c r="M1168" i="18"/>
  <c r="K1206" i="18"/>
  <c r="R367" i="6" l="1"/>
  <c r="S325" i="6"/>
  <c r="G1333" i="18"/>
  <c r="M1150" i="18" l="1"/>
  <c r="G1153" i="18"/>
  <c r="H1148" i="18"/>
  <c r="I1148" i="18"/>
  <c r="J1148" i="18"/>
  <c r="K1148" i="18"/>
  <c r="L1148" i="18"/>
  <c r="M1148" i="18"/>
  <c r="H1150" i="18"/>
  <c r="I1150" i="18"/>
  <c r="J1150" i="18"/>
  <c r="K1150" i="18"/>
  <c r="V356" i="6" s="1"/>
  <c r="L1150" i="18"/>
  <c r="G1167" i="18"/>
  <c r="G1166" i="18"/>
  <c r="L1161" i="18"/>
  <c r="M1161" i="18"/>
  <c r="G1155" i="18"/>
  <c r="M1136" i="18"/>
  <c r="X355" i="6" s="1"/>
  <c r="L1136" i="18"/>
  <c r="W355" i="6" s="1"/>
  <c r="G1139" i="18"/>
  <c r="G1138" i="18"/>
  <c r="H1127" i="18"/>
  <c r="I1127" i="18"/>
  <c r="J1127" i="18"/>
  <c r="M1127" i="18"/>
  <c r="X354" i="6" s="1"/>
  <c r="L1127" i="18"/>
  <c r="W354" i="6" s="1"/>
  <c r="G1132" i="18"/>
  <c r="K1133" i="18"/>
  <c r="G1133" i="18" s="1"/>
  <c r="G1131" i="18"/>
  <c r="H1114" i="18"/>
  <c r="H1113" i="18" s="1"/>
  <c r="I1114" i="18"/>
  <c r="I1113" i="18" s="1"/>
  <c r="J1114" i="18"/>
  <c r="J1113" i="18" s="1"/>
  <c r="M1114" i="18"/>
  <c r="H1112" i="18"/>
  <c r="I1112" i="18"/>
  <c r="J1112" i="18"/>
  <c r="K1112" i="18"/>
  <c r="L1112" i="18"/>
  <c r="M1112" i="18"/>
  <c r="L1114" i="18"/>
  <c r="G1125" i="18"/>
  <c r="G1124" i="18"/>
  <c r="K1121" i="18"/>
  <c r="K1117" i="18"/>
  <c r="G1117" i="18" s="1"/>
  <c r="G1119" i="18"/>
  <c r="M1117" i="18"/>
  <c r="L1117" i="18"/>
  <c r="G1116" i="18"/>
  <c r="K1109" i="18"/>
  <c r="G1093" i="18"/>
  <c r="G1092" i="18"/>
  <c r="G1087" i="18"/>
  <c r="G1086" i="18"/>
  <c r="M1085" i="18"/>
  <c r="L1085" i="18"/>
  <c r="K1085" i="18"/>
  <c r="G1085" i="18" s="1"/>
  <c r="G1084" i="18"/>
  <c r="K1081" i="18"/>
  <c r="K1078" i="18" s="1"/>
  <c r="M1045" i="18"/>
  <c r="M1061" i="18"/>
  <c r="G1060" i="18"/>
  <c r="K1061" i="18"/>
  <c r="G1061" i="18" s="1"/>
  <c r="M1025" i="18"/>
  <c r="G1039" i="18"/>
  <c r="K1041" i="18"/>
  <c r="G1041" i="18" s="1"/>
  <c r="G1034" i="18"/>
  <c r="G1033" i="18"/>
  <c r="M1032" i="18"/>
  <c r="L1032" i="18"/>
  <c r="K1032" i="18"/>
  <c r="G1032" i="18" s="1"/>
  <c r="G1031" i="18"/>
  <c r="G1021" i="18"/>
  <c r="G1022" i="18"/>
  <c r="H1010" i="18"/>
  <c r="I1010" i="18"/>
  <c r="J1010" i="18"/>
  <c r="K1010" i="18"/>
  <c r="V346" i="6" s="1"/>
  <c r="L1010" i="18"/>
  <c r="M1010" i="18"/>
  <c r="G1019" i="18"/>
  <c r="G1020" i="18"/>
  <c r="G1018" i="18"/>
  <c r="G1007" i="18"/>
  <c r="G1008" i="18"/>
  <c r="M1002" i="18"/>
  <c r="K991" i="18"/>
  <c r="G993" i="18"/>
  <c r="G994" i="18"/>
  <c r="G995" i="18"/>
  <c r="G996" i="18"/>
  <c r="G997" i="18"/>
  <c r="G998" i="18"/>
  <c r="G999" i="18"/>
  <c r="G1000" i="18"/>
  <c r="G1001" i="18"/>
  <c r="G991" i="18"/>
  <c r="G1002" i="18"/>
  <c r="M976" i="18"/>
  <c r="M969" i="18"/>
  <c r="X343" i="6" s="1"/>
  <c r="M980" i="18"/>
  <c r="H969" i="18"/>
  <c r="I969" i="18"/>
  <c r="J969" i="18"/>
  <c r="G981" i="18"/>
  <c r="G980" i="18" s="1"/>
  <c r="L980" i="18"/>
  <c r="K980" i="18"/>
  <c r="J980" i="18"/>
  <c r="I980" i="18"/>
  <c r="H980" i="18"/>
  <c r="G979" i="18"/>
  <c r="L969" i="18"/>
  <c r="W343" i="6" s="1"/>
  <c r="K989" i="18"/>
  <c r="K969" i="18" s="1"/>
  <c r="V343" i="6" s="1"/>
  <c r="H984" i="18"/>
  <c r="I984" i="18"/>
  <c r="J984" i="18"/>
  <c r="K984" i="18"/>
  <c r="G977" i="18"/>
  <c r="L976" i="18"/>
  <c r="G976" i="18"/>
  <c r="G975" i="18"/>
  <c r="G983" i="18"/>
  <c r="L984" i="18"/>
  <c r="G985" i="18"/>
  <c r="G984" i="18" s="1"/>
  <c r="H953" i="18"/>
  <c r="I953" i="18"/>
  <c r="J953" i="18"/>
  <c r="K953" i="18"/>
  <c r="V342" i="6" s="1"/>
  <c r="L953" i="18"/>
  <c r="W342" i="6" s="1"/>
  <c r="M953" i="18"/>
  <c r="X342" i="6" s="1"/>
  <c r="G965" i="18"/>
  <c r="G958" i="18"/>
  <c r="G957" i="18"/>
  <c r="M956" i="18"/>
  <c r="L956" i="18"/>
  <c r="K956" i="18"/>
  <c r="G956" i="18" s="1"/>
  <c r="G955" i="18"/>
  <c r="H951" i="18"/>
  <c r="I951" i="18"/>
  <c r="J951" i="18"/>
  <c r="K951" i="18"/>
  <c r="L951" i="18"/>
  <c r="M951" i="18"/>
  <c r="G949" i="18"/>
  <c r="G950" i="18"/>
  <c r="G948" i="18"/>
  <c r="M927" i="18"/>
  <c r="L929" i="18"/>
  <c r="W340" i="6" s="1"/>
  <c r="M929" i="18"/>
  <c r="X340" i="6" s="1"/>
  <c r="H929" i="18"/>
  <c r="I929" i="18"/>
  <c r="J929" i="18"/>
  <c r="K929" i="18"/>
  <c r="V340" i="6" s="1"/>
  <c r="G936" i="18"/>
  <c r="G935" i="18"/>
  <c r="G919" i="18"/>
  <c r="G920" i="18"/>
  <c r="K914" i="18"/>
  <c r="G914" i="18" s="1"/>
  <c r="K908" i="18"/>
  <c r="H906" i="18"/>
  <c r="I906" i="18"/>
  <c r="J906" i="18"/>
  <c r="K906" i="18"/>
  <c r="M906" i="18"/>
  <c r="H908" i="18"/>
  <c r="I908" i="18"/>
  <c r="I907" i="18" s="1"/>
  <c r="J908" i="18"/>
  <c r="J907" i="18" s="1"/>
  <c r="L908" i="18"/>
  <c r="M908" i="18"/>
  <c r="G913" i="18"/>
  <c r="G915" i="18"/>
  <c r="G910" i="18"/>
  <c r="M911" i="18"/>
  <c r="G916" i="18"/>
  <c r="G1154" i="5"/>
  <c r="G1155" i="5"/>
  <c r="L1150" i="5"/>
  <c r="H1137" i="5"/>
  <c r="I1137" i="5"/>
  <c r="J1137" i="5"/>
  <c r="K1137" i="5"/>
  <c r="L1137" i="5"/>
  <c r="M1137" i="5"/>
  <c r="G1137" i="5"/>
  <c r="H1136" i="5"/>
  <c r="I1136" i="5"/>
  <c r="J1136" i="5"/>
  <c r="K1136" i="5"/>
  <c r="L1136" i="5"/>
  <c r="M1136" i="5"/>
  <c r="G1136" i="5"/>
  <c r="G1132" i="5"/>
  <c r="G1133" i="5"/>
  <c r="G1106" i="5"/>
  <c r="G1107" i="5"/>
  <c r="G1104" i="5"/>
  <c r="G1105" i="5"/>
  <c r="G1078" i="5"/>
  <c r="G1079" i="5"/>
  <c r="K1081" i="5"/>
  <c r="G1070" i="5"/>
  <c r="G1071" i="5"/>
  <c r="L1053" i="5"/>
  <c r="L970" i="5"/>
  <c r="L909" i="5"/>
  <c r="G913" i="5"/>
  <c r="G914" i="5"/>
  <c r="G870" i="5"/>
  <c r="G871" i="5"/>
  <c r="G862" i="5"/>
  <c r="G863" i="5"/>
  <c r="S317" i="6"/>
  <c r="K1114" i="18" l="1"/>
  <c r="K1127" i="18"/>
  <c r="V354" i="6" s="1"/>
  <c r="X338" i="6"/>
  <c r="H907" i="18"/>
  <c r="K907" i="18"/>
  <c r="V338" i="6"/>
  <c r="W338" i="6"/>
  <c r="G1127" i="18"/>
  <c r="R354" i="6" s="1"/>
  <c r="K1040" i="18"/>
  <c r="G1040" i="18" s="1"/>
  <c r="G906" i="18"/>
  <c r="G1118" i="18"/>
  <c r="K911" i="18"/>
  <c r="G911" i="18" s="1"/>
  <c r="G912" i="18"/>
  <c r="G908" i="18" s="1"/>
  <c r="V353" i="6" l="1"/>
  <c r="K1113" i="18"/>
  <c r="R338" i="6"/>
  <c r="X64" i="6"/>
  <c r="W64" i="6"/>
  <c r="V64" i="6"/>
  <c r="X66" i="6"/>
  <c r="W66" i="6"/>
  <c r="X65" i="6"/>
  <c r="W65" i="6"/>
  <c r="S65" i="6"/>
  <c r="S66" i="6"/>
  <c r="R66" i="6"/>
  <c r="T445" i="5"/>
  <c r="S445" i="5"/>
  <c r="R445" i="5"/>
  <c r="S59" i="6"/>
  <c r="R59" i="6" s="1"/>
  <c r="H889" i="18" l="1"/>
  <c r="S316" i="6" s="1"/>
  <c r="I889" i="18"/>
  <c r="J889" i="18"/>
  <c r="K889" i="18"/>
  <c r="G890" i="18"/>
  <c r="R317" i="6" s="1"/>
  <c r="G889" i="18" l="1"/>
  <c r="R316" i="6" s="1"/>
  <c r="G772" i="18"/>
  <c r="G771" i="18"/>
  <c r="G770" i="18"/>
  <c r="G769" i="18"/>
  <c r="G768" i="18"/>
  <c r="G767" i="18"/>
  <c r="G766" i="18"/>
  <c r="G765" i="18"/>
  <c r="G758" i="18"/>
  <c r="G757" i="18"/>
  <c r="G610" i="18"/>
  <c r="G606" i="18" s="1"/>
  <c r="H606" i="18"/>
  <c r="I606" i="18"/>
  <c r="J606" i="18"/>
  <c r="K606" i="18"/>
  <c r="H608" i="18"/>
  <c r="H607" i="18" s="1"/>
  <c r="I608" i="18"/>
  <c r="I607" i="18" s="1"/>
  <c r="J608" i="18"/>
  <c r="J607" i="18" s="1"/>
  <c r="K608" i="18"/>
  <c r="G612" i="18"/>
  <c r="G611" i="18" s="1"/>
  <c r="K607" i="18" l="1"/>
  <c r="V289" i="6"/>
  <c r="G769" i="5"/>
  <c r="H768" i="5"/>
  <c r="S64" i="6" s="1"/>
  <c r="G768" i="5" l="1"/>
  <c r="R64" i="6" s="1"/>
  <c r="R65" i="6"/>
  <c r="S125" i="6"/>
  <c r="T125" i="6"/>
  <c r="H162" i="18"/>
  <c r="I162" i="18"/>
  <c r="J162" i="18"/>
  <c r="K162" i="18"/>
  <c r="H264" i="18" l="1"/>
  <c r="I264" i="18"/>
  <c r="J264" i="18"/>
  <c r="K264" i="18"/>
  <c r="L264" i="18"/>
  <c r="M264" i="18"/>
  <c r="G324" i="18"/>
  <c r="M323" i="18"/>
  <c r="L323" i="18"/>
  <c r="K323" i="18"/>
  <c r="G323" i="18" s="1"/>
  <c r="G322" i="18"/>
  <c r="G320" i="18"/>
  <c r="L319" i="18"/>
  <c r="K319" i="18"/>
  <c r="G319" i="18" s="1"/>
  <c r="G318" i="18"/>
  <c r="M145" i="18" l="1"/>
  <c r="M144" i="18" s="1"/>
  <c r="G149" i="18"/>
  <c r="G437" i="5" l="1"/>
  <c r="U332" i="6" l="1"/>
  <c r="T332" i="6"/>
  <c r="G331" i="6"/>
  <c r="F331" i="6"/>
  <c r="E331" i="6"/>
  <c r="D331" i="6"/>
  <c r="C331" i="6"/>
  <c r="M330" i="6"/>
  <c r="L330" i="6"/>
  <c r="H330" i="6" s="1"/>
  <c r="R387" i="6"/>
  <c r="R385" i="6" s="1"/>
  <c r="S377" i="6"/>
  <c r="S332" i="6" s="1"/>
  <c r="S385" i="6" l="1"/>
  <c r="K1011" i="5"/>
  <c r="M995" i="5"/>
  <c r="G988" i="5"/>
  <c r="G989" i="5"/>
  <c r="L972" i="5"/>
  <c r="G981" i="5"/>
  <c r="G980" i="5"/>
  <c r="L962" i="5"/>
  <c r="L963" i="5"/>
  <c r="G967" i="5"/>
  <c r="K966" i="5"/>
  <c r="G966" i="5" s="1"/>
  <c r="H955" i="5"/>
  <c r="I955" i="5"/>
  <c r="J955" i="5"/>
  <c r="K955" i="5"/>
  <c r="L955" i="5"/>
  <c r="M955" i="5"/>
  <c r="H957" i="5"/>
  <c r="I957" i="5"/>
  <c r="J957" i="5"/>
  <c r="K957" i="5"/>
  <c r="L957" i="5"/>
  <c r="M957" i="5"/>
  <c r="G961" i="5"/>
  <c r="G960" i="5" s="1"/>
  <c r="G956" i="5" s="1"/>
  <c r="M960" i="5"/>
  <c r="M956" i="5" s="1"/>
  <c r="L960" i="5"/>
  <c r="L956" i="5" s="1"/>
  <c r="K960" i="5"/>
  <c r="K956" i="5" s="1"/>
  <c r="J960" i="5"/>
  <c r="J956" i="5" s="1"/>
  <c r="I960" i="5"/>
  <c r="I956" i="5" s="1"/>
  <c r="H960" i="5"/>
  <c r="H956" i="5" s="1"/>
  <c r="G959" i="5"/>
  <c r="G955" i="5" s="1"/>
  <c r="G948" i="5"/>
  <c r="G930" i="5"/>
  <c r="L911" i="5"/>
  <c r="M920" i="5"/>
  <c r="G915" i="5"/>
  <c r="L897" i="5"/>
  <c r="L889" i="5"/>
  <c r="G957" i="5" l="1"/>
  <c r="H832" i="5"/>
  <c r="I832" i="5"/>
  <c r="J832" i="5"/>
  <c r="K832" i="5"/>
  <c r="L832" i="5"/>
  <c r="M832" i="5"/>
  <c r="H831" i="5"/>
  <c r="I831" i="5"/>
  <c r="J831" i="5"/>
  <c r="H830" i="5"/>
  <c r="I830" i="5"/>
  <c r="J830" i="5"/>
  <c r="K830" i="5"/>
  <c r="L830" i="5"/>
  <c r="M830" i="5"/>
  <c r="M843" i="5"/>
  <c r="G841" i="5" l="1"/>
  <c r="G840" i="5"/>
  <c r="L839" i="5"/>
  <c r="K839" i="5"/>
  <c r="G839" i="5" s="1"/>
  <c r="G838" i="5"/>
  <c r="M820" i="5"/>
  <c r="M827" i="5"/>
  <c r="G815" i="5"/>
  <c r="H778" i="5" l="1"/>
  <c r="I778" i="5"/>
  <c r="J778" i="5"/>
  <c r="K778" i="5"/>
  <c r="H780" i="5"/>
  <c r="H779" i="5" s="1"/>
  <c r="I780" i="5"/>
  <c r="I779" i="5" s="1"/>
  <c r="J780" i="5"/>
  <c r="J779" i="5" s="1"/>
  <c r="G784" i="5"/>
  <c r="G782" i="5"/>
  <c r="K783" i="5"/>
  <c r="K780" i="5" s="1"/>
  <c r="K779" i="5" s="1"/>
  <c r="G783" i="5" l="1"/>
  <c r="G780" i="5" s="1"/>
  <c r="X315" i="6"/>
  <c r="R284" i="6"/>
  <c r="R285" i="6"/>
  <c r="R286" i="6"/>
  <c r="R292" i="6"/>
  <c r="R294" i="6"/>
  <c r="R295" i="6"/>
  <c r="R296" i="6"/>
  <c r="R304" i="6"/>
  <c r="R308" i="6"/>
  <c r="R310" i="6"/>
  <c r="R313" i="6"/>
  <c r="R314" i="6"/>
  <c r="M592" i="18" l="1"/>
  <c r="H620" i="18"/>
  <c r="I620" i="18"/>
  <c r="J620" i="18"/>
  <c r="K620" i="18"/>
  <c r="H621" i="18"/>
  <c r="I621" i="18"/>
  <c r="G867" i="18"/>
  <c r="G868" i="18"/>
  <c r="G869" i="18"/>
  <c r="G870" i="18"/>
  <c r="G871" i="18"/>
  <c r="G872" i="18"/>
  <c r="M865" i="18"/>
  <c r="M866" i="18"/>
  <c r="H857" i="18"/>
  <c r="I857" i="18"/>
  <c r="J857" i="18"/>
  <c r="K857" i="18"/>
  <c r="G861" i="18"/>
  <c r="H858" i="18"/>
  <c r="I858" i="18"/>
  <c r="J858" i="18"/>
  <c r="K858" i="18"/>
  <c r="G862" i="18"/>
  <c r="X312" i="6" l="1"/>
  <c r="X288" i="6"/>
  <c r="G775" i="18"/>
  <c r="G753" i="18" s="1"/>
  <c r="G776" i="18"/>
  <c r="G754" i="18" s="1"/>
  <c r="X301" i="6" l="1"/>
  <c r="X300" i="6" s="1"/>
  <c r="G744" i="18"/>
  <c r="G741" i="18"/>
  <c r="H716" i="18"/>
  <c r="I716" i="18"/>
  <c r="J716" i="18"/>
  <c r="K716" i="18"/>
  <c r="L716" i="18"/>
  <c r="H718" i="18"/>
  <c r="I718" i="18"/>
  <c r="J718" i="18"/>
  <c r="K718" i="18"/>
  <c r="V299" i="6" s="1"/>
  <c r="R299" i="6" s="1"/>
  <c r="L718" i="18"/>
  <c r="M718" i="18"/>
  <c r="X299" i="6" s="1"/>
  <c r="X276" i="6" s="1"/>
  <c r="G722" i="18"/>
  <c r="G724" i="18"/>
  <c r="G725" i="18"/>
  <c r="G718" i="18" s="1"/>
  <c r="G720" i="18"/>
  <c r="G662" i="18"/>
  <c r="G663" i="18"/>
  <c r="G660" i="18"/>
  <c r="K622" i="18"/>
  <c r="K627" i="18"/>
  <c r="G627" i="18" s="1"/>
  <c r="G628" i="18"/>
  <c r="G629" i="18"/>
  <c r="G630" i="18"/>
  <c r="G631" i="18"/>
  <c r="G626" i="18"/>
  <c r="H592" i="18"/>
  <c r="I592" i="18"/>
  <c r="J592" i="18"/>
  <c r="K592" i="18"/>
  <c r="H590" i="18"/>
  <c r="I590" i="18"/>
  <c r="J590" i="18"/>
  <c r="K590" i="18"/>
  <c r="G594" i="18"/>
  <c r="G596" i="18"/>
  <c r="G597" i="18"/>
  <c r="G598" i="18"/>
  <c r="G600" i="18"/>
  <c r="G595" i="18"/>
  <c r="H544" i="18"/>
  <c r="I544" i="18"/>
  <c r="J544" i="18"/>
  <c r="K544" i="18"/>
  <c r="G546" i="18"/>
  <c r="H545" i="18"/>
  <c r="I545" i="18"/>
  <c r="J545" i="18"/>
  <c r="K545" i="18"/>
  <c r="V283" i="6" s="1"/>
  <c r="G547" i="18"/>
  <c r="X268" i="6" l="1"/>
  <c r="R283" i="6"/>
  <c r="M717" i="18"/>
  <c r="G620" i="18"/>
  <c r="G622" i="18"/>
  <c r="G621" i="18" s="1"/>
  <c r="V290" i="6"/>
  <c r="R290" i="6" s="1"/>
  <c r="K621" i="18"/>
  <c r="G590" i="18"/>
  <c r="G592" i="18"/>
  <c r="L646" i="5" l="1"/>
  <c r="K646" i="5"/>
  <c r="G746" i="5"/>
  <c r="G747" i="5"/>
  <c r="G748" i="5"/>
  <c r="G749" i="5"/>
  <c r="G658" i="5"/>
  <c r="G659" i="5"/>
  <c r="G656" i="5"/>
  <c r="K652" i="5"/>
  <c r="G652" i="5" s="1"/>
  <c r="W120" i="6" l="1"/>
  <c r="X175" i="6"/>
  <c r="X150" i="6"/>
  <c r="X126" i="6" s="1"/>
  <c r="X149" i="6"/>
  <c r="X124" i="6" s="1"/>
  <c r="W156" i="6" l="1"/>
  <c r="W157" i="6"/>
  <c r="W126" i="6" s="1"/>
  <c r="S126" i="6"/>
  <c r="T126" i="6"/>
  <c r="U126" i="6"/>
  <c r="S124" i="6"/>
  <c r="T124" i="6"/>
  <c r="U124" i="6"/>
  <c r="R176" i="6"/>
  <c r="V175" i="6"/>
  <c r="R175" i="6" s="1"/>
  <c r="R165" i="6"/>
  <c r="R161" i="6"/>
  <c r="S154" i="6"/>
  <c r="T154" i="6"/>
  <c r="U154" i="6"/>
  <c r="V143" i="6"/>
  <c r="V124" i="6" l="1"/>
  <c r="R143" i="6"/>
  <c r="R124" i="6" s="1"/>
  <c r="W124" i="6"/>
  <c r="L130" i="18"/>
  <c r="L164" i="18"/>
  <c r="M164" i="18"/>
  <c r="L175" i="18"/>
  <c r="M175" i="18"/>
  <c r="H396" i="18"/>
  <c r="I396" i="18"/>
  <c r="J396" i="18"/>
  <c r="K396" i="18"/>
  <c r="V173" i="6" s="1"/>
  <c r="R173" i="6" s="1"/>
  <c r="H164" i="18"/>
  <c r="I164" i="18"/>
  <c r="J164" i="18"/>
  <c r="K164" i="18"/>
  <c r="V160" i="6" s="1"/>
  <c r="R160" i="6" s="1"/>
  <c r="G176" i="18"/>
  <c r="K175" i="18"/>
  <c r="G175" i="18" s="1"/>
  <c r="M140" i="18"/>
  <c r="L51" i="18"/>
  <c r="H51" i="18"/>
  <c r="I51" i="18"/>
  <c r="J51" i="18"/>
  <c r="U145" i="6" s="1"/>
  <c r="U125" i="6" s="1"/>
  <c r="K51" i="18"/>
  <c r="V145" i="6" s="1"/>
  <c r="V152" i="6"/>
  <c r="V168" i="6"/>
  <c r="H256" i="18"/>
  <c r="H255" i="18" s="1"/>
  <c r="I256" i="18"/>
  <c r="I255" i="18" s="1"/>
  <c r="J256" i="18"/>
  <c r="J255" i="18" s="1"/>
  <c r="K256" i="18"/>
  <c r="V167" i="6" s="1"/>
  <c r="R167" i="6" s="1"/>
  <c r="H243" i="18"/>
  <c r="I243" i="18"/>
  <c r="J243" i="18"/>
  <c r="H244" i="18"/>
  <c r="I244" i="18"/>
  <c r="J244" i="18"/>
  <c r="K244" i="18"/>
  <c r="V166" i="6" s="1"/>
  <c r="R166" i="6" s="1"/>
  <c r="M200" i="18"/>
  <c r="X163" i="6" s="1"/>
  <c r="G204" i="18"/>
  <c r="G200" i="18" s="1"/>
  <c r="G205" i="18"/>
  <c r="G207" i="18"/>
  <c r="G208" i="18"/>
  <c r="K200" i="18"/>
  <c r="V163" i="6" s="1"/>
  <c r="R163" i="6" s="1"/>
  <c r="L132" i="18"/>
  <c r="W155" i="6" s="1"/>
  <c r="W154" i="6" s="1"/>
  <c r="H132" i="18"/>
  <c r="I132" i="18"/>
  <c r="J132" i="18"/>
  <c r="K132" i="18"/>
  <c r="V155" i="6" s="1"/>
  <c r="V154" i="6" s="1"/>
  <c r="L133" i="18"/>
  <c r="H131" i="18"/>
  <c r="I131" i="18"/>
  <c r="J131" i="18"/>
  <c r="M132" i="18"/>
  <c r="L420" i="18"/>
  <c r="W175" i="6" s="1"/>
  <c r="H432" i="18"/>
  <c r="I432" i="18"/>
  <c r="J432" i="18"/>
  <c r="K432" i="18"/>
  <c r="V177" i="6" s="1"/>
  <c r="R177" i="6" s="1"/>
  <c r="L432" i="18"/>
  <c r="W177" i="6" s="1"/>
  <c r="M432" i="18"/>
  <c r="H431" i="18"/>
  <c r="I431" i="18"/>
  <c r="J431" i="18"/>
  <c r="M431" i="18"/>
  <c r="G436" i="18"/>
  <c r="G432" i="18" s="1"/>
  <c r="K435" i="18"/>
  <c r="K431" i="18" s="1"/>
  <c r="L427" i="18"/>
  <c r="L419" i="18" s="1"/>
  <c r="G435" i="18" l="1"/>
  <c r="G431" i="18" s="1"/>
  <c r="R155" i="6"/>
  <c r="R154" i="6" s="1"/>
  <c r="R145" i="6"/>
  <c r="K255" i="18"/>
  <c r="M410" i="18"/>
  <c r="L415" i="18"/>
  <c r="L411" i="18" s="1"/>
  <c r="M415" i="18"/>
  <c r="M411" i="18" s="1"/>
  <c r="H411" i="18"/>
  <c r="I411" i="18"/>
  <c r="J411" i="18"/>
  <c r="H412" i="18"/>
  <c r="I412" i="18"/>
  <c r="J412" i="18"/>
  <c r="K412" i="18"/>
  <c r="L412" i="18"/>
  <c r="W174" i="6" s="1"/>
  <c r="M412" i="18"/>
  <c r="X174" i="6" s="1"/>
  <c r="G416" i="18"/>
  <c r="G412" i="18" s="1"/>
  <c r="K415" i="18"/>
  <c r="K411" i="18" s="1"/>
  <c r="V174" i="6" s="1"/>
  <c r="R174" i="6" s="1"/>
  <c r="V170" i="6"/>
  <c r="R170" i="6" s="1"/>
  <c r="L352" i="18"/>
  <c r="L359" i="18"/>
  <c r="G364" i="18"/>
  <c r="G363" i="18" s="1"/>
  <c r="H363" i="18"/>
  <c r="I363" i="18"/>
  <c r="J363" i="18"/>
  <c r="K363" i="18"/>
  <c r="H332" i="18"/>
  <c r="H331" i="18" s="1"/>
  <c r="I332" i="18"/>
  <c r="I331" i="18" s="1"/>
  <c r="J332" i="18"/>
  <c r="J331" i="18" s="1"/>
  <c r="K332" i="18"/>
  <c r="G344" i="18"/>
  <c r="G332" i="18" s="1"/>
  <c r="K343" i="18"/>
  <c r="G343" i="18" s="1"/>
  <c r="G415" i="18" l="1"/>
  <c r="G411" i="18" s="1"/>
  <c r="K331" i="18"/>
  <c r="V169" i="6"/>
  <c r="R169" i="6" s="1"/>
  <c r="K315" i="18"/>
  <c r="G312" i="18"/>
  <c r="K311" i="18"/>
  <c r="G311" i="18" s="1"/>
  <c r="G276" i="18"/>
  <c r="M282" i="18"/>
  <c r="G279" i="18"/>
  <c r="K278" i="18"/>
  <c r="G260" i="18"/>
  <c r="K259" i="18"/>
  <c r="G248" i="18"/>
  <c r="G244" i="18" s="1"/>
  <c r="K247" i="18"/>
  <c r="G217" i="18"/>
  <c r="P217" i="18"/>
  <c r="G247" i="18" l="1"/>
  <c r="G243" i="18" s="1"/>
  <c r="K243" i="18"/>
  <c r="G219" i="18"/>
  <c r="K218" i="18"/>
  <c r="H211" i="18"/>
  <c r="H210" i="18" s="1"/>
  <c r="I211" i="18"/>
  <c r="I210" i="18" s="1"/>
  <c r="J211" i="18"/>
  <c r="J210" i="18" s="1"/>
  <c r="K211" i="18"/>
  <c r="G215" i="18"/>
  <c r="K214" i="18"/>
  <c r="K203" i="18"/>
  <c r="G203" i="18" s="1"/>
  <c r="G197" i="18"/>
  <c r="K196" i="18"/>
  <c r="G196" i="18" s="1"/>
  <c r="H180" i="18"/>
  <c r="I180" i="18"/>
  <c r="J180" i="18"/>
  <c r="K180" i="18"/>
  <c r="V162" i="6" s="1"/>
  <c r="R162" i="6" s="1"/>
  <c r="G193" i="18"/>
  <c r="G168" i="18"/>
  <c r="K167" i="18"/>
  <c r="L140" i="18"/>
  <c r="G138" i="18"/>
  <c r="G137" i="18"/>
  <c r="G136" i="18"/>
  <c r="L135" i="18"/>
  <c r="K135" i="18"/>
  <c r="G135" i="18" s="1"/>
  <c r="G134" i="18"/>
  <c r="K140" i="18"/>
  <c r="G141" i="18"/>
  <c r="G108" i="18"/>
  <c r="K107" i="18"/>
  <c r="G107" i="18" s="1"/>
  <c r="M85" i="18"/>
  <c r="M88" i="18"/>
  <c r="M87" i="18"/>
  <c r="X148" i="6" s="1"/>
  <c r="X147" i="6" s="1"/>
  <c r="M94" i="18"/>
  <c r="G66" i="18"/>
  <c r="G80" i="18"/>
  <c r="G82" i="18"/>
  <c r="G83" i="18"/>
  <c r="G84" i="18"/>
  <c r="K81" i="18"/>
  <c r="J81" i="18"/>
  <c r="K131" i="18" l="1"/>
  <c r="K210" i="18"/>
  <c r="V164" i="6"/>
  <c r="R164" i="6" s="1"/>
  <c r="G132" i="18"/>
  <c r="L131" i="18"/>
  <c r="G180" i="18"/>
  <c r="G81" i="18"/>
  <c r="P65" i="18" l="1"/>
  <c r="L64" i="18" s="1"/>
  <c r="U12" i="18" s="1"/>
  <c r="H21" i="5" l="1"/>
  <c r="I21" i="5"/>
  <c r="J21" i="5"/>
  <c r="K21" i="5"/>
  <c r="G21" i="5"/>
  <c r="R32" i="6" s="1"/>
  <c r="R23" i="6" s="1"/>
  <c r="L265" i="5"/>
  <c r="L183" i="5"/>
  <c r="L167" i="5"/>
  <c r="K373" i="5"/>
  <c r="G373" i="5" s="1"/>
  <c r="G169" i="5"/>
  <c r="G171" i="5"/>
  <c r="L47" i="5"/>
  <c r="M203" i="5" l="1"/>
  <c r="L178" i="5"/>
  <c r="M45" i="5" l="1"/>
  <c r="K418" i="5"/>
  <c r="K170" i="5"/>
  <c r="G67" i="5"/>
  <c r="H80" i="15" l="1"/>
  <c r="G80" i="15"/>
  <c r="M17" i="14" l="1"/>
  <c r="G21" i="15" l="1"/>
  <c r="M36" i="14" l="1"/>
  <c r="K1230" i="18" l="1"/>
  <c r="H183" i="5" l="1"/>
  <c r="I183" i="5"/>
  <c r="J183" i="5"/>
  <c r="K183" i="5"/>
  <c r="G196" i="5"/>
  <c r="G183" i="5" s="1"/>
  <c r="H376" i="5"/>
  <c r="I376" i="5"/>
  <c r="J376" i="5"/>
  <c r="K376" i="5"/>
  <c r="M50" i="14" l="1"/>
  <c r="M45" i="14" l="1"/>
  <c r="U24" i="6" l="1"/>
  <c r="S36" i="14" l="1"/>
  <c r="R36" i="14"/>
  <c r="Q36" i="14"/>
  <c r="K422" i="5" l="1"/>
  <c r="L298" i="5" l="1"/>
  <c r="S18" i="6" l="1"/>
  <c r="T18" i="6"/>
  <c r="U18" i="6"/>
  <c r="W18" i="6"/>
  <c r="X18" i="6"/>
  <c r="C42" i="15" l="1"/>
  <c r="C43" i="15"/>
  <c r="C44" i="15"/>
  <c r="C45" i="15"/>
  <c r="C46" i="15"/>
  <c r="C51" i="15"/>
  <c r="C56" i="15"/>
  <c r="B60" i="15"/>
  <c r="Y251" i="6"/>
  <c r="W478" i="6"/>
  <c r="B55" i="15" l="1"/>
  <c r="B54" i="15" l="1"/>
  <c r="B52" i="15" l="1"/>
  <c r="G57" i="15" l="1"/>
  <c r="G58" i="15"/>
  <c r="G29" i="15"/>
  <c r="G33" i="15"/>
  <c r="G424" i="5"/>
  <c r="H416" i="5"/>
  <c r="H414" i="5" s="1"/>
  <c r="I416" i="5"/>
  <c r="I414" i="5" s="1"/>
  <c r="J416" i="5"/>
  <c r="J414" i="5" s="1"/>
  <c r="K416" i="5"/>
  <c r="H418" i="5"/>
  <c r="I418" i="5"/>
  <c r="J418" i="5"/>
  <c r="G420" i="5"/>
  <c r="K414" i="5" l="1"/>
  <c r="K25" i="5"/>
  <c r="K17" i="5" l="1"/>
  <c r="V27" i="6" s="1"/>
  <c r="G25" i="5"/>
  <c r="V18" i="6" l="1"/>
  <c r="V36" i="6"/>
  <c r="G17" i="5"/>
  <c r="R27" i="6" s="1"/>
  <c r="R18" i="6" l="1"/>
  <c r="R36" i="6"/>
  <c r="G1167" i="5" l="1"/>
  <c r="G1170" i="5"/>
  <c r="G1171" i="5"/>
  <c r="G1174" i="5"/>
  <c r="G1175" i="5"/>
  <c r="G1178" i="5"/>
  <c r="G1179" i="5"/>
  <c r="G1182" i="5"/>
  <c r="G1183" i="5"/>
  <c r="R513" i="6" l="1"/>
  <c r="M37" i="14"/>
  <c r="E76" i="14" l="1"/>
  <c r="M28" i="14"/>
  <c r="M16" i="14"/>
  <c r="M20" i="14"/>
  <c r="X13" i="18" l="1"/>
  <c r="U13" i="18"/>
  <c r="R13" i="18"/>
  <c r="V13" i="5"/>
  <c r="V453" i="6" l="1"/>
  <c r="X373" i="6" l="1"/>
  <c r="M964" i="18"/>
  <c r="L964" i="18"/>
  <c r="H1278" i="18"/>
  <c r="I1278" i="18"/>
  <c r="J1278" i="18"/>
  <c r="K1278" i="18"/>
  <c r="L1278" i="18"/>
  <c r="M1278" i="18"/>
  <c r="H1280" i="18"/>
  <c r="I1280" i="18"/>
  <c r="J1280" i="18"/>
  <c r="K1280" i="18"/>
  <c r="V368" i="6" s="1"/>
  <c r="L1280" i="18"/>
  <c r="W368" i="6" s="1"/>
  <c r="M1280" i="18"/>
  <c r="X368" i="6" s="1"/>
  <c r="M1297" i="18"/>
  <c r="L1219" i="18"/>
  <c r="H1126" i="18" l="1"/>
  <c r="I1126" i="18"/>
  <c r="J1126" i="18"/>
  <c r="K1126" i="18"/>
  <c r="L1126" i="18"/>
  <c r="G1126" i="18"/>
  <c r="W353" i="6"/>
  <c r="X353" i="6"/>
  <c r="M1073" i="18"/>
  <c r="L1073" i="18"/>
  <c r="G1055" i="18"/>
  <c r="H1052" i="18"/>
  <c r="I1052" i="18"/>
  <c r="J1052" i="18"/>
  <c r="K1052" i="18"/>
  <c r="G1053" i="18"/>
  <c r="L1040" i="18"/>
  <c r="M988" i="18"/>
  <c r="M923" i="5" l="1"/>
  <c r="G902" i="5"/>
  <c r="G900" i="5"/>
  <c r="K901" i="5"/>
  <c r="G901" i="5" s="1"/>
  <c r="G903" i="5"/>
  <c r="G904" i="5"/>
  <c r="K298" i="5" l="1"/>
  <c r="L612" i="5" l="1"/>
  <c r="H652" i="5"/>
  <c r="I652" i="5"/>
  <c r="J652" i="5"/>
  <c r="G1177" i="5" l="1"/>
  <c r="M352" i="18" l="1"/>
  <c r="M359" i="18"/>
  <c r="G76" i="5"/>
  <c r="K375" i="5"/>
  <c r="G375" i="5" s="1"/>
  <c r="M474" i="18" l="1"/>
  <c r="X205" i="6" s="1"/>
  <c r="M494" i="18" l="1"/>
  <c r="M477" i="18" s="1"/>
  <c r="M505" i="18"/>
  <c r="M501" i="18"/>
  <c r="M497" i="18"/>
  <c r="L477" i="18"/>
  <c r="X170" i="6"/>
  <c r="X157" i="6"/>
  <c r="X155" i="6"/>
  <c r="M420" i="18"/>
  <c r="M427" i="18"/>
  <c r="M419" i="18" s="1"/>
  <c r="M403" i="18"/>
  <c r="M332" i="18"/>
  <c r="X169" i="6" s="1"/>
  <c r="M343" i="18"/>
  <c r="M298" i="18"/>
  <c r="M278" i="18"/>
  <c r="M218" i="18"/>
  <c r="M211" i="18"/>
  <c r="M210" i="18" s="1"/>
  <c r="M214" i="18"/>
  <c r="M104" i="18"/>
  <c r="X152" i="6" s="1"/>
  <c r="M107" i="18"/>
  <c r="H477" i="18"/>
  <c r="H476" i="18" s="1"/>
  <c r="I477" i="18"/>
  <c r="I476" i="18" s="1"/>
  <c r="J477" i="18"/>
  <c r="J476" i="18" s="1"/>
  <c r="K477" i="18"/>
  <c r="G518" i="18"/>
  <c r="G477" i="18" s="1"/>
  <c r="K517" i="18"/>
  <c r="G517" i="18" s="1"/>
  <c r="J521" i="18"/>
  <c r="L290" i="18"/>
  <c r="G473" i="18"/>
  <c r="X154" i="6" l="1"/>
  <c r="M493" i="18"/>
  <c r="M331" i="18"/>
  <c r="X164" i="6"/>
  <c r="G476" i="18"/>
  <c r="R208" i="6"/>
  <c r="M86" i="18"/>
  <c r="K476" i="18"/>
  <c r="V208" i="6"/>
  <c r="L476" i="18"/>
  <c r="W208" i="6"/>
  <c r="M476" i="18"/>
  <c r="X208" i="6"/>
  <c r="X207" i="6" s="1"/>
  <c r="W143" i="6"/>
  <c r="W170" i="6"/>
  <c r="L332" i="18"/>
  <c r="W169" i="6" s="1"/>
  <c r="L181" i="18"/>
  <c r="W162" i="6"/>
  <c r="L343" i="18"/>
  <c r="L200" i="18"/>
  <c r="W163" i="6" s="1"/>
  <c r="L203" i="18"/>
  <c r="W152" i="6"/>
  <c r="L94" i="18"/>
  <c r="S142" i="6"/>
  <c r="T142" i="6"/>
  <c r="U142" i="6"/>
  <c r="L81" i="18"/>
  <c r="L37" i="18"/>
  <c r="W139" i="6" s="1"/>
  <c r="L21" i="18"/>
  <c r="M21" i="18"/>
  <c r="L24" i="18"/>
  <c r="M24" i="18"/>
  <c r="U242" i="6"/>
  <c r="W168" i="6"/>
  <c r="X168" i="6"/>
  <c r="G472" i="18"/>
  <c r="R181" i="6" s="1"/>
  <c r="K471" i="18"/>
  <c r="V181" i="6" s="1"/>
  <c r="G430" i="18"/>
  <c r="L430" i="18"/>
  <c r="G433" i="18"/>
  <c r="L433" i="18"/>
  <c r="L435" i="18"/>
  <c r="L431" i="18" s="1"/>
  <c r="L439" i="18"/>
  <c r="G409" i="18"/>
  <c r="G287" i="18"/>
  <c r="G288" i="18"/>
  <c r="G285" i="18"/>
  <c r="K286" i="18"/>
  <c r="G286" i="18" s="1"/>
  <c r="G299" i="18"/>
  <c r="G300" i="18"/>
  <c r="G297" i="18"/>
  <c r="K298" i="18"/>
  <c r="G298" i="18" s="1"/>
  <c r="K87" i="18"/>
  <c r="G96" i="18"/>
  <c r="K94" i="18"/>
  <c r="K86" i="18" l="1"/>
  <c r="V148" i="6"/>
  <c r="R148" i="6" s="1"/>
  <c r="V147" i="6"/>
  <c r="L20" i="18"/>
  <c r="S242" i="6"/>
  <c r="S121" i="6"/>
  <c r="T242" i="6"/>
  <c r="T121" i="6"/>
  <c r="W136" i="6"/>
  <c r="W145" i="6"/>
  <c r="G471" i="18"/>
  <c r="W135" i="6" l="1"/>
  <c r="M378" i="5"/>
  <c r="M199" i="5" l="1"/>
  <c r="M245" i="5"/>
  <c r="M247" i="5"/>
  <c r="M246" i="5" s="1"/>
  <c r="M250" i="5"/>
  <c r="K400" i="5"/>
  <c r="G412" i="5"/>
  <c r="G300" i="5"/>
  <c r="H735" i="18" l="1"/>
  <c r="I735" i="18"/>
  <c r="J735" i="18"/>
  <c r="K735" i="18"/>
  <c r="W277" i="6" l="1"/>
  <c r="W269" i="6" s="1"/>
  <c r="X277" i="6"/>
  <c r="X269" i="6" s="1"/>
  <c r="S277" i="6"/>
  <c r="S269" i="6" s="1"/>
  <c r="T277" i="6"/>
  <c r="T269" i="6" s="1"/>
  <c r="U277" i="6"/>
  <c r="U275" i="6" s="1"/>
  <c r="S300" i="6"/>
  <c r="T300" i="6"/>
  <c r="U300" i="6"/>
  <c r="G738" i="18"/>
  <c r="U269" i="6" l="1"/>
  <c r="O28" i="14"/>
  <c r="G646" i="5" l="1"/>
  <c r="K636" i="5"/>
  <c r="L28" i="14" l="1"/>
  <c r="C41" i="15" l="1"/>
  <c r="J47" i="15" l="1"/>
  <c r="K47" i="15"/>
  <c r="L47" i="15"/>
  <c r="M47" i="15"/>
  <c r="J48" i="15"/>
  <c r="K48" i="15"/>
  <c r="L48" i="15"/>
  <c r="M48" i="15"/>
  <c r="P28" i="14" l="1"/>
  <c r="Q28" i="14" s="1"/>
  <c r="R28" i="14" s="1"/>
  <c r="S28" i="14" s="1"/>
  <c r="F28" i="14" s="1"/>
  <c r="H59" i="15"/>
  <c r="I59" i="15"/>
  <c r="G59" i="15"/>
  <c r="I58" i="15"/>
  <c r="H47" i="15"/>
  <c r="I47" i="15"/>
  <c r="G47" i="15"/>
  <c r="H58" i="15"/>
  <c r="J59" i="15"/>
  <c r="K59" i="15"/>
  <c r="L59" i="15"/>
  <c r="M59" i="15"/>
  <c r="J58" i="15"/>
  <c r="J43" i="15" s="1"/>
  <c r="K58" i="15"/>
  <c r="L58" i="15"/>
  <c r="M58" i="15"/>
  <c r="J42" i="15"/>
  <c r="K57" i="15"/>
  <c r="K42" i="15" s="1"/>
  <c r="L57" i="15"/>
  <c r="L42" i="15" s="1"/>
  <c r="M57" i="15"/>
  <c r="M42" i="15" s="1"/>
  <c r="H53" i="15"/>
  <c r="I53" i="15"/>
  <c r="K53" i="15"/>
  <c r="K43" i="15" s="1"/>
  <c r="L53" i="15"/>
  <c r="M53" i="15"/>
  <c r="G53" i="15"/>
  <c r="H50" i="15"/>
  <c r="H45" i="15" s="1"/>
  <c r="I50" i="15"/>
  <c r="I45" i="15" s="1"/>
  <c r="J50" i="15"/>
  <c r="J45" i="15" s="1"/>
  <c r="L50" i="15"/>
  <c r="L45" i="15" s="1"/>
  <c r="M50" i="15"/>
  <c r="M45" i="15" s="1"/>
  <c r="G50" i="15"/>
  <c r="H49" i="15"/>
  <c r="I49" i="15"/>
  <c r="J49" i="15"/>
  <c r="K49" i="15"/>
  <c r="L49" i="15"/>
  <c r="M49" i="15"/>
  <c r="G49" i="15"/>
  <c r="H42" i="15" l="1"/>
  <c r="I42" i="15"/>
  <c r="B49" i="15"/>
  <c r="I44" i="15"/>
  <c r="L43" i="15"/>
  <c r="B57" i="15"/>
  <c r="H44" i="15"/>
  <c r="B53" i="15"/>
  <c r="G42" i="15"/>
  <c r="B47" i="15"/>
  <c r="G45" i="15"/>
  <c r="M43" i="15"/>
  <c r="G44" i="15"/>
  <c r="K50" i="15"/>
  <c r="K45" i="15" s="1"/>
  <c r="E14" i="15"/>
  <c r="D14" i="15"/>
  <c r="C14" i="15"/>
  <c r="F12" i="15"/>
  <c r="E12" i="15"/>
  <c r="F11" i="15"/>
  <c r="J19" i="15"/>
  <c r="I19" i="15"/>
  <c r="I9" i="15" s="1"/>
  <c r="H19" i="15"/>
  <c r="G19" i="15"/>
  <c r="G9" i="15" s="1"/>
  <c r="F19" i="15"/>
  <c r="F9" i="15" s="1"/>
  <c r="E19" i="15"/>
  <c r="D19" i="15"/>
  <c r="C19" i="15"/>
  <c r="J18" i="15"/>
  <c r="I18" i="15"/>
  <c r="H18" i="15"/>
  <c r="H8" i="15" s="1"/>
  <c r="G18" i="15"/>
  <c r="F18" i="15"/>
  <c r="E18" i="15"/>
  <c r="D18" i="15"/>
  <c r="D8" i="15" s="1"/>
  <c r="C18" i="15"/>
  <c r="C8" i="15" s="1"/>
  <c r="D17" i="15"/>
  <c r="C17" i="15"/>
  <c r="C7" i="15" s="1"/>
  <c r="J16" i="15"/>
  <c r="I16" i="15"/>
  <c r="I6" i="15" s="1"/>
  <c r="H16" i="15"/>
  <c r="H6" i="15" s="1"/>
  <c r="G16" i="15"/>
  <c r="G6" i="15" s="1"/>
  <c r="F16" i="15"/>
  <c r="E16" i="15"/>
  <c r="E6" i="15" s="1"/>
  <c r="D16" i="15"/>
  <c r="D6" i="15" s="1"/>
  <c r="C16" i="15"/>
  <c r="C6" i="15" s="1"/>
  <c r="J9" i="15"/>
  <c r="I8" i="15"/>
  <c r="F23" i="15"/>
  <c r="E23" i="15"/>
  <c r="F22" i="15"/>
  <c r="E22" i="15"/>
  <c r="K6" i="15"/>
  <c r="L6" i="15"/>
  <c r="M6" i="15"/>
  <c r="D7" i="15"/>
  <c r="K7" i="15"/>
  <c r="L7" i="15"/>
  <c r="M7" i="15"/>
  <c r="J8" i="15"/>
  <c r="K8" i="15"/>
  <c r="L8" i="15"/>
  <c r="M8" i="15"/>
  <c r="K9" i="15"/>
  <c r="L9" i="15"/>
  <c r="M9" i="15"/>
  <c r="C10" i="15"/>
  <c r="D10" i="15"/>
  <c r="J10" i="15"/>
  <c r="K10" i="15"/>
  <c r="L10" i="15"/>
  <c r="M10" i="15"/>
  <c r="K15" i="15"/>
  <c r="L15" i="15"/>
  <c r="M15" i="15"/>
  <c r="C20" i="15"/>
  <c r="D20" i="15"/>
  <c r="G20" i="15"/>
  <c r="J20" i="15"/>
  <c r="K20" i="15"/>
  <c r="L20" i="15"/>
  <c r="M20" i="15"/>
  <c r="F20" i="15" l="1"/>
  <c r="E7" i="15"/>
  <c r="F7" i="15"/>
  <c r="F8" i="15"/>
  <c r="G15" i="15"/>
  <c r="D15" i="15"/>
  <c r="E15" i="15"/>
  <c r="E8" i="15"/>
  <c r="I15" i="15"/>
  <c r="C9" i="15"/>
  <c r="C5" i="15" s="1"/>
  <c r="F10" i="15"/>
  <c r="E9" i="15"/>
  <c r="E20" i="15"/>
  <c r="D9" i="15"/>
  <c r="H9" i="15"/>
  <c r="E10" i="15"/>
  <c r="B50" i="15"/>
  <c r="F6" i="15"/>
  <c r="I20" i="15"/>
  <c r="J6" i="15"/>
  <c r="F15" i="15"/>
  <c r="C15" i="15"/>
  <c r="M5" i="15"/>
  <c r="L5" i="15"/>
  <c r="G8" i="15"/>
  <c r="K5" i="15"/>
  <c r="H20" i="15"/>
  <c r="E5" i="15" l="1"/>
  <c r="F5" i="15"/>
  <c r="I30" i="15"/>
  <c r="G30" i="15"/>
  <c r="G28" i="15" l="1"/>
  <c r="M133" i="18"/>
  <c r="X652" i="6"/>
  <c r="X569" i="6" s="1"/>
  <c r="W652" i="6"/>
  <c r="W569" i="6" s="1"/>
  <c r="G48" i="15" l="1"/>
  <c r="G43" i="15" s="1"/>
  <c r="G7" i="15"/>
  <c r="G5" i="15" s="1"/>
  <c r="G10" i="15"/>
  <c r="M1201" i="18"/>
  <c r="G39" i="15" l="1"/>
  <c r="G41" i="15"/>
  <c r="M1197" i="18"/>
  <c r="W373" i="6"/>
  <c r="V373" i="6" l="1"/>
  <c r="G1334" i="18"/>
  <c r="G828" i="5" l="1"/>
  <c r="X223" i="6"/>
  <c r="X231" i="6"/>
  <c r="X275" i="6" l="1"/>
  <c r="V315" i="6" l="1"/>
  <c r="W315" i="6"/>
  <c r="G647" i="5" l="1"/>
  <c r="L648" i="5"/>
  <c r="G739" i="5"/>
  <c r="G23" i="18" l="1"/>
  <c r="K24" i="18"/>
  <c r="G24" i="18" s="1"/>
  <c r="G25" i="18"/>
  <c r="G26" i="18"/>
  <c r="G1361" i="18" l="1"/>
  <c r="G1360" i="18"/>
  <c r="L1359" i="18"/>
  <c r="J1359" i="18"/>
  <c r="I1359" i="18"/>
  <c r="H1359" i="18"/>
  <c r="G1357" i="18"/>
  <c r="J1355" i="18"/>
  <c r="I1355" i="18"/>
  <c r="H1355" i="18"/>
  <c r="G1353" i="18"/>
  <c r="J1351" i="18"/>
  <c r="I1351" i="18"/>
  <c r="H1351" i="18"/>
  <c r="G1349" i="18"/>
  <c r="G1348" i="18"/>
  <c r="M1347" i="18"/>
  <c r="L1347" i="18"/>
  <c r="K1347" i="18"/>
  <c r="J1347" i="18"/>
  <c r="I1347" i="18"/>
  <c r="H1347" i="18"/>
  <c r="G1345" i="18"/>
  <c r="G1344" i="18"/>
  <c r="M1343" i="18"/>
  <c r="L1343" i="18"/>
  <c r="K1343" i="18"/>
  <c r="J1343" i="18"/>
  <c r="I1343" i="18"/>
  <c r="H1343" i="18"/>
  <c r="M1341" i="18"/>
  <c r="L1341" i="18"/>
  <c r="K1341" i="18"/>
  <c r="G1341" i="18" s="1"/>
  <c r="J1341" i="18"/>
  <c r="J1366" i="18" s="1"/>
  <c r="I1341" i="18"/>
  <c r="I1366" i="18" s="1"/>
  <c r="H1341" i="18"/>
  <c r="M1340" i="18"/>
  <c r="L1340" i="18"/>
  <c r="J1340" i="18"/>
  <c r="I1340" i="18"/>
  <c r="M1339" i="18"/>
  <c r="L1339" i="18"/>
  <c r="J1339" i="18"/>
  <c r="I1339" i="18"/>
  <c r="H1339" i="18"/>
  <c r="G1328" i="18"/>
  <c r="G1322" i="18" s="1"/>
  <c r="R372" i="6" s="1"/>
  <c r="L1327" i="18"/>
  <c r="K1320" i="18"/>
  <c r="M1323" i="18"/>
  <c r="L1323" i="18"/>
  <c r="J1323" i="18"/>
  <c r="I1323" i="18"/>
  <c r="H1323" i="18"/>
  <c r="X372" i="6"/>
  <c r="W372" i="6"/>
  <c r="M1320" i="18"/>
  <c r="L1320" i="18"/>
  <c r="J1320" i="18"/>
  <c r="I1320" i="18"/>
  <c r="H1320" i="18"/>
  <c r="X371" i="6"/>
  <c r="W371" i="6"/>
  <c r="X370" i="6"/>
  <c r="W370" i="6"/>
  <c r="M1300" i="18"/>
  <c r="L1300" i="18"/>
  <c r="K1300" i="18"/>
  <c r="J1300" i="18"/>
  <c r="I1300" i="18"/>
  <c r="H1300" i="18"/>
  <c r="G1300" i="18"/>
  <c r="G1299" i="18"/>
  <c r="G1298" i="18"/>
  <c r="L1297" i="18"/>
  <c r="K1297" i="18"/>
  <c r="G1297" i="18" s="1"/>
  <c r="G1296" i="18"/>
  <c r="G1295" i="18"/>
  <c r="G1294" i="18"/>
  <c r="M1293" i="18"/>
  <c r="L1293" i="18"/>
  <c r="K1293" i="18"/>
  <c r="G1293" i="18" s="1"/>
  <c r="G1292" i="18"/>
  <c r="M1291" i="18"/>
  <c r="L1291" i="18"/>
  <c r="K1291" i="18"/>
  <c r="J1291" i="18"/>
  <c r="I1291" i="18"/>
  <c r="H1291" i="18"/>
  <c r="M1290" i="18"/>
  <c r="X369" i="6" s="1"/>
  <c r="L1290" i="18"/>
  <c r="K1290" i="18"/>
  <c r="V369" i="6" s="1"/>
  <c r="J1290" i="18"/>
  <c r="I1290" i="18"/>
  <c r="H1290" i="18"/>
  <c r="M1288" i="18"/>
  <c r="L1288" i="18"/>
  <c r="K1288" i="18"/>
  <c r="J1288" i="18"/>
  <c r="I1288" i="18"/>
  <c r="H1288" i="18"/>
  <c r="G1284" i="18"/>
  <c r="G1280" i="18" s="1"/>
  <c r="R368" i="6" s="1"/>
  <c r="M1283" i="18"/>
  <c r="L1283" i="18"/>
  <c r="G1282" i="18"/>
  <c r="G1278" i="18" s="1"/>
  <c r="M1281" i="18"/>
  <c r="L1281" i="18"/>
  <c r="J1281" i="18"/>
  <c r="I1281" i="18"/>
  <c r="H1281" i="18"/>
  <c r="X367" i="6"/>
  <c r="W367" i="6"/>
  <c r="M1268" i="18"/>
  <c r="L1268" i="18"/>
  <c r="K1268" i="18"/>
  <c r="J1268" i="18"/>
  <c r="I1268" i="18"/>
  <c r="H1268" i="18"/>
  <c r="G1268" i="18"/>
  <c r="G1263" i="18"/>
  <c r="L1261" i="18"/>
  <c r="G1262" i="18"/>
  <c r="M1261" i="18"/>
  <c r="K1261" i="18"/>
  <c r="G1261" i="18" s="1"/>
  <c r="G1260" i="18"/>
  <c r="K1255" i="18"/>
  <c r="G1258" i="18"/>
  <c r="M1257" i="18"/>
  <c r="K1257" i="18"/>
  <c r="G1257" i="18" s="1"/>
  <c r="G1256" i="18"/>
  <c r="M1255" i="18"/>
  <c r="L1255" i="18"/>
  <c r="J1255" i="18"/>
  <c r="I1255" i="18"/>
  <c r="H1255" i="18"/>
  <c r="M1254" i="18"/>
  <c r="X365" i="6" s="1"/>
  <c r="K1254" i="18"/>
  <c r="V365" i="6" s="1"/>
  <c r="J1254" i="18"/>
  <c r="I1254" i="18"/>
  <c r="H1254" i="18"/>
  <c r="M1252" i="18"/>
  <c r="L1252" i="18"/>
  <c r="K1252" i="18"/>
  <c r="J1252" i="18"/>
  <c r="I1252" i="18"/>
  <c r="H1252" i="18"/>
  <c r="K1247" i="18"/>
  <c r="G1247" i="18" s="1"/>
  <c r="G1249" i="18"/>
  <c r="G1243" i="18" s="1"/>
  <c r="G1248" i="18"/>
  <c r="G1242" i="18" s="1"/>
  <c r="R363" i="6" s="1"/>
  <c r="G1246" i="18"/>
  <c r="G1240" i="18" s="1"/>
  <c r="M1243" i="18"/>
  <c r="L1243" i="18"/>
  <c r="J1243" i="18"/>
  <c r="I1243" i="18"/>
  <c r="H1243" i="18"/>
  <c r="M1242" i="18"/>
  <c r="X363" i="6" s="1"/>
  <c r="L1242" i="18"/>
  <c r="W363" i="6" s="1"/>
  <c r="K1242" i="18"/>
  <c r="V363" i="6" s="1"/>
  <c r="J1242" i="18"/>
  <c r="I1242" i="18"/>
  <c r="H1242" i="18"/>
  <c r="M1240" i="18"/>
  <c r="L1240" i="18"/>
  <c r="K1240" i="18"/>
  <c r="J1240" i="18"/>
  <c r="I1240" i="18"/>
  <c r="H1240" i="18"/>
  <c r="G1239" i="18"/>
  <c r="G1238" i="18"/>
  <c r="G1234" i="18" s="1"/>
  <c r="M1235" i="18"/>
  <c r="X362" i="6" s="1"/>
  <c r="L1235" i="18"/>
  <c r="W362" i="6" s="1"/>
  <c r="K1235" i="18"/>
  <c r="V362" i="6" s="1"/>
  <c r="J1235" i="18"/>
  <c r="I1235" i="18"/>
  <c r="H1235" i="18"/>
  <c r="G1235" i="18"/>
  <c r="R362" i="6" s="1"/>
  <c r="M1234" i="18"/>
  <c r="L1234" i="18"/>
  <c r="K1234" i="18"/>
  <c r="J1234" i="18"/>
  <c r="I1234" i="18"/>
  <c r="H1234" i="18"/>
  <c r="G1231" i="18"/>
  <c r="G1225" i="18" s="1"/>
  <c r="K1224" i="18"/>
  <c r="V361" i="6" s="1"/>
  <c r="G1230" i="18"/>
  <c r="M1229" i="18"/>
  <c r="L1229" i="18"/>
  <c r="K1229" i="18"/>
  <c r="G1229" i="18" s="1"/>
  <c r="G1228" i="18"/>
  <c r="G1227" i="18"/>
  <c r="G1226" i="18"/>
  <c r="M1225" i="18"/>
  <c r="L1225" i="18"/>
  <c r="K1225" i="18"/>
  <c r="J1225" i="18"/>
  <c r="I1225" i="18"/>
  <c r="H1225" i="18"/>
  <c r="M1224" i="18"/>
  <c r="X361" i="6" s="1"/>
  <c r="L1224" i="18"/>
  <c r="W361" i="6" s="1"/>
  <c r="J1224" i="18"/>
  <c r="I1224" i="18"/>
  <c r="H1224" i="18"/>
  <c r="M1222" i="18"/>
  <c r="L1222" i="18"/>
  <c r="K1222" i="18"/>
  <c r="J1222" i="18"/>
  <c r="I1222" i="18"/>
  <c r="H1222" i="18"/>
  <c r="G1221" i="18"/>
  <c r="G1220" i="18"/>
  <c r="M1219" i="18"/>
  <c r="G1218" i="18"/>
  <c r="G1215" i="18"/>
  <c r="G1214" i="18"/>
  <c r="G1210" i="18" s="1"/>
  <c r="M1213" i="18"/>
  <c r="L1213" i="18"/>
  <c r="K1213" i="18"/>
  <c r="G1213" i="18" s="1"/>
  <c r="G1212" i="18"/>
  <c r="M1211" i="18"/>
  <c r="L1211" i="18"/>
  <c r="J1211" i="18"/>
  <c r="I1211" i="18"/>
  <c r="H1211" i="18"/>
  <c r="M1210" i="18"/>
  <c r="X360" i="6" s="1"/>
  <c r="L1210" i="18"/>
  <c r="W360" i="6" s="1"/>
  <c r="K1210" i="18"/>
  <c r="V360" i="6" s="1"/>
  <c r="R360" i="6" s="1"/>
  <c r="J1210" i="18"/>
  <c r="I1210" i="18"/>
  <c r="H1210" i="18"/>
  <c r="M1208" i="18"/>
  <c r="L1208" i="18"/>
  <c r="K1208" i="18"/>
  <c r="J1208" i="18"/>
  <c r="I1208" i="18"/>
  <c r="H1208" i="18"/>
  <c r="G1207" i="18"/>
  <c r="G1206" i="18"/>
  <c r="M1205" i="18"/>
  <c r="L1205" i="18"/>
  <c r="K1205" i="18"/>
  <c r="J1205" i="18"/>
  <c r="I1205" i="18"/>
  <c r="H1205" i="18"/>
  <c r="G1204" i="18"/>
  <c r="G1203" i="18"/>
  <c r="G1202" i="18"/>
  <c r="L1201" i="18"/>
  <c r="K1201" i="18"/>
  <c r="G1200" i="18"/>
  <c r="G1198" i="18"/>
  <c r="G1197" i="18" s="1"/>
  <c r="L1197" i="18"/>
  <c r="K1197" i="18"/>
  <c r="J1197" i="18"/>
  <c r="I1197" i="18"/>
  <c r="H1197" i="18"/>
  <c r="G1195" i="18"/>
  <c r="G1194" i="18"/>
  <c r="M1193" i="18"/>
  <c r="L1193" i="18"/>
  <c r="K1193" i="18"/>
  <c r="J1193" i="18"/>
  <c r="I1193" i="18"/>
  <c r="H1193" i="18"/>
  <c r="G1192" i="18"/>
  <c r="G1190" i="18"/>
  <c r="M1189" i="18"/>
  <c r="L1189" i="18"/>
  <c r="K1189" i="18"/>
  <c r="J1189" i="18"/>
  <c r="I1189" i="18"/>
  <c r="H1189" i="18"/>
  <c r="G1189" i="18" s="1"/>
  <c r="G1188" i="18"/>
  <c r="G1187" i="18"/>
  <c r="G1186" i="18"/>
  <c r="K1185" i="18"/>
  <c r="G1184" i="18"/>
  <c r="G1182" i="18"/>
  <c r="G1181" i="18" s="1"/>
  <c r="M1181" i="18"/>
  <c r="L1181" i="18"/>
  <c r="K1181" i="18"/>
  <c r="J1181" i="18"/>
  <c r="I1181" i="18"/>
  <c r="H1181" i="18"/>
  <c r="G1179" i="18"/>
  <c r="G1178" i="18"/>
  <c r="M1177" i="18"/>
  <c r="L1177" i="18"/>
  <c r="K1177" i="18"/>
  <c r="J1177" i="18"/>
  <c r="I1177" i="18"/>
  <c r="H1177" i="18"/>
  <c r="G1176" i="18"/>
  <c r="G1174" i="18"/>
  <c r="G1173" i="18" s="1"/>
  <c r="M1173" i="18"/>
  <c r="L1173" i="18"/>
  <c r="K1173" i="18"/>
  <c r="J1173" i="18"/>
  <c r="G1172" i="18"/>
  <c r="M1171" i="18"/>
  <c r="L1171" i="18"/>
  <c r="K1171" i="18"/>
  <c r="J1171" i="18"/>
  <c r="I1171" i="18"/>
  <c r="H1171" i="18"/>
  <c r="M1170" i="18"/>
  <c r="X358" i="6" s="1"/>
  <c r="L1170" i="18"/>
  <c r="W358" i="6" s="1"/>
  <c r="K1170" i="18"/>
  <c r="V358" i="6" s="1"/>
  <c r="R358" i="6" s="1"/>
  <c r="J1170" i="18"/>
  <c r="I1170" i="18"/>
  <c r="H1170" i="18"/>
  <c r="G1163" i="18"/>
  <c r="G1162" i="18"/>
  <c r="K1161" i="18"/>
  <c r="G1161" i="18" s="1"/>
  <c r="G1160" i="18"/>
  <c r="G1159" i="18"/>
  <c r="G1158" i="18"/>
  <c r="G1150" i="18" s="1"/>
  <c r="R356" i="6" s="1"/>
  <c r="M1157" i="18"/>
  <c r="L1157" i="18"/>
  <c r="K1157" i="18"/>
  <c r="G1157" i="18" s="1"/>
  <c r="G1156" i="18"/>
  <c r="M1151" i="18"/>
  <c r="L1151" i="18"/>
  <c r="J1151" i="18"/>
  <c r="I1151" i="18"/>
  <c r="H1151" i="18"/>
  <c r="X356" i="6"/>
  <c r="G1147" i="18"/>
  <c r="G1146" i="18"/>
  <c r="G1144" i="18"/>
  <c r="M1143" i="18"/>
  <c r="L1143" i="18"/>
  <c r="G1142" i="18"/>
  <c r="G1141" i="18"/>
  <c r="G1140" i="18"/>
  <c r="M1137" i="18"/>
  <c r="L1137" i="18"/>
  <c r="K1137" i="18"/>
  <c r="J1137" i="18"/>
  <c r="I1137" i="18"/>
  <c r="H1137" i="18"/>
  <c r="K1136" i="18"/>
  <c r="V355" i="6" s="1"/>
  <c r="J1136" i="18"/>
  <c r="I1136" i="18"/>
  <c r="H1136" i="18"/>
  <c r="M1134" i="18"/>
  <c r="L1134" i="18"/>
  <c r="K1134" i="18"/>
  <c r="J1134" i="18"/>
  <c r="I1134" i="18"/>
  <c r="H1134" i="18"/>
  <c r="M1126" i="18"/>
  <c r="G1123" i="18"/>
  <c r="G1122" i="18"/>
  <c r="M1121" i="18"/>
  <c r="M1113" i="18" s="1"/>
  <c r="L1121" i="18"/>
  <c r="L1113" i="18" s="1"/>
  <c r="G1120" i="18"/>
  <c r="G1112" i="18" s="1"/>
  <c r="M1115" i="18"/>
  <c r="L1115" i="18"/>
  <c r="J1115" i="18"/>
  <c r="I1115" i="18"/>
  <c r="H1115" i="18"/>
  <c r="G1109" i="18"/>
  <c r="G1108" i="18"/>
  <c r="G1105" i="18"/>
  <c r="G1104" i="18"/>
  <c r="M1095" i="18"/>
  <c r="X352" i="6" s="1"/>
  <c r="L1095" i="18"/>
  <c r="W352" i="6" s="1"/>
  <c r="K1095" i="18"/>
  <c r="V352" i="6" s="1"/>
  <c r="J1095" i="18"/>
  <c r="I1095" i="18"/>
  <c r="H1095" i="18"/>
  <c r="M1094" i="18"/>
  <c r="L1094" i="18"/>
  <c r="K1094" i="18"/>
  <c r="J1094" i="18"/>
  <c r="I1094" i="18"/>
  <c r="H1094" i="18"/>
  <c r="G1091" i="18"/>
  <c r="G1090" i="18"/>
  <c r="M1089" i="18"/>
  <c r="L1089" i="18"/>
  <c r="G1088" i="18"/>
  <c r="G1083" i="18"/>
  <c r="G1082" i="18"/>
  <c r="M1081" i="18"/>
  <c r="M1078" i="18" s="1"/>
  <c r="G1081" i="18"/>
  <c r="G1078" i="18" s="1"/>
  <c r="G1080" i="18"/>
  <c r="M1079" i="18"/>
  <c r="L1079" i="18"/>
  <c r="J1079" i="18"/>
  <c r="I1079" i="18"/>
  <c r="H1079" i="18"/>
  <c r="X351" i="6"/>
  <c r="V351" i="6"/>
  <c r="G1075" i="18"/>
  <c r="G1065" i="18" s="1"/>
  <c r="G1074" i="18"/>
  <c r="G1064" i="18" s="1"/>
  <c r="R350" i="6" s="1"/>
  <c r="K1073" i="18"/>
  <c r="G1073" i="18" s="1"/>
  <c r="G1072" i="18"/>
  <c r="G1070" i="18"/>
  <c r="M1065" i="18"/>
  <c r="L1065" i="18"/>
  <c r="K1065" i="18"/>
  <c r="J1065" i="18"/>
  <c r="I1065" i="18"/>
  <c r="H1065" i="18"/>
  <c r="X350" i="6"/>
  <c r="W350" i="6"/>
  <c r="G1054" i="18"/>
  <c r="L1052" i="18"/>
  <c r="G1052" i="18"/>
  <c r="M1052" i="18"/>
  <c r="G1051" i="18"/>
  <c r="G1050" i="18"/>
  <c r="G1046" i="18" s="1"/>
  <c r="G1049" i="18"/>
  <c r="L1048" i="18"/>
  <c r="K1048" i="18"/>
  <c r="G1048" i="18" s="1"/>
  <c r="G1047" i="18"/>
  <c r="M1046" i="18"/>
  <c r="L1046" i="18"/>
  <c r="K1046" i="18"/>
  <c r="J1046" i="18"/>
  <c r="I1046" i="18"/>
  <c r="H1046" i="18"/>
  <c r="X349" i="6"/>
  <c r="L1045" i="18"/>
  <c r="W349" i="6" s="1"/>
  <c r="K1045" i="18"/>
  <c r="V349" i="6" s="1"/>
  <c r="J1045" i="18"/>
  <c r="I1045" i="18"/>
  <c r="H1045" i="18"/>
  <c r="M1043" i="18"/>
  <c r="L1043" i="18"/>
  <c r="K1043" i="18"/>
  <c r="J1043" i="18"/>
  <c r="I1043" i="18"/>
  <c r="H1043" i="18"/>
  <c r="M1040" i="18"/>
  <c r="K1036" i="18"/>
  <c r="G1036" i="18" s="1"/>
  <c r="G1038" i="18"/>
  <c r="G1026" i="18" s="1"/>
  <c r="G1037" i="18"/>
  <c r="M1036" i="18"/>
  <c r="L1036" i="18"/>
  <c r="G1035" i="18"/>
  <c r="G1029" i="18"/>
  <c r="G1025" i="18" s="1"/>
  <c r="M1028" i="18"/>
  <c r="L1028" i="18"/>
  <c r="K1028" i="18"/>
  <c r="J1028" i="18"/>
  <c r="I1028" i="18"/>
  <c r="H1028" i="18"/>
  <c r="G1027" i="18"/>
  <c r="M1026" i="18"/>
  <c r="L1026" i="18"/>
  <c r="K1026" i="18"/>
  <c r="J1026" i="18"/>
  <c r="I1026" i="18"/>
  <c r="H1026" i="18"/>
  <c r="X348" i="6"/>
  <c r="L1025" i="18"/>
  <c r="W348" i="6" s="1"/>
  <c r="K1025" i="18"/>
  <c r="V348" i="6" s="1"/>
  <c r="J1025" i="18"/>
  <c r="I1025" i="18"/>
  <c r="H1025" i="18"/>
  <c r="M1023" i="18"/>
  <c r="L1023" i="18"/>
  <c r="K1023" i="18"/>
  <c r="J1023" i="18"/>
  <c r="I1023" i="18"/>
  <c r="H1023" i="18"/>
  <c r="G1014" i="18"/>
  <c r="G1010" i="18" s="1"/>
  <c r="R346" i="6" s="1"/>
  <c r="G1013" i="18"/>
  <c r="G1009" i="18" s="1"/>
  <c r="X346" i="6"/>
  <c r="M1009" i="18"/>
  <c r="L1009" i="18"/>
  <c r="K1009" i="18"/>
  <c r="J1009" i="18"/>
  <c r="I1009" i="18"/>
  <c r="H1009" i="18"/>
  <c r="G1006" i="18"/>
  <c r="G1005" i="18"/>
  <c r="G1003" i="18" s="1"/>
  <c r="M1004" i="18"/>
  <c r="X345" i="6" s="1"/>
  <c r="L1004" i="18"/>
  <c r="W345" i="6" s="1"/>
  <c r="K1004" i="18"/>
  <c r="V345" i="6" s="1"/>
  <c r="J1004" i="18"/>
  <c r="I1004" i="18"/>
  <c r="H1004" i="18"/>
  <c r="G1004" i="18"/>
  <c r="M1003" i="18"/>
  <c r="L1003" i="18"/>
  <c r="K1003" i="18"/>
  <c r="J1003" i="18"/>
  <c r="I1003" i="18"/>
  <c r="H1003" i="18"/>
  <c r="L992" i="18"/>
  <c r="W344" i="6" s="1"/>
  <c r="M992" i="18"/>
  <c r="X344" i="6" s="1"/>
  <c r="K992" i="18"/>
  <c r="J992" i="18"/>
  <c r="I992" i="18"/>
  <c r="H992" i="18"/>
  <c r="M991" i="18"/>
  <c r="L991" i="18"/>
  <c r="K970" i="18"/>
  <c r="L988" i="18"/>
  <c r="G989" i="18"/>
  <c r="G969" i="18" s="1"/>
  <c r="R343" i="6" s="1"/>
  <c r="G987" i="18"/>
  <c r="G967" i="18" s="1"/>
  <c r="M970" i="18"/>
  <c r="M968" i="18" s="1"/>
  <c r="L970" i="18"/>
  <c r="L968" i="18" s="1"/>
  <c r="J970" i="18"/>
  <c r="I970" i="18"/>
  <c r="H970" i="18"/>
  <c r="L967" i="18"/>
  <c r="K967" i="18"/>
  <c r="J967" i="18"/>
  <c r="I967" i="18"/>
  <c r="H967" i="18"/>
  <c r="G966" i="18"/>
  <c r="G963" i="18"/>
  <c r="G962" i="18"/>
  <c r="G961" i="18"/>
  <c r="G953" i="18" s="1"/>
  <c r="R342" i="6" s="1"/>
  <c r="M960" i="18"/>
  <c r="K960" i="18"/>
  <c r="G960" i="18" s="1"/>
  <c r="G959" i="18"/>
  <c r="M954" i="18"/>
  <c r="M952" i="18" s="1"/>
  <c r="L954" i="18"/>
  <c r="L952" i="18" s="1"/>
  <c r="K954" i="18"/>
  <c r="K952" i="18" s="1"/>
  <c r="J954" i="18"/>
  <c r="J952" i="18" s="1"/>
  <c r="I954" i="18"/>
  <c r="I952" i="18" s="1"/>
  <c r="H954" i="18"/>
  <c r="H952" i="18" s="1"/>
  <c r="G946" i="18"/>
  <c r="G942" i="18" s="1"/>
  <c r="G945" i="18"/>
  <c r="G941" i="18" s="1"/>
  <c r="R341" i="6" s="1"/>
  <c r="M944" i="18"/>
  <c r="L944" i="18"/>
  <c r="K944" i="18"/>
  <c r="G944" i="18" s="1"/>
  <c r="G943" i="18"/>
  <c r="G939" i="18" s="1"/>
  <c r="M942" i="18"/>
  <c r="L942" i="18"/>
  <c r="K942" i="18"/>
  <c r="J942" i="18"/>
  <c r="I942" i="18"/>
  <c r="H942" i="18"/>
  <c r="M941" i="18"/>
  <c r="X341" i="6" s="1"/>
  <c r="L941" i="18"/>
  <c r="W341" i="6" s="1"/>
  <c r="K941" i="18"/>
  <c r="V341" i="6" s="1"/>
  <c r="J941" i="18"/>
  <c r="I941" i="18"/>
  <c r="H941" i="18"/>
  <c r="M939" i="18"/>
  <c r="L939" i="18"/>
  <c r="K939" i="18"/>
  <c r="J939" i="18"/>
  <c r="I939" i="18"/>
  <c r="H939" i="18"/>
  <c r="G938" i="18"/>
  <c r="G937" i="18"/>
  <c r="G934" i="18"/>
  <c r="G930" i="18" s="1"/>
  <c r="G933" i="18"/>
  <c r="L932" i="18"/>
  <c r="K932" i="18"/>
  <c r="J932" i="18"/>
  <c r="I932" i="18"/>
  <c r="H932" i="18"/>
  <c r="G931" i="18"/>
  <c r="M930" i="18"/>
  <c r="L930" i="18"/>
  <c r="K930" i="18"/>
  <c r="J930" i="18"/>
  <c r="I930" i="18"/>
  <c r="H930" i="18"/>
  <c r="L927" i="18"/>
  <c r="K927" i="18"/>
  <c r="J927" i="18"/>
  <c r="I927" i="18"/>
  <c r="H927" i="18"/>
  <c r="G922" i="18"/>
  <c r="G921" i="18"/>
  <c r="G917" i="18" s="1"/>
  <c r="M918" i="18"/>
  <c r="M902" i="18" s="1"/>
  <c r="L918" i="18"/>
  <c r="K918" i="18"/>
  <c r="J918" i="18"/>
  <c r="J902" i="18" s="1"/>
  <c r="J895" i="18" s="1"/>
  <c r="I918" i="18"/>
  <c r="H918" i="18"/>
  <c r="G918" i="18"/>
  <c r="M917" i="18"/>
  <c r="L917" i="18"/>
  <c r="K917" i="18"/>
  <c r="J917" i="18"/>
  <c r="I917" i="18"/>
  <c r="H917" i="18"/>
  <c r="M914" i="18"/>
  <c r="L914" i="18"/>
  <c r="M909" i="18"/>
  <c r="M907" i="18" s="1"/>
  <c r="L909" i="18"/>
  <c r="L907" i="18" s="1"/>
  <c r="G909" i="18"/>
  <c r="G907" i="18" s="1"/>
  <c r="G887" i="18"/>
  <c r="G886" i="18"/>
  <c r="G882" i="18" s="1"/>
  <c r="M882" i="18"/>
  <c r="L882" i="18"/>
  <c r="K882" i="18"/>
  <c r="J882" i="18"/>
  <c r="I882" i="18"/>
  <c r="H882" i="18"/>
  <c r="M881" i="18"/>
  <c r="L881" i="18"/>
  <c r="K881" i="18"/>
  <c r="J881" i="18"/>
  <c r="I881" i="18"/>
  <c r="H881" i="18"/>
  <c r="G878" i="18"/>
  <c r="G876" i="18" s="1"/>
  <c r="G877" i="18"/>
  <c r="G875" i="18" s="1"/>
  <c r="M876" i="18"/>
  <c r="L876" i="18"/>
  <c r="J876" i="18"/>
  <c r="I876" i="18"/>
  <c r="H876" i="18"/>
  <c r="M875" i="18"/>
  <c r="L875" i="18"/>
  <c r="J875" i="18"/>
  <c r="I875" i="18"/>
  <c r="H875" i="18"/>
  <c r="G874" i="18"/>
  <c r="G873" i="18"/>
  <c r="L866" i="18"/>
  <c r="K866" i="18"/>
  <c r="J866" i="18"/>
  <c r="I866" i="18"/>
  <c r="H866" i="18"/>
  <c r="L865" i="18"/>
  <c r="K865" i="18"/>
  <c r="J865" i="18"/>
  <c r="I865" i="18"/>
  <c r="H865" i="18"/>
  <c r="G860" i="18"/>
  <c r="G858" i="18" s="1"/>
  <c r="L858" i="18"/>
  <c r="V311" i="6"/>
  <c r="R311" i="6" s="1"/>
  <c r="L857" i="18"/>
  <c r="G857" i="18"/>
  <c r="G854" i="18"/>
  <c r="G853" i="18"/>
  <c r="G851" i="18"/>
  <c r="G845" i="18" s="1"/>
  <c r="G850" i="18"/>
  <c r="G849" i="18"/>
  <c r="L848" i="18"/>
  <c r="K848" i="18"/>
  <c r="G848" i="18" s="1"/>
  <c r="J848" i="18"/>
  <c r="M845" i="18"/>
  <c r="L845" i="18"/>
  <c r="K845" i="18"/>
  <c r="J845" i="18"/>
  <c r="I845" i="18"/>
  <c r="H845" i="18"/>
  <c r="G844" i="18"/>
  <c r="G843" i="18"/>
  <c r="L842" i="18"/>
  <c r="G842" i="18"/>
  <c r="G841" i="18"/>
  <c r="G839" i="18"/>
  <c r="G837" i="18"/>
  <c r="M836" i="18"/>
  <c r="L836" i="18"/>
  <c r="M835" i="18"/>
  <c r="L835" i="18"/>
  <c r="K835" i="18"/>
  <c r="M833" i="18"/>
  <c r="K833" i="18"/>
  <c r="G833" i="18" s="1"/>
  <c r="G825" i="18"/>
  <c r="G824" i="18" s="1"/>
  <c r="J824" i="18"/>
  <c r="G822" i="18"/>
  <c r="G818" i="18" s="1"/>
  <c r="G821" i="18"/>
  <c r="L820" i="18"/>
  <c r="L815" i="18" s="1"/>
  <c r="L814" i="18" s="1"/>
  <c r="K820" i="18"/>
  <c r="G819" i="18"/>
  <c r="L818" i="18"/>
  <c r="M817" i="18"/>
  <c r="M816" i="18" s="1"/>
  <c r="L817" i="18"/>
  <c r="K817" i="18"/>
  <c r="J817" i="18"/>
  <c r="I817" i="18"/>
  <c r="H817" i="18"/>
  <c r="L816" i="18"/>
  <c r="K816" i="18"/>
  <c r="J816" i="18"/>
  <c r="I816" i="18"/>
  <c r="H816" i="18"/>
  <c r="G816" i="18"/>
  <c r="M806" i="18"/>
  <c r="L806" i="18"/>
  <c r="G806" i="18"/>
  <c r="M805" i="18"/>
  <c r="L805" i="18"/>
  <c r="G805" i="18"/>
  <c r="G804" i="18"/>
  <c r="G803" i="18"/>
  <c r="K802" i="18"/>
  <c r="G802" i="18" s="1"/>
  <c r="G801" i="18"/>
  <c r="G799" i="18"/>
  <c r="G797" i="18"/>
  <c r="G796" i="18"/>
  <c r="G795" i="18"/>
  <c r="M794" i="18"/>
  <c r="L794" i="18"/>
  <c r="J794" i="18"/>
  <c r="I794" i="18"/>
  <c r="H794" i="18"/>
  <c r="M793" i="18"/>
  <c r="L793" i="18"/>
  <c r="K793" i="18"/>
  <c r="M791" i="18"/>
  <c r="L791" i="18"/>
  <c r="K791" i="18"/>
  <c r="J791" i="18"/>
  <c r="I791" i="18"/>
  <c r="H791" i="18"/>
  <c r="G791" i="18"/>
  <c r="G790" i="18"/>
  <c r="G778" i="18" s="1"/>
  <c r="M778" i="18"/>
  <c r="L778" i="18"/>
  <c r="K778" i="18"/>
  <c r="J778" i="18"/>
  <c r="I778" i="18"/>
  <c r="H778" i="18"/>
  <c r="M777" i="18"/>
  <c r="L777" i="18"/>
  <c r="G777" i="18"/>
  <c r="W303" i="6"/>
  <c r="G752" i="18"/>
  <c r="G742" i="18"/>
  <c r="L740" i="18"/>
  <c r="K740" i="18"/>
  <c r="G740" i="18" s="1"/>
  <c r="J740" i="18"/>
  <c r="G737" i="18"/>
  <c r="G736" i="18"/>
  <c r="G735" i="18" s="1"/>
  <c r="M735" i="18"/>
  <c r="L735" i="18"/>
  <c r="G731" i="18"/>
  <c r="M729" i="18"/>
  <c r="L729" i="18"/>
  <c r="K729" i="18"/>
  <c r="J729" i="18"/>
  <c r="I729" i="18"/>
  <c r="H729" i="18"/>
  <c r="V301" i="6"/>
  <c r="R301" i="6" s="1"/>
  <c r="G716" i="18"/>
  <c r="G719" i="18"/>
  <c r="W299" i="6"/>
  <c r="M716" i="18"/>
  <c r="L713" i="18"/>
  <c r="G713" i="18"/>
  <c r="G709" i="18"/>
  <c r="G708" i="18"/>
  <c r="G707" i="18"/>
  <c r="G706" i="18"/>
  <c r="L705" i="18"/>
  <c r="K705" i="18"/>
  <c r="G705" i="18" s="1"/>
  <c r="G704" i="18"/>
  <c r="L703" i="18"/>
  <c r="K703" i="18"/>
  <c r="G703" i="18" s="1"/>
  <c r="M702" i="18"/>
  <c r="M701" i="18" s="1"/>
  <c r="L702" i="18"/>
  <c r="K702" i="18"/>
  <c r="V298" i="6" s="1"/>
  <c r="R298" i="6" s="1"/>
  <c r="J702" i="18"/>
  <c r="J701" i="18" s="1"/>
  <c r="I702" i="18"/>
  <c r="I701" i="18" s="1"/>
  <c r="H702" i="18"/>
  <c r="H701" i="18" s="1"/>
  <c r="M700" i="18"/>
  <c r="L700" i="18"/>
  <c r="K700" i="18"/>
  <c r="J700" i="18"/>
  <c r="I700" i="18"/>
  <c r="H700" i="18"/>
  <c r="G699" i="18"/>
  <c r="G698" i="18"/>
  <c r="G697" i="18"/>
  <c r="G696" i="18"/>
  <c r="L695" i="18"/>
  <c r="K695" i="18"/>
  <c r="G695" i="18" s="1"/>
  <c r="G694" i="18"/>
  <c r="G693" i="18"/>
  <c r="G692" i="18"/>
  <c r="L691" i="18"/>
  <c r="K691" i="18"/>
  <c r="J691" i="18"/>
  <c r="I691" i="18"/>
  <c r="H691" i="18"/>
  <c r="G691" i="18"/>
  <c r="L690" i="18"/>
  <c r="K690" i="18"/>
  <c r="V297" i="6" s="1"/>
  <c r="R297" i="6" s="1"/>
  <c r="L688" i="18"/>
  <c r="K688" i="18"/>
  <c r="G688" i="18" s="1"/>
  <c r="G685" i="18"/>
  <c r="G683" i="18" s="1"/>
  <c r="L683" i="18"/>
  <c r="K683" i="18"/>
  <c r="J683" i="18"/>
  <c r="I683" i="18"/>
  <c r="H683" i="18"/>
  <c r="L682" i="18"/>
  <c r="K682" i="18"/>
  <c r="J682" i="18"/>
  <c r="I682" i="18"/>
  <c r="H682" i="18"/>
  <c r="G682" i="18"/>
  <c r="G681" i="18"/>
  <c r="G673" i="18" s="1"/>
  <c r="G680" i="18"/>
  <c r="G672" i="18" s="1"/>
  <c r="M673" i="18"/>
  <c r="L673" i="18"/>
  <c r="K673" i="18"/>
  <c r="J673" i="18"/>
  <c r="I673" i="18"/>
  <c r="H673" i="18"/>
  <c r="M672" i="18"/>
  <c r="L672" i="18"/>
  <c r="K672" i="18"/>
  <c r="G671" i="18"/>
  <c r="G667" i="18" s="1"/>
  <c r="M667" i="18"/>
  <c r="L667" i="18"/>
  <c r="K667" i="18"/>
  <c r="J667" i="18"/>
  <c r="I667" i="18"/>
  <c r="H667" i="18"/>
  <c r="M666" i="18"/>
  <c r="L666" i="18"/>
  <c r="G666" i="18"/>
  <c r="G665" i="18"/>
  <c r="M661" i="18"/>
  <c r="L661" i="18"/>
  <c r="K661" i="18"/>
  <c r="J661" i="18"/>
  <c r="I661" i="18"/>
  <c r="H661" i="18"/>
  <c r="M660" i="18"/>
  <c r="L660" i="18"/>
  <c r="I660" i="18"/>
  <c r="H660" i="18"/>
  <c r="G659" i="18"/>
  <c r="G657" i="18"/>
  <c r="G656" i="18"/>
  <c r="G654" i="18" s="1"/>
  <c r="M655" i="18"/>
  <c r="L655" i="18"/>
  <c r="K655" i="18"/>
  <c r="I655" i="18"/>
  <c r="H655" i="18"/>
  <c r="M654" i="18"/>
  <c r="L654" i="18"/>
  <c r="J654" i="18"/>
  <c r="I654" i="18"/>
  <c r="H654" i="18"/>
  <c r="G653" i="18"/>
  <c r="G651" i="18"/>
  <c r="G648" i="18"/>
  <c r="G636" i="18" s="1"/>
  <c r="G647" i="18"/>
  <c r="G643" i="18"/>
  <c r="M639" i="18"/>
  <c r="L639" i="18"/>
  <c r="K639" i="18"/>
  <c r="J639" i="18"/>
  <c r="I639" i="18"/>
  <c r="H639" i="18"/>
  <c r="M636" i="18"/>
  <c r="L636" i="18"/>
  <c r="K636" i="18"/>
  <c r="J636" i="18"/>
  <c r="I636" i="18"/>
  <c r="H636" i="18"/>
  <c r="G625" i="18"/>
  <c r="M623" i="18"/>
  <c r="L623" i="18"/>
  <c r="K623" i="18"/>
  <c r="G623" i="18" s="1"/>
  <c r="J623" i="18"/>
  <c r="I623" i="18"/>
  <c r="H623" i="18"/>
  <c r="M620" i="18"/>
  <c r="L620" i="18"/>
  <c r="G617" i="18"/>
  <c r="G608" i="18" s="1"/>
  <c r="R289" i="6" s="1"/>
  <c r="G616" i="18"/>
  <c r="L611" i="18"/>
  <c r="L609" i="18"/>
  <c r="G609" i="18"/>
  <c r="L608" i="18"/>
  <c r="L606" i="18"/>
  <c r="G605" i="18"/>
  <c r="G604" i="18"/>
  <c r="K603" i="18"/>
  <c r="G603" i="18" s="1"/>
  <c r="G602" i="18"/>
  <c r="G601" i="18"/>
  <c r="L599" i="18"/>
  <c r="K599" i="18"/>
  <c r="G599" i="18" s="1"/>
  <c r="L595" i="18"/>
  <c r="L592" i="18" s="1"/>
  <c r="M593" i="18"/>
  <c r="M591" i="18" s="1"/>
  <c r="L593" i="18"/>
  <c r="K593" i="18"/>
  <c r="G593" i="18" s="1"/>
  <c r="J593" i="18"/>
  <c r="I593" i="18"/>
  <c r="H593" i="18"/>
  <c r="V288" i="6"/>
  <c r="M590" i="18"/>
  <c r="L590" i="18"/>
  <c r="K587" i="18"/>
  <c r="G587" i="18" s="1"/>
  <c r="G588" i="18"/>
  <c r="G586" i="18"/>
  <c r="G584" i="18"/>
  <c r="G583" i="18"/>
  <c r="G582" i="18"/>
  <c r="M581" i="18"/>
  <c r="L581" i="18"/>
  <c r="I581" i="18"/>
  <c r="H581" i="18"/>
  <c r="M580" i="18"/>
  <c r="L580" i="18"/>
  <c r="M578" i="18"/>
  <c r="L578" i="18"/>
  <c r="K578" i="18"/>
  <c r="L575" i="18"/>
  <c r="N573" i="18"/>
  <c r="M573" i="18"/>
  <c r="L573" i="18"/>
  <c r="G573" i="18"/>
  <c r="N572" i="18"/>
  <c r="M572" i="18"/>
  <c r="L572" i="18"/>
  <c r="G572" i="18"/>
  <c r="L563" i="18"/>
  <c r="G563" i="18"/>
  <c r="L562" i="18"/>
  <c r="G562" i="18"/>
  <c r="M555" i="18"/>
  <c r="L555" i="18"/>
  <c r="G555" i="18"/>
  <c r="M554" i="18"/>
  <c r="L554" i="18"/>
  <c r="G554" i="18"/>
  <c r="M545" i="18"/>
  <c r="L545" i="18"/>
  <c r="G545" i="18"/>
  <c r="M544" i="18"/>
  <c r="L544" i="18"/>
  <c r="G544" i="18"/>
  <c r="L537" i="18"/>
  <c r="G537" i="18"/>
  <c r="L536" i="18"/>
  <c r="G536" i="18"/>
  <c r="T535" i="18"/>
  <c r="S535" i="18"/>
  <c r="R535" i="18"/>
  <c r="L471" i="18"/>
  <c r="L467" i="18"/>
  <c r="G467" i="18"/>
  <c r="L463" i="18"/>
  <c r="G463" i="18"/>
  <c r="L461" i="18"/>
  <c r="G456" i="18"/>
  <c r="M455" i="18"/>
  <c r="L455" i="18"/>
  <c r="K455" i="18"/>
  <c r="J455" i="18"/>
  <c r="I455" i="18"/>
  <c r="H455" i="18"/>
  <c r="G454" i="18"/>
  <c r="G442" i="18" s="1"/>
  <c r="L451" i="18"/>
  <c r="G451" i="18"/>
  <c r="L447" i="18"/>
  <c r="G447" i="18"/>
  <c r="M445" i="18"/>
  <c r="L445" i="18"/>
  <c r="G445" i="18"/>
  <c r="M444" i="18"/>
  <c r="L444" i="18"/>
  <c r="W179" i="6" s="1"/>
  <c r="K444" i="18"/>
  <c r="V179" i="6" s="1"/>
  <c r="J444" i="18"/>
  <c r="J443" i="18" s="1"/>
  <c r="I444" i="18"/>
  <c r="I443" i="18" s="1"/>
  <c r="H444" i="18"/>
  <c r="H443" i="18" s="1"/>
  <c r="M442" i="18"/>
  <c r="L442" i="18"/>
  <c r="K442" i="18"/>
  <c r="J442" i="18"/>
  <c r="I442" i="18"/>
  <c r="H442" i="18"/>
  <c r="G408" i="18"/>
  <c r="M407" i="18"/>
  <c r="L407" i="18"/>
  <c r="K407" i="18"/>
  <c r="G406" i="18"/>
  <c r="G394" i="18" s="1"/>
  <c r="G405" i="18"/>
  <c r="G404" i="18"/>
  <c r="L403" i="18"/>
  <c r="K403" i="18"/>
  <c r="G402" i="18"/>
  <c r="M397" i="18"/>
  <c r="L397" i="18"/>
  <c r="K397" i="18"/>
  <c r="J397" i="18"/>
  <c r="I397" i="18"/>
  <c r="H397" i="18"/>
  <c r="M396" i="18"/>
  <c r="X173" i="6" s="1"/>
  <c r="L396" i="18"/>
  <c r="M394" i="18"/>
  <c r="L394" i="18"/>
  <c r="K394" i="18"/>
  <c r="J394" i="18"/>
  <c r="I394" i="18"/>
  <c r="H394" i="18"/>
  <c r="G393" i="18"/>
  <c r="G385" i="18" s="1"/>
  <c r="G392" i="18"/>
  <c r="G384" i="18" s="1"/>
  <c r="M391" i="18"/>
  <c r="L391" i="18"/>
  <c r="G390" i="18"/>
  <c r="G382" i="18" s="1"/>
  <c r="L387" i="18"/>
  <c r="G387" i="18"/>
  <c r="M385" i="18"/>
  <c r="L385" i="18"/>
  <c r="J385" i="18"/>
  <c r="I385" i="18"/>
  <c r="H385" i="18"/>
  <c r="M384" i="18"/>
  <c r="L384" i="18"/>
  <c r="W172" i="6" s="1"/>
  <c r="K384" i="18"/>
  <c r="V172" i="6" s="1"/>
  <c r="R172" i="6" s="1"/>
  <c r="J384" i="18"/>
  <c r="I384" i="18"/>
  <c r="H384" i="18"/>
  <c r="M382" i="18"/>
  <c r="L382" i="18"/>
  <c r="K382" i="18"/>
  <c r="J382" i="18"/>
  <c r="I382" i="18"/>
  <c r="H382" i="18"/>
  <c r="G380" i="18"/>
  <c r="G368" i="18" s="1"/>
  <c r="L379" i="18"/>
  <c r="K379" i="18"/>
  <c r="J379" i="18"/>
  <c r="I379" i="18"/>
  <c r="H379" i="18"/>
  <c r="G378" i="18"/>
  <c r="G366" i="18" s="1"/>
  <c r="L375" i="18"/>
  <c r="G375" i="18"/>
  <c r="L371" i="18"/>
  <c r="G371" i="18"/>
  <c r="M369" i="18"/>
  <c r="L369" i="18"/>
  <c r="G369" i="18"/>
  <c r="M368" i="18"/>
  <c r="L368" i="18"/>
  <c r="W171" i="6" s="1"/>
  <c r="K368" i="18"/>
  <c r="J368" i="18"/>
  <c r="J367" i="18" s="1"/>
  <c r="I368" i="18"/>
  <c r="I367" i="18" s="1"/>
  <c r="H368" i="18"/>
  <c r="H367" i="18" s="1"/>
  <c r="M366" i="18"/>
  <c r="L366" i="18"/>
  <c r="K366" i="18"/>
  <c r="J366" i="18"/>
  <c r="I366" i="18"/>
  <c r="H366" i="18"/>
  <c r="M363" i="18"/>
  <c r="M351" i="18" s="1"/>
  <c r="L363" i="18"/>
  <c r="L351" i="18" s="1"/>
  <c r="M353" i="18"/>
  <c r="L353" i="18"/>
  <c r="G353" i="18"/>
  <c r="M350" i="18"/>
  <c r="L350" i="18"/>
  <c r="G350" i="18"/>
  <c r="L347" i="18"/>
  <c r="G347" i="18"/>
  <c r="L333" i="18"/>
  <c r="L331" i="18" s="1"/>
  <c r="G333" i="18"/>
  <c r="G331" i="18" s="1"/>
  <c r="L330" i="18"/>
  <c r="G330" i="18"/>
  <c r="G328" i="18"/>
  <c r="L327" i="18"/>
  <c r="K327" i="18"/>
  <c r="G327" i="18" s="1"/>
  <c r="G326" i="18"/>
  <c r="G316" i="18"/>
  <c r="M315" i="18"/>
  <c r="G314" i="18"/>
  <c r="M311" i="18"/>
  <c r="G308" i="18"/>
  <c r="G306" i="18" s="1"/>
  <c r="L306" i="18"/>
  <c r="K306" i="18"/>
  <c r="J306" i="18"/>
  <c r="I306" i="18"/>
  <c r="H306" i="18"/>
  <c r="M303" i="18"/>
  <c r="M302" i="18" s="1"/>
  <c r="L302" i="18"/>
  <c r="G302" i="18"/>
  <c r="L298" i="18"/>
  <c r="J298" i="18"/>
  <c r="G295" i="18"/>
  <c r="M294" i="18"/>
  <c r="L294" i="18"/>
  <c r="M286" i="18"/>
  <c r="L286" i="18"/>
  <c r="G283" i="18"/>
  <c r="L282" i="18"/>
  <c r="K282" i="18"/>
  <c r="J282" i="18"/>
  <c r="I282" i="18"/>
  <c r="H282" i="18"/>
  <c r="G281" i="18"/>
  <c r="L278" i="18"/>
  <c r="G278" i="18"/>
  <c r="K267" i="18"/>
  <c r="G274" i="18"/>
  <c r="M273" i="18"/>
  <c r="L273" i="18"/>
  <c r="J273" i="18"/>
  <c r="I273" i="18"/>
  <c r="H273" i="18"/>
  <c r="G271" i="18"/>
  <c r="M269" i="18"/>
  <c r="L269" i="18"/>
  <c r="J269" i="18"/>
  <c r="I269" i="18"/>
  <c r="H269" i="18"/>
  <c r="M267" i="18"/>
  <c r="L267" i="18"/>
  <c r="J267" i="18"/>
  <c r="I267" i="18"/>
  <c r="H267" i="18"/>
  <c r="K266" i="18"/>
  <c r="J266" i="18"/>
  <c r="I266" i="18"/>
  <c r="H266" i="18"/>
  <c r="G266" i="18"/>
  <c r="L265" i="18"/>
  <c r="G265" i="18"/>
  <c r="M263" i="18"/>
  <c r="M262" i="18"/>
  <c r="L262" i="18"/>
  <c r="K262" i="18"/>
  <c r="J262" i="18"/>
  <c r="I262" i="18"/>
  <c r="H262" i="18"/>
  <c r="M259" i="18"/>
  <c r="L259" i="18"/>
  <c r="G259" i="18"/>
  <c r="L257" i="18"/>
  <c r="G257" i="18"/>
  <c r="M256" i="18"/>
  <c r="L256" i="18"/>
  <c r="W167" i="6" s="1"/>
  <c r="G256" i="18"/>
  <c r="M254" i="18"/>
  <c r="L254" i="18"/>
  <c r="G254" i="18"/>
  <c r="L247" i="18"/>
  <c r="G245" i="18"/>
  <c r="L244" i="18"/>
  <c r="L242" i="18"/>
  <c r="G242" i="18"/>
  <c r="L240" i="18"/>
  <c r="G240" i="18"/>
  <c r="L236" i="18"/>
  <c r="G236" i="18"/>
  <c r="L234" i="18"/>
  <c r="G234" i="18"/>
  <c r="L233" i="18"/>
  <c r="G233" i="18"/>
  <c r="L231" i="18"/>
  <c r="G231" i="18"/>
  <c r="L225" i="18"/>
  <c r="G225" i="18"/>
  <c r="L222" i="18"/>
  <c r="G222" i="18"/>
  <c r="G218" i="18"/>
  <c r="L218" i="18"/>
  <c r="I218" i="18"/>
  <c r="L214" i="18"/>
  <c r="G214" i="18"/>
  <c r="L212" i="18"/>
  <c r="G212" i="18"/>
  <c r="L211" i="18"/>
  <c r="W164" i="6" s="1"/>
  <c r="L209" i="18"/>
  <c r="J209" i="18"/>
  <c r="I209" i="18"/>
  <c r="H209" i="18"/>
  <c r="G209" i="18"/>
  <c r="L206" i="18"/>
  <c r="L199" i="18" s="1"/>
  <c r="K206" i="18"/>
  <c r="M203" i="18"/>
  <c r="M199" i="18" s="1"/>
  <c r="J200" i="18"/>
  <c r="I200" i="18"/>
  <c r="H200" i="18"/>
  <c r="J199" i="18"/>
  <c r="I199" i="18"/>
  <c r="H199" i="18"/>
  <c r="M198" i="18"/>
  <c r="L198" i="18"/>
  <c r="K198" i="18"/>
  <c r="J198" i="18"/>
  <c r="I198" i="18"/>
  <c r="H198" i="18"/>
  <c r="G198" i="18"/>
  <c r="M196" i="18"/>
  <c r="L196" i="18"/>
  <c r="K181" i="18"/>
  <c r="L192" i="18"/>
  <c r="M192" i="18"/>
  <c r="J192" i="18"/>
  <c r="J179" i="18" s="1"/>
  <c r="I192" i="18"/>
  <c r="I179" i="18" s="1"/>
  <c r="H192" i="18"/>
  <c r="H179" i="18" s="1"/>
  <c r="G191" i="18"/>
  <c r="L189" i="18"/>
  <c r="L186" i="18"/>
  <c r="G186" i="18"/>
  <c r="L183" i="18"/>
  <c r="G183" i="18"/>
  <c r="M181" i="18"/>
  <c r="J181" i="18"/>
  <c r="I181" i="18"/>
  <c r="H181" i="18"/>
  <c r="M180" i="18"/>
  <c r="M178" i="18"/>
  <c r="G178" i="18"/>
  <c r="G172" i="18"/>
  <c r="G164" i="18" s="1"/>
  <c r="L171" i="18"/>
  <c r="J171" i="18"/>
  <c r="L167" i="18"/>
  <c r="G167" i="18"/>
  <c r="L165" i="18"/>
  <c r="L163" i="18" s="1"/>
  <c r="G165" i="18"/>
  <c r="J163" i="18"/>
  <c r="I163" i="18"/>
  <c r="H163" i="18"/>
  <c r="L162" i="18"/>
  <c r="L160" i="18"/>
  <c r="G160" i="18"/>
  <c r="G155" i="18"/>
  <c r="G151" i="18" s="1"/>
  <c r="L153" i="18"/>
  <c r="J153" i="18"/>
  <c r="J152" i="18" s="1"/>
  <c r="I153" i="18"/>
  <c r="I152" i="18" s="1"/>
  <c r="H153" i="18"/>
  <c r="H152" i="18" s="1"/>
  <c r="L152" i="18"/>
  <c r="L151" i="18"/>
  <c r="K151" i="18"/>
  <c r="J151" i="18"/>
  <c r="I151" i="18"/>
  <c r="H151" i="18"/>
  <c r="L148" i="18"/>
  <c r="L145" i="18" s="1"/>
  <c r="K148" i="18"/>
  <c r="J148" i="18"/>
  <c r="J145" i="18" s="1"/>
  <c r="J144" i="18" s="1"/>
  <c r="I148" i="18"/>
  <c r="I145" i="18" s="1"/>
  <c r="I144" i="18" s="1"/>
  <c r="H148" i="18"/>
  <c r="H145" i="18" s="1"/>
  <c r="H144" i="18" s="1"/>
  <c r="L146" i="18"/>
  <c r="G146" i="18"/>
  <c r="M143" i="18"/>
  <c r="L143" i="18"/>
  <c r="G143" i="18"/>
  <c r="G142" i="18"/>
  <c r="G133" i="18" s="1"/>
  <c r="G140" i="18"/>
  <c r="G131" i="18" s="1"/>
  <c r="G139" i="18"/>
  <c r="M131" i="18"/>
  <c r="M130" i="18"/>
  <c r="K130" i="18"/>
  <c r="J130" i="18"/>
  <c r="I130" i="18"/>
  <c r="H130" i="18"/>
  <c r="L127" i="18"/>
  <c r="G127" i="18"/>
  <c r="L123" i="18"/>
  <c r="L119" i="18"/>
  <c r="G120" i="18"/>
  <c r="G104" i="18" s="1"/>
  <c r="K119" i="18"/>
  <c r="J119" i="18"/>
  <c r="I119" i="18"/>
  <c r="H119" i="18"/>
  <c r="G117" i="18"/>
  <c r="G116" i="18" s="1"/>
  <c r="J116" i="18"/>
  <c r="M115" i="18"/>
  <c r="M102" i="18" s="1"/>
  <c r="L113" i="18"/>
  <c r="G111" i="18"/>
  <c r="F111" i="18"/>
  <c r="E111" i="18"/>
  <c r="D111" i="18"/>
  <c r="C111" i="18"/>
  <c r="B111" i="18"/>
  <c r="L110" i="18"/>
  <c r="F110" i="18"/>
  <c r="E110" i="18"/>
  <c r="D110" i="18"/>
  <c r="C110" i="18"/>
  <c r="B110" i="18"/>
  <c r="O109" i="18"/>
  <c r="L109" i="18"/>
  <c r="G109" i="18"/>
  <c r="F109" i="18"/>
  <c r="E109" i="18"/>
  <c r="D109" i="18"/>
  <c r="C109" i="18"/>
  <c r="B109" i="18"/>
  <c r="L107" i="18"/>
  <c r="G110" i="18"/>
  <c r="M105" i="18"/>
  <c r="L105" i="18"/>
  <c r="G105" i="18"/>
  <c r="J103" i="18"/>
  <c r="I103" i="18"/>
  <c r="H103" i="18"/>
  <c r="J102" i="18"/>
  <c r="I102" i="18"/>
  <c r="H102" i="18"/>
  <c r="G94" i="18"/>
  <c r="G90" i="18"/>
  <c r="L88" i="18"/>
  <c r="J88" i="18"/>
  <c r="G88" i="18"/>
  <c r="L87" i="18"/>
  <c r="J87" i="18"/>
  <c r="G87" i="18"/>
  <c r="R147" i="6" s="1"/>
  <c r="L85" i="18"/>
  <c r="G85" i="18"/>
  <c r="M77" i="18"/>
  <c r="L77" i="18"/>
  <c r="M73" i="18"/>
  <c r="M69" i="18"/>
  <c r="G67" i="18"/>
  <c r="L65" i="18"/>
  <c r="K65" i="18"/>
  <c r="G65" i="18" s="1"/>
  <c r="G64" i="18"/>
  <c r="G49" i="18" s="1"/>
  <c r="L58" i="18"/>
  <c r="G59" i="18"/>
  <c r="G51" i="18" s="1"/>
  <c r="X58" i="18"/>
  <c r="M58" i="18"/>
  <c r="J58" i="18"/>
  <c r="J50" i="18" s="1"/>
  <c r="I58" i="18"/>
  <c r="I50" i="18" s="1"/>
  <c r="H58" i="18"/>
  <c r="H50" i="18" s="1"/>
  <c r="M52" i="18"/>
  <c r="L52" i="18"/>
  <c r="K52" i="18"/>
  <c r="V144" i="6" s="1"/>
  <c r="R144" i="6" s="1"/>
  <c r="J52" i="18"/>
  <c r="I52" i="18"/>
  <c r="H52" i="18"/>
  <c r="M51" i="18"/>
  <c r="M49" i="18"/>
  <c r="L49" i="18"/>
  <c r="L10" i="18" s="1"/>
  <c r="K49" i="18"/>
  <c r="J49" i="18"/>
  <c r="I49" i="18"/>
  <c r="H49" i="18"/>
  <c r="G44" i="18"/>
  <c r="G43" i="18"/>
  <c r="G41" i="18"/>
  <c r="G37" i="18" s="1"/>
  <c r="G36" i="18" s="1"/>
  <c r="M40" i="18"/>
  <c r="L40" i="18"/>
  <c r="J40" i="18"/>
  <c r="H40" i="18"/>
  <c r="G39" i="18"/>
  <c r="M37" i="18"/>
  <c r="J37" i="18"/>
  <c r="J36" i="18" s="1"/>
  <c r="I37" i="18"/>
  <c r="I36" i="18" s="1"/>
  <c r="H37" i="18"/>
  <c r="L36" i="18"/>
  <c r="M22" i="18"/>
  <c r="K22" i="18"/>
  <c r="J22" i="18"/>
  <c r="I22" i="18"/>
  <c r="H22" i="18"/>
  <c r="G22" i="18"/>
  <c r="K21" i="18"/>
  <c r="J21" i="18"/>
  <c r="I21" i="18"/>
  <c r="H21" i="18"/>
  <c r="G21" i="18"/>
  <c r="R136" i="6" s="1"/>
  <c r="M19" i="18"/>
  <c r="L19" i="18"/>
  <c r="K19" i="18"/>
  <c r="J19" i="18"/>
  <c r="I19" i="18"/>
  <c r="H19" i="18"/>
  <c r="G19" i="18"/>
  <c r="I17" i="18"/>
  <c r="H17" i="18"/>
  <c r="Y14" i="18"/>
  <c r="X14" i="18"/>
  <c r="V12" i="18"/>
  <c r="K45" i="5"/>
  <c r="G865" i="18" l="1"/>
  <c r="K529" i="18"/>
  <c r="J529" i="18"/>
  <c r="I902" i="18"/>
  <c r="I895" i="18" s="1"/>
  <c r="L529" i="18"/>
  <c r="M899" i="18"/>
  <c r="G820" i="18"/>
  <c r="G815" i="18" s="1"/>
  <c r="G814" i="18" s="1"/>
  <c r="K815" i="18"/>
  <c r="K814" i="18" s="1"/>
  <c r="I529" i="18"/>
  <c r="G728" i="18"/>
  <c r="R339" i="6"/>
  <c r="V339" i="6"/>
  <c r="K902" i="18"/>
  <c r="K895" i="18" s="1"/>
  <c r="G578" i="18"/>
  <c r="H902" i="18"/>
  <c r="H895" i="18" s="1"/>
  <c r="L899" i="18"/>
  <c r="L892" i="18" s="1"/>
  <c r="X339" i="6"/>
  <c r="X333" i="6" s="1"/>
  <c r="X325" i="6" s="1"/>
  <c r="M895" i="18"/>
  <c r="G992" i="18"/>
  <c r="R344" i="6" s="1"/>
  <c r="V344" i="6"/>
  <c r="G1062" i="18"/>
  <c r="G1076" i="18"/>
  <c r="K899" i="18"/>
  <c r="K892" i="18" s="1"/>
  <c r="H529" i="18"/>
  <c r="G1148" i="18"/>
  <c r="W339" i="6"/>
  <c r="I526" i="18"/>
  <c r="H526" i="18"/>
  <c r="G1114" i="18"/>
  <c r="G951" i="18"/>
  <c r="G929" i="18"/>
  <c r="G702" i="18"/>
  <c r="M532" i="18"/>
  <c r="M527" i="18" s="1"/>
  <c r="M526" i="18" s="1"/>
  <c r="L532" i="18"/>
  <c r="L527" i="18" s="1"/>
  <c r="L526" i="18" s="1"/>
  <c r="L144" i="18"/>
  <c r="V307" i="6"/>
  <c r="R307" i="6" s="1"/>
  <c r="V312" i="6"/>
  <c r="R312" i="6" s="1"/>
  <c r="G866" i="18"/>
  <c r="G835" i="18"/>
  <c r="V309" i="6"/>
  <c r="R309" i="6" s="1"/>
  <c r="K145" i="18"/>
  <c r="G148" i="18"/>
  <c r="G145" i="18" s="1"/>
  <c r="L591" i="18"/>
  <c r="M529" i="18"/>
  <c r="G661" i="18"/>
  <c r="V293" i="6"/>
  <c r="V136" i="6"/>
  <c r="V303" i="6"/>
  <c r="R303" i="6" s="1"/>
  <c r="G396" i="18"/>
  <c r="H14" i="18"/>
  <c r="G119" i="18"/>
  <c r="I14" i="18"/>
  <c r="V126" i="6"/>
  <c r="R126" i="6"/>
  <c r="V142" i="6"/>
  <c r="X119" i="6"/>
  <c r="J14" i="18"/>
  <c r="K199" i="18"/>
  <c r="G206" i="18"/>
  <c r="G199" i="18" s="1"/>
  <c r="K367" i="18"/>
  <c r="V171" i="6"/>
  <c r="R171" i="6" s="1"/>
  <c r="W147" i="6"/>
  <c r="W148" i="6"/>
  <c r="L14" i="18"/>
  <c r="X139" i="6"/>
  <c r="M14" i="18"/>
  <c r="W173" i="6"/>
  <c r="M163" i="18"/>
  <c r="K103" i="18"/>
  <c r="H1241" i="18"/>
  <c r="B81" i="15"/>
  <c r="G1121" i="18"/>
  <c r="R345" i="6"/>
  <c r="W356" i="6"/>
  <c r="W346" i="6"/>
  <c r="M179" i="18"/>
  <c r="X162" i="6"/>
  <c r="L243" i="18"/>
  <c r="W166" i="6"/>
  <c r="I263" i="18"/>
  <c r="G793" i="18"/>
  <c r="V305" i="6"/>
  <c r="R305" i="6" s="1"/>
  <c r="M255" i="18"/>
  <c r="X167" i="6"/>
  <c r="L1209" i="18"/>
  <c r="K443" i="18"/>
  <c r="G817" i="18"/>
  <c r="J940" i="18"/>
  <c r="L1223" i="18"/>
  <c r="H1279" i="18"/>
  <c r="L533" i="18"/>
  <c r="H15" i="18"/>
  <c r="I10" i="18"/>
  <c r="J10" i="18"/>
  <c r="J15" i="18"/>
  <c r="L15" i="18"/>
  <c r="H10" i="18"/>
  <c r="M15" i="18"/>
  <c r="M20" i="18"/>
  <c r="H1321" i="18"/>
  <c r="G58" i="18"/>
  <c r="J1338" i="18"/>
  <c r="I16" i="18"/>
  <c r="I15" i="18"/>
  <c r="G282" i="18"/>
  <c r="I1223" i="18"/>
  <c r="L701" i="18"/>
  <c r="G607" i="18"/>
  <c r="K928" i="18"/>
  <c r="J1024" i="18"/>
  <c r="G1028" i="18"/>
  <c r="G1045" i="18"/>
  <c r="I940" i="18"/>
  <c r="M940" i="18"/>
  <c r="J1289" i="18"/>
  <c r="I1321" i="18"/>
  <c r="L1169" i="18"/>
  <c r="G1023" i="18"/>
  <c r="M1077" i="18"/>
  <c r="L1241" i="18"/>
  <c r="G1241" i="18"/>
  <c r="I1338" i="18"/>
  <c r="G1347" i="18"/>
  <c r="M834" i="18"/>
  <c r="G1095" i="18"/>
  <c r="R352" i="6" s="1"/>
  <c r="H1223" i="18"/>
  <c r="G86" i="18"/>
  <c r="H968" i="18"/>
  <c r="L607" i="18"/>
  <c r="L1135" i="18"/>
  <c r="J1149" i="18"/>
  <c r="K1223" i="18"/>
  <c r="H1289" i="18"/>
  <c r="H928" i="18"/>
  <c r="L928" i="18"/>
  <c r="J1077" i="18"/>
  <c r="R351" i="6"/>
  <c r="M1135" i="18"/>
  <c r="G1136" i="18"/>
  <c r="R355" i="6" s="1"/>
  <c r="G1185" i="18"/>
  <c r="H1253" i="18"/>
  <c r="G1254" i="18"/>
  <c r="R365" i="6" s="1"/>
  <c r="H263" i="18"/>
  <c r="H1044" i="18"/>
  <c r="L1044" i="18"/>
  <c r="G1208" i="18"/>
  <c r="J1223" i="18"/>
  <c r="H727" i="18"/>
  <c r="J1135" i="18"/>
  <c r="H1209" i="18"/>
  <c r="L689" i="18"/>
  <c r="W297" i="6"/>
  <c r="I1024" i="18"/>
  <c r="M1024" i="18"/>
  <c r="J1044" i="18"/>
  <c r="G1205" i="18"/>
  <c r="M1209" i="18"/>
  <c r="J1253" i="18"/>
  <c r="G1252" i="18"/>
  <c r="L1321" i="18"/>
  <c r="J16" i="18"/>
  <c r="J20" i="18"/>
  <c r="H20" i="18"/>
  <c r="L727" i="18"/>
  <c r="W301" i="6"/>
  <c r="W300" i="6" s="1"/>
  <c r="M1338" i="18"/>
  <c r="M367" i="18"/>
  <c r="J395" i="18"/>
  <c r="L367" i="18"/>
  <c r="L1289" i="18"/>
  <c r="W369" i="6"/>
  <c r="G1290" i="18"/>
  <c r="R369" i="6" s="1"/>
  <c r="I1279" i="18"/>
  <c r="L1279" i="18"/>
  <c r="I1253" i="18"/>
  <c r="K1253" i="18"/>
  <c r="I1209" i="18"/>
  <c r="H1169" i="18"/>
  <c r="I1149" i="18"/>
  <c r="M1149" i="18"/>
  <c r="I1135" i="18"/>
  <c r="H899" i="18"/>
  <c r="H892" i="18" s="1"/>
  <c r="I1077" i="18"/>
  <c r="K1063" i="18"/>
  <c r="R348" i="6"/>
  <c r="I968" i="18"/>
  <c r="G927" i="18"/>
  <c r="M928" i="18"/>
  <c r="I928" i="18"/>
  <c r="G1291" i="18"/>
  <c r="K1289" i="18"/>
  <c r="K1169" i="18"/>
  <c r="G1134" i="18"/>
  <c r="K1044" i="18"/>
  <c r="K1024" i="18"/>
  <c r="G1024" i="18"/>
  <c r="L792" i="18"/>
  <c r="I727" i="18"/>
  <c r="M727" i="18"/>
  <c r="J727" i="18"/>
  <c r="G729" i="18"/>
  <c r="I533" i="18"/>
  <c r="K717" i="18"/>
  <c r="G717" i="18" s="1"/>
  <c r="J533" i="18"/>
  <c r="L459" i="18"/>
  <c r="G459" i="18"/>
  <c r="G211" i="18"/>
  <c r="G210" i="18" s="1"/>
  <c r="H383" i="18"/>
  <c r="J383" i="18"/>
  <c r="K395" i="18"/>
  <c r="G262" i="18"/>
  <c r="I383" i="18"/>
  <c r="M383" i="18"/>
  <c r="H395" i="18"/>
  <c r="L255" i="18"/>
  <c r="M443" i="18"/>
  <c r="L179" i="18"/>
  <c r="G407" i="18"/>
  <c r="I395" i="18"/>
  <c r="L395" i="18"/>
  <c r="M395" i="18"/>
  <c r="L263" i="18"/>
  <c r="G144" i="18"/>
  <c r="J1063" i="18"/>
  <c r="H1135" i="18"/>
  <c r="H1149" i="18"/>
  <c r="M1321" i="18"/>
  <c r="G232" i="18"/>
  <c r="K294" i="18"/>
  <c r="G294" i="18" s="1"/>
  <c r="L383" i="18"/>
  <c r="K852" i="18"/>
  <c r="G852" i="18" s="1"/>
  <c r="L940" i="18"/>
  <c r="G1193" i="18"/>
  <c r="J1241" i="18"/>
  <c r="P118" i="18"/>
  <c r="L210" i="18"/>
  <c r="K269" i="18"/>
  <c r="H1024" i="18"/>
  <c r="L1024" i="18"/>
  <c r="G1063" i="18"/>
  <c r="G1079" i="18"/>
  <c r="I1169" i="18"/>
  <c r="M1169" i="18"/>
  <c r="M1223" i="18"/>
  <c r="G1224" i="18"/>
  <c r="K727" i="18"/>
  <c r="L834" i="18"/>
  <c r="H1077" i="18"/>
  <c r="L1149" i="18"/>
  <c r="J1169" i="18"/>
  <c r="G954" i="18"/>
  <c r="G952" i="18" s="1"/>
  <c r="G171" i="18"/>
  <c r="K40" i="18"/>
  <c r="L86" i="18"/>
  <c r="K171" i="18"/>
  <c r="K273" i="18"/>
  <c r="G383" i="18"/>
  <c r="L443" i="18"/>
  <c r="J627" i="18"/>
  <c r="G639" i="18"/>
  <c r="K847" i="18"/>
  <c r="G847" i="18" s="1"/>
  <c r="M932" i="18"/>
  <c r="I1063" i="18"/>
  <c r="M1063" i="18"/>
  <c r="K1079" i="18"/>
  <c r="K1077" i="18" s="1"/>
  <c r="G1094" i="18"/>
  <c r="K1115" i="18"/>
  <c r="G1115" i="18" s="1"/>
  <c r="K1219" i="18"/>
  <c r="G1219" i="18" s="1"/>
  <c r="G1222" i="18"/>
  <c r="M1253" i="18"/>
  <c r="J1279" i="18"/>
  <c r="M1279" i="18"/>
  <c r="I1289" i="18"/>
  <c r="M1289" i="18"/>
  <c r="G1288" i="18"/>
  <c r="G1326" i="18"/>
  <c r="G1320" i="18" s="1"/>
  <c r="K35" i="18"/>
  <c r="G40" i="18"/>
  <c r="L232" i="18"/>
  <c r="J263" i="18"/>
  <c r="G397" i="18"/>
  <c r="G403" i="18"/>
  <c r="K964" i="18"/>
  <c r="G964" i="18" s="1"/>
  <c r="H1063" i="18"/>
  <c r="L1063" i="18"/>
  <c r="K1135" i="18"/>
  <c r="K37" i="18"/>
  <c r="M103" i="18"/>
  <c r="G379" i="18"/>
  <c r="H533" i="18"/>
  <c r="J928" i="18"/>
  <c r="G1043" i="18"/>
  <c r="K1089" i="18"/>
  <c r="G1089" i="18" s="1"/>
  <c r="G1151" i="18"/>
  <c r="G1168" i="18"/>
  <c r="K1359" i="18"/>
  <c r="G700" i="18"/>
  <c r="M792" i="18"/>
  <c r="J1209" i="18"/>
  <c r="G1211" i="18"/>
  <c r="G1209" i="18" s="1"/>
  <c r="I1241" i="18"/>
  <c r="M1241" i="18"/>
  <c r="K1243" i="18"/>
  <c r="K1241" i="18" s="1"/>
  <c r="K20" i="18"/>
  <c r="L50" i="18"/>
  <c r="G701" i="18"/>
  <c r="M903" i="18"/>
  <c r="M896" i="18" s="1"/>
  <c r="M1044" i="18"/>
  <c r="G1285" i="18"/>
  <c r="G1281" i="18" s="1"/>
  <c r="G1279" i="18" s="1"/>
  <c r="K1283" i="18"/>
  <c r="G1283" i="18" s="1"/>
  <c r="K1281" i="18"/>
  <c r="K1279" i="18" s="1"/>
  <c r="J1321" i="18"/>
  <c r="J903" i="18"/>
  <c r="J896" i="18" s="1"/>
  <c r="G1329" i="18"/>
  <c r="G1323" i="18" s="1"/>
  <c r="G1321" i="18" s="1"/>
  <c r="K1323" i="18"/>
  <c r="K1321" i="18" s="1"/>
  <c r="G157" i="18"/>
  <c r="K156" i="18"/>
  <c r="P155" i="18" s="1"/>
  <c r="K385" i="18"/>
  <c r="K383" i="18" s="1"/>
  <c r="K701" i="18"/>
  <c r="G840" i="18"/>
  <c r="K838" i="18"/>
  <c r="G838" i="18" s="1"/>
  <c r="K836" i="18"/>
  <c r="I903" i="18"/>
  <c r="I896" i="18" s="1"/>
  <c r="I1044" i="18"/>
  <c r="H16" i="18"/>
  <c r="H36" i="18"/>
  <c r="M36" i="18"/>
  <c r="M50" i="18"/>
  <c r="L103" i="18"/>
  <c r="G270" i="18"/>
  <c r="K263" i="18"/>
  <c r="G585" i="18"/>
  <c r="K580" i="18"/>
  <c r="K591" i="18"/>
  <c r="G591" i="18" s="1"/>
  <c r="M533" i="18"/>
  <c r="K689" i="18"/>
  <c r="G689" i="18" s="1"/>
  <c r="G20" i="18"/>
  <c r="R135" i="6" s="1"/>
  <c r="V135" i="6" s="1"/>
  <c r="G1351" i="18"/>
  <c r="K1351" i="18"/>
  <c r="G52" i="18"/>
  <c r="G255" i="18"/>
  <c r="I20" i="18"/>
  <c r="G35" i="18"/>
  <c r="K153" i="18"/>
  <c r="K152" i="18" s="1"/>
  <c r="G194" i="18"/>
  <c r="K192" i="18"/>
  <c r="G267" i="18"/>
  <c r="G315" i="18"/>
  <c r="G367" i="18"/>
  <c r="K391" i="18"/>
  <c r="G391" i="18" s="1"/>
  <c r="G444" i="18"/>
  <c r="G455" i="18"/>
  <c r="G650" i="18"/>
  <c r="K649" i="18"/>
  <c r="G649" i="18" s="1"/>
  <c r="K638" i="18"/>
  <c r="H940" i="18"/>
  <c r="H903" i="18"/>
  <c r="H896" i="18" s="1"/>
  <c r="K968" i="18"/>
  <c r="K58" i="18"/>
  <c r="K50" i="18" s="1"/>
  <c r="K581" i="18"/>
  <c r="G589" i="18"/>
  <c r="J622" i="18"/>
  <c r="G690" i="18"/>
  <c r="G932" i="18"/>
  <c r="I899" i="18"/>
  <c r="I892" i="18" s="1"/>
  <c r="G940" i="18"/>
  <c r="K940" i="18"/>
  <c r="J968" i="18"/>
  <c r="L1081" i="18"/>
  <c r="L1078" i="18" s="1"/>
  <c r="G1145" i="18"/>
  <c r="G1137" i="18" s="1"/>
  <c r="K1143" i="18"/>
  <c r="G1143" i="18" s="1"/>
  <c r="K1151" i="18"/>
  <c r="K1149" i="18" s="1"/>
  <c r="G1201" i="18"/>
  <c r="G1171" i="18"/>
  <c r="K1211" i="18"/>
  <c r="K1209" i="18" s="1"/>
  <c r="G1356" i="18"/>
  <c r="G1355" i="18" s="1"/>
  <c r="K1355" i="18"/>
  <c r="G800" i="18"/>
  <c r="K794" i="18"/>
  <c r="K798" i="18"/>
  <c r="G798" i="18" s="1"/>
  <c r="L960" i="18"/>
  <c r="G990" i="18"/>
  <c r="G970" i="18" s="1"/>
  <c r="G968" i="18" s="1"/>
  <c r="K988" i="18"/>
  <c r="G988" i="18" s="1"/>
  <c r="H1338" i="18"/>
  <c r="G1338" i="18" s="1"/>
  <c r="H1366" i="18"/>
  <c r="L1338" i="18"/>
  <c r="G1343" i="18"/>
  <c r="L903" i="18"/>
  <c r="L896" i="18" s="1"/>
  <c r="J899" i="18"/>
  <c r="J892" i="18" s="1"/>
  <c r="G1170" i="18"/>
  <c r="G1177" i="18"/>
  <c r="L1257" i="18"/>
  <c r="L1254" i="18"/>
  <c r="L902" i="18" s="1"/>
  <c r="L895" i="18" s="1"/>
  <c r="G1259" i="18"/>
  <c r="G1255" i="18" s="1"/>
  <c r="K1339" i="18"/>
  <c r="X125" i="6" l="1"/>
  <c r="X242" i="6" s="1"/>
  <c r="W276" i="6"/>
  <c r="G529" i="18"/>
  <c r="G524" i="18" s="1"/>
  <c r="R353" i="6"/>
  <c r="G1113" i="18"/>
  <c r="V333" i="6"/>
  <c r="V325" i="6" s="1"/>
  <c r="R340" i="6"/>
  <c r="G902" i="18"/>
  <c r="G895" i="18" s="1"/>
  <c r="H531" i="18"/>
  <c r="W268" i="6"/>
  <c r="X332" i="6"/>
  <c r="H894" i="18"/>
  <c r="I531" i="18"/>
  <c r="J894" i="18"/>
  <c r="M894" i="18"/>
  <c r="I894" i="18"/>
  <c r="M892" i="18"/>
  <c r="K1338" i="18"/>
  <c r="G1339" i="18"/>
  <c r="V273" i="6"/>
  <c r="K524" i="18"/>
  <c r="J621" i="18"/>
  <c r="J531" i="18"/>
  <c r="X273" i="6"/>
  <c r="M524" i="18"/>
  <c r="M525" i="18" s="1"/>
  <c r="W273" i="6"/>
  <c r="L524" i="18"/>
  <c r="L525" i="18" s="1"/>
  <c r="K526" i="18"/>
  <c r="X330" i="6"/>
  <c r="V330" i="6"/>
  <c r="K144" i="18"/>
  <c r="V158" i="6"/>
  <c r="R158" i="6" s="1"/>
  <c r="G264" i="18"/>
  <c r="R168" i="6" s="1"/>
  <c r="W330" i="6"/>
  <c r="V287" i="6"/>
  <c r="G395" i="18"/>
  <c r="R142" i="6"/>
  <c r="K36" i="18"/>
  <c r="V139" i="6"/>
  <c r="K14" i="18"/>
  <c r="P191" i="18"/>
  <c r="L178" i="18" s="1"/>
  <c r="K179" i="18"/>
  <c r="G192" i="18"/>
  <c r="G179" i="18" s="1"/>
  <c r="P170" i="18"/>
  <c r="K118" i="18"/>
  <c r="R12" i="18" s="1"/>
  <c r="L1253" i="18"/>
  <c r="W365" i="6"/>
  <c r="G1044" i="18"/>
  <c r="R349" i="6"/>
  <c r="L1077" i="18"/>
  <c r="W351" i="6"/>
  <c r="G1223" i="18"/>
  <c r="R361" i="6"/>
  <c r="M12" i="18"/>
  <c r="M11" i="18" s="1"/>
  <c r="X120" i="6" s="1"/>
  <c r="G1253" i="18"/>
  <c r="G50" i="18"/>
  <c r="L717" i="18"/>
  <c r="W160" i="6"/>
  <c r="W125" i="6" s="1"/>
  <c r="G727" i="18"/>
  <c r="L102" i="18"/>
  <c r="K15" i="18"/>
  <c r="K163" i="18"/>
  <c r="G103" i="18"/>
  <c r="R152" i="6"/>
  <c r="G443" i="18"/>
  <c r="R179" i="6"/>
  <c r="G1135" i="18"/>
  <c r="G163" i="18"/>
  <c r="L12" i="18"/>
  <c r="I12" i="18"/>
  <c r="I901" i="18"/>
  <c r="G1077" i="18"/>
  <c r="H12" i="18"/>
  <c r="G1149" i="18"/>
  <c r="J12" i="18"/>
  <c r="G1289" i="18"/>
  <c r="J901" i="18"/>
  <c r="J1365" i="18"/>
  <c r="I1365" i="18"/>
  <c r="G899" i="18"/>
  <c r="G892" i="18" s="1"/>
  <c r="M901" i="18"/>
  <c r="M900" i="18" s="1"/>
  <c r="K846" i="18"/>
  <c r="G846" i="18" s="1"/>
  <c r="M531" i="18"/>
  <c r="M530" i="18" s="1"/>
  <c r="H1365" i="18"/>
  <c r="L531" i="18"/>
  <c r="L530" i="18" s="1"/>
  <c r="G1169" i="18"/>
  <c r="G903" i="18"/>
  <c r="G928" i="18"/>
  <c r="H901" i="18"/>
  <c r="G181" i="18"/>
  <c r="G580" i="18"/>
  <c r="G532" i="18" s="1"/>
  <c r="K579" i="18"/>
  <c r="G579" i="18" s="1"/>
  <c r="H1364" i="18"/>
  <c r="I1364" i="18"/>
  <c r="K903" i="18"/>
  <c r="G638" i="18"/>
  <c r="K637" i="18"/>
  <c r="G637" i="18" s="1"/>
  <c r="G269" i="18"/>
  <c r="K792" i="18"/>
  <c r="G792" i="18" s="1"/>
  <c r="G794" i="18"/>
  <c r="G581" i="18"/>
  <c r="K533" i="18"/>
  <c r="K528" i="18" s="1"/>
  <c r="G836" i="18"/>
  <c r="K834" i="18"/>
  <c r="G834" i="18" s="1"/>
  <c r="G156" i="18"/>
  <c r="G153" i="18"/>
  <c r="G152" i="18" s="1"/>
  <c r="G273" i="18"/>
  <c r="V276" i="6" l="1"/>
  <c r="V268" i="6" s="1"/>
  <c r="R273" i="6"/>
  <c r="V332" i="6"/>
  <c r="W333" i="6"/>
  <c r="W325" i="6" s="1"/>
  <c r="X331" i="6"/>
  <c r="X324" i="6" s="1"/>
  <c r="G896" i="18"/>
  <c r="G894" i="18" s="1"/>
  <c r="G893" i="18" s="1"/>
  <c r="M893" i="18"/>
  <c r="L901" i="18"/>
  <c r="L894" i="18"/>
  <c r="K901" i="18"/>
  <c r="K896" i="18"/>
  <c r="K894" i="18" s="1"/>
  <c r="J526" i="18"/>
  <c r="X274" i="6"/>
  <c r="G527" i="18"/>
  <c r="G526" i="18" s="1"/>
  <c r="G525" i="18" s="1"/>
  <c r="G14" i="18"/>
  <c r="G263" i="18"/>
  <c r="V125" i="6"/>
  <c r="R330" i="6"/>
  <c r="R287" i="6"/>
  <c r="R139" i="6"/>
  <c r="R125" i="6" s="1"/>
  <c r="W242" i="6"/>
  <c r="G170" i="18"/>
  <c r="G162" i="18" s="1"/>
  <c r="G102" i="18"/>
  <c r="G118" i="18"/>
  <c r="W119" i="6"/>
  <c r="W274" i="6"/>
  <c r="W275" i="6"/>
  <c r="K12" i="18"/>
  <c r="G15" i="18"/>
  <c r="V302" i="6"/>
  <c r="R302" i="6" s="1"/>
  <c r="R277" i="6" s="1"/>
  <c r="I1363" i="18"/>
  <c r="G901" i="18"/>
  <c r="G900" i="18" s="1"/>
  <c r="H1363" i="18"/>
  <c r="L1363" i="18"/>
  <c r="K531" i="18"/>
  <c r="G533" i="18"/>
  <c r="J1364" i="18"/>
  <c r="J1363" i="18" s="1"/>
  <c r="M1363" i="18"/>
  <c r="W332" i="6" l="1"/>
  <c r="W324" i="6" s="1"/>
  <c r="G12" i="18"/>
  <c r="K10" i="18"/>
  <c r="R242" i="6"/>
  <c r="G1363" i="18"/>
  <c r="G528" i="18"/>
  <c r="V277" i="6"/>
  <c r="V300" i="6"/>
  <c r="R300" i="6" s="1"/>
  <c r="G531" i="18"/>
  <c r="G530" i="18" s="1"/>
  <c r="K1363" i="18"/>
  <c r="V119" i="6" l="1"/>
  <c r="G10" i="18"/>
  <c r="V269" i="6"/>
  <c r="V275" i="6"/>
  <c r="V242" i="6"/>
  <c r="G11" i="18" l="1"/>
  <c r="R120" i="6" s="1"/>
  <c r="R119" i="6"/>
  <c r="R269" i="6"/>
  <c r="I76" i="14" l="1"/>
  <c r="I77" i="14" s="1"/>
  <c r="I78" i="14" l="1"/>
  <c r="S231" i="6" l="1"/>
  <c r="T231" i="6"/>
  <c r="U231" i="6"/>
  <c r="V231" i="6"/>
  <c r="S223" i="6"/>
  <c r="T223" i="6"/>
  <c r="U223" i="6"/>
  <c r="R446" i="6" l="1"/>
  <c r="U34" i="6"/>
  <c r="U33" i="6" s="1"/>
  <c r="S43" i="6"/>
  <c r="S42" i="6" s="1"/>
  <c r="R43" i="6"/>
  <c r="R42" i="6" s="1"/>
  <c r="B29" i="15" l="1"/>
  <c r="B31" i="15"/>
  <c r="B32" i="15"/>
  <c r="B34" i="15"/>
  <c r="B35" i="15"/>
  <c r="B36" i="15"/>
  <c r="B37" i="15"/>
  <c r="H33" i="15"/>
  <c r="H30" i="15" s="1"/>
  <c r="I33" i="15"/>
  <c r="I28" i="15"/>
  <c r="B30" i="15" l="1"/>
  <c r="I48" i="15"/>
  <c r="I43" i="15" s="1"/>
  <c r="I41" i="15" s="1"/>
  <c r="I7" i="15"/>
  <c r="I5" i="15" s="1"/>
  <c r="I10" i="15"/>
  <c r="H28" i="15"/>
  <c r="B33" i="15"/>
  <c r="H48" i="15" l="1"/>
  <c r="H43" i="15" s="1"/>
  <c r="H41" i="15" s="1"/>
  <c r="H7" i="15"/>
  <c r="H5" i="15" s="1"/>
  <c r="H10" i="15"/>
  <c r="B28" i="15"/>
  <c r="V636" i="6"/>
  <c r="E78" i="14" l="1"/>
  <c r="E79" i="14" l="1"/>
  <c r="E80" i="14" s="1"/>
  <c r="E81" i="14" s="1"/>
  <c r="E82" i="14" s="1"/>
  <c r="M49" i="14"/>
  <c r="V223" i="6" l="1"/>
  <c r="R452" i="5"/>
  <c r="R223" i="6" l="1"/>
  <c r="H635" i="5"/>
  <c r="I635" i="5"/>
  <c r="J635" i="5"/>
  <c r="K635" i="5"/>
  <c r="L635" i="5"/>
  <c r="T452" i="5" l="1"/>
  <c r="L607" i="5"/>
  <c r="L608" i="5"/>
  <c r="L606" i="5" l="1"/>
  <c r="H801" i="5"/>
  <c r="I801" i="5"/>
  <c r="J801" i="5"/>
  <c r="K801" i="5"/>
  <c r="L801" i="5"/>
  <c r="M798" i="5"/>
  <c r="L798" i="5"/>
  <c r="H798" i="5"/>
  <c r="I798" i="5"/>
  <c r="J798" i="5"/>
  <c r="K798" i="5"/>
  <c r="H799" i="5"/>
  <c r="I799" i="5"/>
  <c r="J799" i="5"/>
  <c r="K799" i="5"/>
  <c r="L799" i="5"/>
  <c r="M799" i="5"/>
  <c r="G802" i="5"/>
  <c r="G803" i="5"/>
  <c r="J797" i="5" l="1"/>
  <c r="L797" i="5"/>
  <c r="H797" i="5"/>
  <c r="G801" i="5"/>
  <c r="M797" i="5"/>
  <c r="I797" i="5"/>
  <c r="K797" i="5"/>
  <c r="G799" i="5"/>
  <c r="M46" i="14"/>
  <c r="N46" i="14"/>
  <c r="K51" i="16" s="1"/>
  <c r="O46" i="14"/>
  <c r="P51" i="16" s="1"/>
  <c r="P46" i="14"/>
  <c r="Q51" i="16" s="1"/>
  <c r="Q46" i="14"/>
  <c r="R46" i="14"/>
  <c r="S46" i="14"/>
  <c r="K50" i="16"/>
  <c r="M34" i="14"/>
  <c r="G434" i="5" l="1"/>
  <c r="H436" i="5"/>
  <c r="G436" i="5"/>
  <c r="W223" i="6" l="1"/>
  <c r="G274" i="5" l="1"/>
  <c r="R231" i="6" l="1"/>
  <c r="R216" i="6"/>
  <c r="V652" i="6"/>
  <c r="R561" i="6" l="1"/>
  <c r="R469" i="6"/>
  <c r="R462" i="6"/>
  <c r="H808" i="5" l="1"/>
  <c r="I808" i="5"/>
  <c r="J808" i="5"/>
  <c r="K808" i="5"/>
  <c r="L808" i="5"/>
  <c r="M808" i="5"/>
  <c r="H809" i="5"/>
  <c r="I809" i="5"/>
  <c r="J809" i="5"/>
  <c r="K809" i="5"/>
  <c r="L809" i="5"/>
  <c r="M809" i="5"/>
  <c r="H1005" i="5"/>
  <c r="I1005" i="5"/>
  <c r="J1005" i="5"/>
  <c r="K1005" i="5"/>
  <c r="L1005" i="5"/>
  <c r="M1005" i="5"/>
  <c r="H1004" i="5"/>
  <c r="I1004" i="5"/>
  <c r="J1004" i="5"/>
  <c r="L1004" i="5"/>
  <c r="M1004" i="5"/>
  <c r="H1002" i="5"/>
  <c r="I1002" i="5"/>
  <c r="J1002" i="5"/>
  <c r="K1002" i="5"/>
  <c r="L1002" i="5"/>
  <c r="M1002" i="5"/>
  <c r="G1018" i="5"/>
  <c r="K1019" i="5"/>
  <c r="G1020" i="5"/>
  <c r="K1004" i="5"/>
  <c r="G1032" i="5"/>
  <c r="G1006" i="5"/>
  <c r="K1007" i="5"/>
  <c r="G1008" i="5"/>
  <c r="L995" i="5"/>
  <c r="L929" i="5"/>
  <c r="G880" i="5"/>
  <c r="G882" i="5"/>
  <c r="K737" i="5"/>
  <c r="H645" i="5"/>
  <c r="I645" i="5"/>
  <c r="J645" i="5"/>
  <c r="K645" i="5"/>
  <c r="L645" i="5"/>
  <c r="M645" i="5"/>
  <c r="K736" i="5"/>
  <c r="H643" i="5"/>
  <c r="I643" i="5"/>
  <c r="J643" i="5"/>
  <c r="K643" i="5"/>
  <c r="L643" i="5"/>
  <c r="M643" i="5"/>
  <c r="G643" i="5"/>
  <c r="G648" i="5"/>
  <c r="G653" i="5" l="1"/>
  <c r="W142" i="6" l="1"/>
  <c r="V137" i="6"/>
  <c r="X241" i="6" l="1"/>
  <c r="X215" i="6"/>
  <c r="W241" i="6"/>
  <c r="W215" i="6"/>
  <c r="W214" i="6" s="1"/>
  <c r="V241" i="6"/>
  <c r="V215" i="6"/>
  <c r="U241" i="6"/>
  <c r="U215" i="6"/>
  <c r="T241" i="6"/>
  <c r="T215" i="6"/>
  <c r="S241" i="6"/>
  <c r="S215" i="6"/>
  <c r="R241" i="6"/>
  <c r="R215" i="6"/>
  <c r="S240" i="6"/>
  <c r="T240" i="6"/>
  <c r="U240" i="6"/>
  <c r="V240" i="6"/>
  <c r="W240" i="6"/>
  <c r="X240" i="6"/>
  <c r="V243" i="6"/>
  <c r="W243" i="6"/>
  <c r="X243" i="6"/>
  <c r="G1169" i="5" l="1"/>
  <c r="G1173" i="5"/>
  <c r="G1181" i="5"/>
  <c r="Q43" i="16" l="1"/>
  <c r="P43" i="16"/>
  <c r="K43" i="16"/>
  <c r="L724" i="5" l="1"/>
  <c r="M724" i="5"/>
  <c r="H724" i="5"/>
  <c r="I724" i="5"/>
  <c r="J724" i="5"/>
  <c r="K724" i="5"/>
  <c r="L704" i="5"/>
  <c r="K589" i="5"/>
  <c r="G597" i="5"/>
  <c r="S452" i="5" l="1"/>
  <c r="S80" i="6" l="1"/>
  <c r="T80" i="6"/>
  <c r="U80" i="6"/>
  <c r="L119" i="6"/>
  <c r="H119" i="6" s="1"/>
  <c r="M119" i="6"/>
  <c r="R123" i="6"/>
  <c r="S123" i="6"/>
  <c r="T123" i="6"/>
  <c r="U123" i="6"/>
  <c r="V123" i="6"/>
  <c r="W123" i="6"/>
  <c r="I124" i="6"/>
  <c r="H124" i="6" s="1"/>
  <c r="J124" i="6"/>
  <c r="K124" i="6"/>
  <c r="K240" i="6" s="1"/>
  <c r="L124" i="6"/>
  <c r="M124" i="6"/>
  <c r="N124" i="6"/>
  <c r="N240" i="6" s="1"/>
  <c r="N237" i="6" s="1"/>
  <c r="O124" i="6"/>
  <c r="O240" i="6" s="1"/>
  <c r="O237" i="6" s="1"/>
  <c r="P124" i="6"/>
  <c r="P240" i="6" s="1"/>
  <c r="Q124" i="6"/>
  <c r="Q240" i="6" s="1"/>
  <c r="S239" i="6"/>
  <c r="T239" i="6"/>
  <c r="U239" i="6"/>
  <c r="I126" i="6"/>
  <c r="H126" i="6" s="1"/>
  <c r="J126" i="6"/>
  <c r="K126" i="6"/>
  <c r="L126" i="6"/>
  <c r="M126" i="6"/>
  <c r="P126" i="6"/>
  <c r="Q126" i="6"/>
  <c r="R127" i="6"/>
  <c r="U127" i="6"/>
  <c r="I135" i="6"/>
  <c r="H135" i="6" s="1"/>
  <c r="J135" i="6"/>
  <c r="K135" i="6"/>
  <c r="L135" i="6"/>
  <c r="I139" i="6"/>
  <c r="H139" i="6" s="1"/>
  <c r="J139" i="6"/>
  <c r="K139" i="6"/>
  <c r="L139" i="6"/>
  <c r="I140" i="6"/>
  <c r="H140" i="6" s="1"/>
  <c r="J140" i="6"/>
  <c r="K140" i="6"/>
  <c r="L140" i="6"/>
  <c r="I142" i="6"/>
  <c r="H142" i="6" s="1"/>
  <c r="J142" i="6"/>
  <c r="K142" i="6"/>
  <c r="L142" i="6"/>
  <c r="M142" i="6"/>
  <c r="Q142" i="6"/>
  <c r="I146" i="6"/>
  <c r="H146" i="6" s="1"/>
  <c r="J146" i="6"/>
  <c r="K146" i="6"/>
  <c r="L146" i="6"/>
  <c r="U146" i="6"/>
  <c r="H151" i="6"/>
  <c r="I152" i="6"/>
  <c r="H152" i="6" s="1"/>
  <c r="J152" i="6"/>
  <c r="K152" i="6"/>
  <c r="L152" i="6"/>
  <c r="M152" i="6"/>
  <c r="Q152" i="6"/>
  <c r="I154" i="6"/>
  <c r="H154" i="6" s="1"/>
  <c r="J154" i="6"/>
  <c r="K154" i="6"/>
  <c r="L154" i="6"/>
  <c r="M154" i="6"/>
  <c r="P154" i="6"/>
  <c r="H158" i="6"/>
  <c r="I159" i="6"/>
  <c r="H159" i="6" s="1"/>
  <c r="J159" i="6"/>
  <c r="K159" i="6"/>
  <c r="L159" i="6"/>
  <c r="I160" i="6"/>
  <c r="H160" i="6" s="1"/>
  <c r="J160" i="6"/>
  <c r="K160" i="6"/>
  <c r="L160" i="6"/>
  <c r="M160" i="6"/>
  <c r="N160" i="6"/>
  <c r="O160" i="6"/>
  <c r="P160" i="6"/>
  <c r="Q160" i="6"/>
  <c r="H161" i="6"/>
  <c r="I162" i="6"/>
  <c r="H162" i="6" s="1"/>
  <c r="J162" i="6"/>
  <c r="K162" i="6"/>
  <c r="L162" i="6"/>
  <c r="I163" i="6"/>
  <c r="H163" i="6" s="1"/>
  <c r="J163" i="6"/>
  <c r="K163" i="6"/>
  <c r="L163" i="6"/>
  <c r="I164" i="6"/>
  <c r="H164" i="6" s="1"/>
  <c r="J164" i="6"/>
  <c r="K164" i="6"/>
  <c r="L164" i="6"/>
  <c r="M164" i="6"/>
  <c r="N164" i="6"/>
  <c r="O164" i="6"/>
  <c r="P164" i="6"/>
  <c r="Q164" i="6"/>
  <c r="I165" i="6"/>
  <c r="H165" i="6" s="1"/>
  <c r="J165" i="6"/>
  <c r="K165" i="6"/>
  <c r="L165" i="6"/>
  <c r="I166" i="6"/>
  <c r="H166" i="6" s="1"/>
  <c r="J166" i="6"/>
  <c r="K166" i="6"/>
  <c r="L166" i="6"/>
  <c r="I167" i="6"/>
  <c r="H167" i="6" s="1"/>
  <c r="J167" i="6"/>
  <c r="K167" i="6"/>
  <c r="L167" i="6"/>
  <c r="I169" i="6"/>
  <c r="H169" i="6" s="1"/>
  <c r="J169" i="6"/>
  <c r="K169" i="6"/>
  <c r="L169" i="6"/>
  <c r="M169" i="6"/>
  <c r="Q169" i="6"/>
  <c r="I170" i="6"/>
  <c r="H170" i="6" s="1"/>
  <c r="J170" i="6"/>
  <c r="K170" i="6"/>
  <c r="L170" i="6"/>
  <c r="I171" i="6"/>
  <c r="H171" i="6" s="1"/>
  <c r="J171" i="6"/>
  <c r="K171" i="6"/>
  <c r="L171" i="6"/>
  <c r="M171" i="6"/>
  <c r="P171" i="6"/>
  <c r="Q171" i="6"/>
  <c r="I172" i="6"/>
  <c r="H172" i="6" s="1"/>
  <c r="J172" i="6"/>
  <c r="K172" i="6"/>
  <c r="L172" i="6"/>
  <c r="M172" i="6"/>
  <c r="P172" i="6"/>
  <c r="Q172" i="6"/>
  <c r="H173" i="6"/>
  <c r="I174" i="6"/>
  <c r="H174" i="6" s="1"/>
  <c r="J174" i="6"/>
  <c r="K174" i="6"/>
  <c r="L174" i="6"/>
  <c r="I177" i="6"/>
  <c r="H177" i="6" s="1"/>
  <c r="J177" i="6"/>
  <c r="K177" i="6"/>
  <c r="L177" i="6"/>
  <c r="H178" i="6"/>
  <c r="I179" i="6"/>
  <c r="H179" i="6" s="1"/>
  <c r="J179" i="6"/>
  <c r="K179" i="6"/>
  <c r="L179" i="6"/>
  <c r="M179" i="6"/>
  <c r="P179" i="6"/>
  <c r="Q179" i="6"/>
  <c r="I180" i="6"/>
  <c r="H180" i="6" s="1"/>
  <c r="J180" i="6"/>
  <c r="K180" i="6"/>
  <c r="L180" i="6"/>
  <c r="M180" i="6"/>
  <c r="Q180" i="6"/>
  <c r="I181" i="6"/>
  <c r="H181" i="6" s="1"/>
  <c r="J181" i="6"/>
  <c r="K181" i="6"/>
  <c r="L181" i="6"/>
  <c r="M181" i="6"/>
  <c r="N181" i="6"/>
  <c r="O181" i="6"/>
  <c r="P181" i="6"/>
  <c r="Q181" i="6"/>
  <c r="V239" i="6" l="1"/>
  <c r="V238" i="6" s="1"/>
  <c r="V121" i="6"/>
  <c r="R239" i="6"/>
  <c r="R121" i="6"/>
  <c r="X121" i="6"/>
  <c r="W239" i="6"/>
  <c r="W238" i="6" s="1"/>
  <c r="W121" i="6"/>
  <c r="K121" i="6"/>
  <c r="K237" i="6" s="1"/>
  <c r="H121" i="6"/>
  <c r="H120" i="6" s="1"/>
  <c r="L120" i="6" s="1"/>
  <c r="H240" i="6"/>
  <c r="L121" i="6"/>
  <c r="L237" i="6" s="1"/>
  <c r="L240" i="6"/>
  <c r="J121" i="6"/>
  <c r="J237" i="6" s="1"/>
  <c r="J240" i="6"/>
  <c r="X239" i="6"/>
  <c r="X238" i="6" s="1"/>
  <c r="M121" i="6"/>
  <c r="M120" i="6" s="1"/>
  <c r="M240" i="6"/>
  <c r="I121" i="6"/>
  <c r="I237" i="6" s="1"/>
  <c r="I240" i="6"/>
  <c r="Q17" i="14"/>
  <c r="AA243" i="6" l="1"/>
  <c r="H237" i="6"/>
  <c r="L77" i="14"/>
  <c r="L76" i="14"/>
  <c r="M44" i="14" s="1"/>
  <c r="K76" i="14" l="1"/>
  <c r="M43" i="14" s="1"/>
  <c r="M27" i="14" l="1"/>
  <c r="K77" i="14" l="1"/>
  <c r="N43" i="14" s="1"/>
  <c r="V42" i="14"/>
  <c r="K78" i="14" l="1"/>
  <c r="O43" i="14" s="1"/>
  <c r="I79" i="14"/>
  <c r="I80" i="14" l="1"/>
  <c r="K79" i="14"/>
  <c r="P43" i="14" s="1"/>
  <c r="K80" i="14" l="1"/>
  <c r="Q43" i="14" s="1"/>
  <c r="I81" i="14"/>
  <c r="L50" i="14"/>
  <c r="O50" i="14" s="1"/>
  <c r="I50" i="14"/>
  <c r="H50" i="14"/>
  <c r="G50" i="14"/>
  <c r="E50" i="14"/>
  <c r="P50" i="14" l="1"/>
  <c r="P55" i="16"/>
  <c r="K81" i="14"/>
  <c r="R43" i="14" s="1"/>
  <c r="I82" i="14"/>
  <c r="K82" i="14" s="1"/>
  <c r="S43" i="14" s="1"/>
  <c r="Q50" i="14" l="1"/>
  <c r="R50" i="14" s="1"/>
  <c r="S50" i="14" s="1"/>
  <c r="F50" i="14" s="1"/>
  <c r="Q55" i="16"/>
  <c r="K30" i="16"/>
  <c r="L195" i="5" l="1"/>
  <c r="B70" i="15" l="1"/>
  <c r="K633" i="5" l="1"/>
  <c r="G637" i="5"/>
  <c r="F17" i="16" l="1"/>
  <c r="F18" i="16"/>
  <c r="F19" i="16"/>
  <c r="F20" i="16"/>
  <c r="F22" i="16"/>
  <c r="J37" i="16"/>
  <c r="F37" i="16" s="1"/>
  <c r="F38" i="16"/>
  <c r="F39" i="16"/>
  <c r="J41" i="16"/>
  <c r="J40" i="16" s="1"/>
  <c r="J45" i="16"/>
  <c r="J46" i="16"/>
  <c r="J47" i="16"/>
  <c r="F49" i="16"/>
  <c r="F50" i="16"/>
  <c r="F51" i="16"/>
  <c r="F52" i="16"/>
  <c r="F53" i="16"/>
  <c r="H51" i="15" l="1"/>
  <c r="I51" i="15"/>
  <c r="G51" i="15"/>
  <c r="B13" i="15" l="1"/>
  <c r="B21" i="15"/>
  <c r="D42" i="15"/>
  <c r="E42" i="15"/>
  <c r="F42" i="15"/>
  <c r="D43" i="15"/>
  <c r="D44" i="15"/>
  <c r="J44" i="15"/>
  <c r="J41" i="15" s="1"/>
  <c r="K44" i="15"/>
  <c r="K41" i="15" s="1"/>
  <c r="L44" i="15"/>
  <c r="L41" i="15" s="1"/>
  <c r="M44" i="15"/>
  <c r="M41" i="15" s="1"/>
  <c r="F45" i="15"/>
  <c r="H46" i="15"/>
  <c r="H39" i="15" s="1"/>
  <c r="I46" i="15"/>
  <c r="J46" i="15"/>
  <c r="K46" i="15"/>
  <c r="L46" i="15"/>
  <c r="M46" i="15"/>
  <c r="E48" i="15"/>
  <c r="F48" i="15"/>
  <c r="G46" i="15"/>
  <c r="E45" i="15"/>
  <c r="D51" i="15"/>
  <c r="E51" i="15"/>
  <c r="F51" i="15"/>
  <c r="K51" i="15"/>
  <c r="L51" i="15"/>
  <c r="M51" i="15"/>
  <c r="N51" i="15"/>
  <c r="B16" i="15"/>
  <c r="B18" i="15"/>
  <c r="B19" i="15"/>
  <c r="D56" i="15"/>
  <c r="H56" i="15"/>
  <c r="I56" i="15"/>
  <c r="J56" i="15"/>
  <c r="K56" i="15"/>
  <c r="L56" i="15"/>
  <c r="M56" i="15"/>
  <c r="E58" i="15"/>
  <c r="F58" i="15"/>
  <c r="G56" i="15"/>
  <c r="E59" i="15"/>
  <c r="F59" i="15"/>
  <c r="F44" i="15" s="1"/>
  <c r="B24" i="15"/>
  <c r="L63" i="15"/>
  <c r="M63" i="15"/>
  <c r="B64" i="15"/>
  <c r="B65" i="15"/>
  <c r="B67" i="15"/>
  <c r="B68" i="15"/>
  <c r="B69" i="15"/>
  <c r="N69" i="15" s="1"/>
  <c r="B72" i="15"/>
  <c r="D79" i="15"/>
  <c r="E79" i="15"/>
  <c r="F79" i="15"/>
  <c r="G79" i="15"/>
  <c r="H79" i="15"/>
  <c r="I79" i="15"/>
  <c r="D83" i="15"/>
  <c r="E83" i="15"/>
  <c r="F83" i="15"/>
  <c r="G83" i="15"/>
  <c r="G115" i="15" s="1"/>
  <c r="H83" i="15"/>
  <c r="I83" i="15"/>
  <c r="C84" i="15"/>
  <c r="E84" i="15" s="1"/>
  <c r="E86" i="15"/>
  <c r="F86" i="15"/>
  <c r="F88" i="15" s="1"/>
  <c r="G86" i="15"/>
  <c r="G88" i="15" s="1"/>
  <c r="H86" i="15"/>
  <c r="H88" i="15" s="1"/>
  <c r="I86" i="15"/>
  <c r="I88" i="15" s="1"/>
  <c r="J89" i="15"/>
  <c r="E93" i="15"/>
  <c r="F93" i="15"/>
  <c r="G93" i="15"/>
  <c r="H93" i="15"/>
  <c r="I93" i="15"/>
  <c r="J98" i="15"/>
  <c r="J99" i="15"/>
  <c r="D100" i="15"/>
  <c r="E103" i="15"/>
  <c r="F103" i="15"/>
  <c r="F107" i="15" s="1"/>
  <c r="F116" i="15" s="1"/>
  <c r="G103" i="15"/>
  <c r="G107" i="15" s="1"/>
  <c r="H103" i="15"/>
  <c r="H107" i="15" s="1"/>
  <c r="I103" i="15"/>
  <c r="I107" i="15" s="1"/>
  <c r="J104" i="15"/>
  <c r="J105" i="15"/>
  <c r="F106" i="15" s="1"/>
  <c r="D107" i="15"/>
  <c r="D116" i="15" s="1"/>
  <c r="R107" i="15"/>
  <c r="E110" i="15" s="1"/>
  <c r="F118" i="15"/>
  <c r="D119" i="15"/>
  <c r="B58" i="15" l="1"/>
  <c r="B62" i="15"/>
  <c r="H115" i="15"/>
  <c r="I115" i="15" s="1"/>
  <c r="I116" i="15" s="1"/>
  <c r="B48" i="15"/>
  <c r="B42" i="15"/>
  <c r="E44" i="15"/>
  <c r="B44" i="15" s="1"/>
  <c r="B59" i="15"/>
  <c r="F111" i="15"/>
  <c r="F110" i="15"/>
  <c r="H106" i="15"/>
  <c r="G111" i="15"/>
  <c r="I106" i="15"/>
  <c r="E106" i="15"/>
  <c r="I111" i="15"/>
  <c r="E111" i="15"/>
  <c r="G106" i="15"/>
  <c r="H111" i="15"/>
  <c r="J93" i="15"/>
  <c r="H84" i="15"/>
  <c r="H85" i="15" s="1"/>
  <c r="H90" i="15" s="1"/>
  <c r="B22" i="15"/>
  <c r="I84" i="15"/>
  <c r="I85" i="15" s="1"/>
  <c r="I90" i="15" s="1"/>
  <c r="G84" i="15"/>
  <c r="G85" i="15" s="1"/>
  <c r="G90" i="15" s="1"/>
  <c r="F84" i="15"/>
  <c r="F85" i="15" s="1"/>
  <c r="F90" i="15" s="1"/>
  <c r="F43" i="15"/>
  <c r="F41" i="15" s="1"/>
  <c r="F46" i="15"/>
  <c r="B23" i="15"/>
  <c r="J86" i="15"/>
  <c r="N86" i="15" s="1"/>
  <c r="E87" i="15" s="1"/>
  <c r="J87" i="15" s="1"/>
  <c r="X79" i="15"/>
  <c r="F56" i="15"/>
  <c r="E43" i="15"/>
  <c r="D46" i="15"/>
  <c r="J103" i="15"/>
  <c r="J107" i="15" s="1"/>
  <c r="H108" i="15" s="1"/>
  <c r="N77" i="15"/>
  <c r="E56" i="15"/>
  <c r="D45" i="15"/>
  <c r="B45" i="15" s="1"/>
  <c r="B12" i="15"/>
  <c r="N78" i="15"/>
  <c r="S104" i="15"/>
  <c r="H110" i="15"/>
  <c r="G116" i="15"/>
  <c r="G110" i="15"/>
  <c r="E107" i="15"/>
  <c r="S105" i="15"/>
  <c r="S103" i="15"/>
  <c r="E85" i="15"/>
  <c r="B11" i="15"/>
  <c r="I110" i="15"/>
  <c r="E46" i="15"/>
  <c r="H116" i="15" l="1"/>
  <c r="B56" i="15"/>
  <c r="J111" i="15"/>
  <c r="J106" i="15"/>
  <c r="E41" i="15"/>
  <c r="B41" i="15" s="1"/>
  <c r="C39" i="15" s="1"/>
  <c r="B43" i="15"/>
  <c r="B46" i="15"/>
  <c r="E88" i="15"/>
  <c r="J88" i="15" s="1"/>
  <c r="B8" i="15"/>
  <c r="AD8" i="15" s="1"/>
  <c r="D108" i="15"/>
  <c r="J84" i="15"/>
  <c r="I108" i="15"/>
  <c r="G108" i="15"/>
  <c r="F108" i="15"/>
  <c r="J110" i="15"/>
  <c r="B20" i="15"/>
  <c r="J85" i="15"/>
  <c r="B6" i="15"/>
  <c r="N46" i="15"/>
  <c r="E116" i="15"/>
  <c r="J116" i="15" s="1"/>
  <c r="E108" i="15"/>
  <c r="B9" i="15"/>
  <c r="N10" i="15"/>
  <c r="B14" i="15"/>
  <c r="E90" i="15" l="1"/>
  <c r="J90" i="15" s="1"/>
  <c r="N88" i="15" s="1"/>
  <c r="I94" i="15" s="1"/>
  <c r="I97" i="15" s="1"/>
  <c r="I100" i="15" s="1"/>
  <c r="P8" i="15"/>
  <c r="O8" i="15"/>
  <c r="B10" i="15"/>
  <c r="J108" i="15"/>
  <c r="P6" i="15"/>
  <c r="AD6" i="15"/>
  <c r="O6" i="15"/>
  <c r="E94" i="15" l="1"/>
  <c r="E97" i="15" s="1"/>
  <c r="H94" i="15"/>
  <c r="G94" i="15"/>
  <c r="G97" i="15" s="1"/>
  <c r="G100" i="15" s="1"/>
  <c r="F94" i="15"/>
  <c r="J94" i="15" s="1"/>
  <c r="F95" i="15" s="1"/>
  <c r="E100" i="15"/>
  <c r="H97" i="15"/>
  <c r="H100" i="15" s="1"/>
  <c r="F97" i="15" l="1"/>
  <c r="F100" i="15" s="1"/>
  <c r="E95" i="15"/>
  <c r="H95" i="15"/>
  <c r="G95" i="15"/>
  <c r="I95" i="15"/>
  <c r="J97" i="15" l="1"/>
  <c r="N97" i="15" s="1"/>
  <c r="I101" i="15" s="1"/>
  <c r="J95" i="15"/>
  <c r="J100" i="15"/>
  <c r="D101" i="15"/>
  <c r="G101" i="15"/>
  <c r="H101" i="15"/>
  <c r="E101" i="15"/>
  <c r="F101" i="15"/>
  <c r="J101" i="15" l="1"/>
  <c r="T13" i="14" l="1"/>
  <c r="R17" i="14"/>
  <c r="S17" i="14"/>
  <c r="F18" i="14"/>
  <c r="L19" i="14"/>
  <c r="E75" i="14" s="1"/>
  <c r="Y19" i="14"/>
  <c r="F20" i="14"/>
  <c r="Y21" i="14"/>
  <c r="U20" i="14"/>
  <c r="V20" i="14"/>
  <c r="U21" i="14"/>
  <c r="F22" i="14"/>
  <c r="F24" i="14"/>
  <c r="Q25" i="14"/>
  <c r="G26" i="14"/>
  <c r="H26" i="14"/>
  <c r="K26" i="14"/>
  <c r="L26" i="14"/>
  <c r="L27" i="14"/>
  <c r="N27" i="14"/>
  <c r="E32" i="14"/>
  <c r="E40" i="14" s="1"/>
  <c r="G32" i="14"/>
  <c r="G40" i="14" s="1"/>
  <c r="I32" i="14"/>
  <c r="J32" i="14"/>
  <c r="K33" i="14"/>
  <c r="K63" i="14" s="1"/>
  <c r="H34" i="14"/>
  <c r="H32" i="14" s="1"/>
  <c r="J35" i="14"/>
  <c r="O35" i="14"/>
  <c r="P40" i="16" s="1"/>
  <c r="P35" i="14"/>
  <c r="Q40" i="16" s="1"/>
  <c r="Q35" i="14"/>
  <c r="R35" i="14"/>
  <c r="S35" i="14"/>
  <c r="E36" i="14"/>
  <c r="G36" i="14"/>
  <c r="H36" i="14"/>
  <c r="H35" i="14" s="1"/>
  <c r="I36" i="14"/>
  <c r="I35" i="14" s="1"/>
  <c r="L36" i="14"/>
  <c r="N35" i="14"/>
  <c r="K40" i="16" s="1"/>
  <c r="E37" i="14"/>
  <c r="G37" i="14"/>
  <c r="K37" i="14"/>
  <c r="L37" i="14"/>
  <c r="L34" i="14" s="1"/>
  <c r="E41" i="14"/>
  <c r="G41" i="14"/>
  <c r="H41" i="14"/>
  <c r="J41" i="14"/>
  <c r="J40" i="14" s="1"/>
  <c r="U41" i="14"/>
  <c r="E42" i="14"/>
  <c r="G42" i="14"/>
  <c r="H42" i="14"/>
  <c r="U42" i="14"/>
  <c r="L45" i="14"/>
  <c r="L83" i="14" s="1"/>
  <c r="J46" i="14"/>
  <c r="K46" i="14"/>
  <c r="L46" i="14"/>
  <c r="F47" i="14"/>
  <c r="U47" i="14"/>
  <c r="V47" i="14"/>
  <c r="W47" i="14"/>
  <c r="F48" i="14"/>
  <c r="V48" i="14"/>
  <c r="E49" i="14"/>
  <c r="G49" i="14"/>
  <c r="H49" i="14"/>
  <c r="I49" i="14"/>
  <c r="L49" i="14"/>
  <c r="H58" i="14"/>
  <c r="J58" i="14"/>
  <c r="K58" i="14"/>
  <c r="E63" i="14"/>
  <c r="G63" i="14"/>
  <c r="H63" i="14"/>
  <c r="I63" i="14"/>
  <c r="J63" i="14"/>
  <c r="E65" i="14"/>
  <c r="F65" i="14"/>
  <c r="G65" i="14"/>
  <c r="H65" i="14"/>
  <c r="I65" i="14"/>
  <c r="J65" i="14"/>
  <c r="K65" i="14"/>
  <c r="L65" i="14"/>
  <c r="M65" i="14"/>
  <c r="N65" i="14"/>
  <c r="O65" i="14"/>
  <c r="P65" i="14"/>
  <c r="E67" i="14"/>
  <c r="F67" i="14"/>
  <c r="G67" i="14"/>
  <c r="H67" i="14"/>
  <c r="I67" i="14"/>
  <c r="J67" i="14"/>
  <c r="K67" i="14"/>
  <c r="L67" i="14"/>
  <c r="M67" i="14"/>
  <c r="N67" i="14"/>
  <c r="O67" i="14"/>
  <c r="P67" i="14"/>
  <c r="E69" i="14"/>
  <c r="H69" i="14" s="1"/>
  <c r="E15" i="14" s="1"/>
  <c r="E70" i="14"/>
  <c r="G70" i="14" s="1"/>
  <c r="G14" i="14" s="1"/>
  <c r="E71" i="14"/>
  <c r="H71" i="14" s="1"/>
  <c r="H15" i="14" s="1"/>
  <c r="G72" i="14"/>
  <c r="H72" i="14"/>
  <c r="G73" i="14"/>
  <c r="H73" i="14"/>
  <c r="K73" i="14"/>
  <c r="G74" i="14"/>
  <c r="H74" i="14"/>
  <c r="J74" i="14"/>
  <c r="J75" i="14" s="1"/>
  <c r="K75" i="14" s="1"/>
  <c r="L43" i="14" s="1"/>
  <c r="L74" i="14"/>
  <c r="L75" i="14"/>
  <c r="E83" i="14"/>
  <c r="G83" i="14"/>
  <c r="H83" i="14"/>
  <c r="I83" i="14"/>
  <c r="J83" i="14"/>
  <c r="K83" i="14"/>
  <c r="D323" i="6"/>
  <c r="E323" i="6"/>
  <c r="F323" i="6"/>
  <c r="G323" i="6"/>
  <c r="C323" i="6"/>
  <c r="V21" i="14" l="1"/>
  <c r="T17" i="14"/>
  <c r="U17" i="14"/>
  <c r="W17" i="14" s="1"/>
  <c r="H70" i="14"/>
  <c r="G15" i="14" s="1"/>
  <c r="K32" i="14"/>
  <c r="K40" i="14" s="1"/>
  <c r="V37" i="14"/>
  <c r="L35" i="14"/>
  <c r="K74" i="14"/>
  <c r="N49" i="14"/>
  <c r="K54" i="16"/>
  <c r="O27" i="14"/>
  <c r="P30" i="16"/>
  <c r="G69" i="14"/>
  <c r="E14" i="14" s="1"/>
  <c r="O44" i="14"/>
  <c r="E35" i="14"/>
  <c r="G71" i="14"/>
  <c r="H14" i="14" s="1"/>
  <c r="T49" i="14"/>
  <c r="M83" i="14"/>
  <c r="L42" i="14"/>
  <c r="I58" i="14"/>
  <c r="F37" i="14"/>
  <c r="W18" i="14"/>
  <c r="X18" i="14" s="1"/>
  <c r="X21" i="14"/>
  <c r="X22" i="14" s="1"/>
  <c r="F19" i="14"/>
  <c r="Y13" i="14"/>
  <c r="U46" i="14"/>
  <c r="V19" i="14"/>
  <c r="F46" i="14"/>
  <c r="V46" i="14"/>
  <c r="M35" i="14"/>
  <c r="G35" i="14"/>
  <c r="F36" i="14"/>
  <c r="N33" i="14"/>
  <c r="K38" i="16" s="1"/>
  <c r="U36" i="14"/>
  <c r="L33" i="14"/>
  <c r="U37" i="14"/>
  <c r="K35" i="14"/>
  <c r="V36" i="14"/>
  <c r="F17" i="14"/>
  <c r="V17" i="14" s="1"/>
  <c r="O49" i="14" l="1"/>
  <c r="P54" i="16"/>
  <c r="O45" i="14"/>
  <c r="P27" i="14"/>
  <c r="Q27" i="14" s="1"/>
  <c r="R27" i="14" s="1"/>
  <c r="S27" i="14" s="1"/>
  <c r="F27" i="14" s="1"/>
  <c r="Q30" i="16"/>
  <c r="P44" i="14"/>
  <c r="W13" i="14"/>
  <c r="AC19" i="14"/>
  <c r="F35" i="14"/>
  <c r="U18" i="14"/>
  <c r="L32" i="14"/>
  <c r="L41" i="14"/>
  <c r="L63" i="14"/>
  <c r="U35" i="14"/>
  <c r="V35" i="14"/>
  <c r="O16" i="14"/>
  <c r="N83" i="14"/>
  <c r="G75" i="14"/>
  <c r="L14" i="14" s="1"/>
  <c r="H75" i="14"/>
  <c r="L15" i="14" s="1"/>
  <c r="M42" i="14"/>
  <c r="K39" i="16"/>
  <c r="X19" i="14"/>
  <c r="X20" i="14"/>
  <c r="P45" i="14" l="1"/>
  <c r="Q50" i="16" s="1"/>
  <c r="P50" i="16"/>
  <c r="O33" i="14"/>
  <c r="P38" i="16" s="1"/>
  <c r="P19" i="16"/>
  <c r="L40" i="14"/>
  <c r="Q54" i="16"/>
  <c r="P49" i="14"/>
  <c r="Q49" i="14" s="1"/>
  <c r="R49" i="14" s="1"/>
  <c r="S49" i="14" s="1"/>
  <c r="F49" i="14" s="1"/>
  <c r="U43" i="14"/>
  <c r="Q44" i="14"/>
  <c r="R44" i="14" s="1"/>
  <c r="S44" i="14" s="1"/>
  <c r="U44" i="14"/>
  <c r="G76" i="14"/>
  <c r="H76" i="14"/>
  <c r="P16" i="14"/>
  <c r="O83" i="14"/>
  <c r="O34" i="14"/>
  <c r="P39" i="16" s="1"/>
  <c r="P41" i="14" l="1"/>
  <c r="Q19" i="16"/>
  <c r="M15" i="14"/>
  <c r="M14" i="14"/>
  <c r="Q45" i="14"/>
  <c r="R45" i="14" s="1"/>
  <c r="S45" i="14" s="1"/>
  <c r="V45" i="14" s="1"/>
  <c r="F43" i="14"/>
  <c r="V43" i="14"/>
  <c r="V44" i="14"/>
  <c r="F44" i="14"/>
  <c r="U51" i="14"/>
  <c r="Z13" i="14" s="1"/>
  <c r="Q16" i="14"/>
  <c r="P83" i="14"/>
  <c r="G77" i="14"/>
  <c r="P34" i="14"/>
  <c r="Q39" i="16" s="1"/>
  <c r="O42" i="14"/>
  <c r="P26" i="14" l="1"/>
  <c r="Q29" i="16" s="1"/>
  <c r="Q46" i="16"/>
  <c r="F45" i="14"/>
  <c r="R16" i="14"/>
  <c r="S16" i="14" s="1"/>
  <c r="T16" i="14" s="1"/>
  <c r="Q41" i="14"/>
  <c r="Q26" i="14" s="1"/>
  <c r="P42" i="14"/>
  <c r="U34" i="14"/>
  <c r="Q34" i="14"/>
  <c r="G78" i="14"/>
  <c r="O14" i="14" s="1"/>
  <c r="P17" i="16" s="1"/>
  <c r="H78" i="14"/>
  <c r="O15" i="14" s="1"/>
  <c r="P18" i="16" s="1"/>
  <c r="U16" i="14" l="1"/>
  <c r="V16" i="14" s="1"/>
  <c r="R41" i="14"/>
  <c r="R26" i="14" s="1"/>
  <c r="P63" i="14"/>
  <c r="P32" i="14"/>
  <c r="G79" i="14"/>
  <c r="P14" i="14" s="1"/>
  <c r="H79" i="14"/>
  <c r="Q42" i="14"/>
  <c r="R34" i="14"/>
  <c r="P40" i="14" l="1"/>
  <c r="Q37" i="16"/>
  <c r="U14" i="14"/>
  <c r="Q17" i="16"/>
  <c r="P15" i="14"/>
  <c r="X13" i="14"/>
  <c r="V51" i="14"/>
  <c r="F16" i="14"/>
  <c r="F83" i="14" s="1"/>
  <c r="S34" i="14"/>
  <c r="R42" i="14"/>
  <c r="Q32" i="14"/>
  <c r="Q40" i="14" s="1"/>
  <c r="G80" i="14"/>
  <c r="Q14" i="14" s="1"/>
  <c r="H80" i="14"/>
  <c r="Q15" i="14" s="1"/>
  <c r="U15" i="14" l="1"/>
  <c r="Q18" i="16"/>
  <c r="H81" i="14"/>
  <c r="R15" i="14" s="1"/>
  <c r="G81" i="14"/>
  <c r="R14" i="14" s="1"/>
  <c r="R32" i="14"/>
  <c r="R40" i="14" s="1"/>
  <c r="F34" i="14"/>
  <c r="F42" i="14" s="1"/>
  <c r="S42" i="14"/>
  <c r="V34" i="14"/>
  <c r="V41" i="14" l="1"/>
  <c r="U33" i="14"/>
  <c r="G82" i="14"/>
  <c r="S14" i="14" s="1"/>
  <c r="H82" i="14"/>
  <c r="S15" i="14" s="1"/>
  <c r="S32" i="14"/>
  <c r="F33" i="14"/>
  <c r="V33" i="14"/>
  <c r="S26" i="14" l="1"/>
  <c r="F26" i="14" s="1"/>
  <c r="F15" i="14"/>
  <c r="V15" i="14"/>
  <c r="F14" i="14"/>
  <c r="V14" i="14"/>
  <c r="F32" i="14"/>
  <c r="F40" i="14" s="1"/>
  <c r="V32" i="14"/>
  <c r="S40" i="14"/>
  <c r="F41" i="14"/>
  <c r="F63" i="14"/>
  <c r="T667" i="6" l="1"/>
  <c r="S669" i="6"/>
  <c r="T669" i="6"/>
  <c r="U669" i="6"/>
  <c r="V669" i="6"/>
  <c r="W669" i="6"/>
  <c r="X669" i="6"/>
  <c r="R669" i="6"/>
  <c r="S245" i="6" l="1"/>
  <c r="T245" i="6"/>
  <c r="U245" i="6"/>
  <c r="V245" i="6"/>
  <c r="W245" i="6"/>
  <c r="X245" i="6"/>
  <c r="S246" i="6"/>
  <c r="T246" i="6"/>
  <c r="H1164" i="5" l="1"/>
  <c r="S667" i="6" s="1"/>
  <c r="I1164" i="5"/>
  <c r="J1164" i="5"/>
  <c r="V81" i="6"/>
  <c r="L1164" i="5"/>
  <c r="W81" i="6" s="1"/>
  <c r="M1164" i="5"/>
  <c r="X81" i="6" s="1"/>
  <c r="G1164" i="5"/>
  <c r="R81" i="6" s="1"/>
  <c r="H1165" i="5"/>
  <c r="S673" i="6" s="1"/>
  <c r="I1165" i="5"/>
  <c r="T673" i="6" s="1"/>
  <c r="J1165" i="5"/>
  <c r="U673" i="6" s="1"/>
  <c r="K1165" i="5"/>
  <c r="V82" i="6" s="1"/>
  <c r="L1165" i="5"/>
  <c r="W82" i="6" s="1"/>
  <c r="M1165" i="5"/>
  <c r="X82" i="6" s="1"/>
  <c r="G1165" i="5"/>
  <c r="R82" i="6" s="1"/>
  <c r="H1166" i="5"/>
  <c r="I1166" i="5"/>
  <c r="I1191" i="5" s="1"/>
  <c r="T19" i="6" s="1"/>
  <c r="J1166" i="5"/>
  <c r="J1191" i="5" s="1"/>
  <c r="U19" i="6" s="1"/>
  <c r="K1166" i="5"/>
  <c r="G1166" i="5" s="1"/>
  <c r="L1166" i="5"/>
  <c r="M1166" i="5"/>
  <c r="H1184" i="5"/>
  <c r="I1184" i="5"/>
  <c r="J1184" i="5"/>
  <c r="K1184" i="5"/>
  <c r="G1184" i="5" s="1"/>
  <c r="L1184" i="5"/>
  <c r="M1184" i="5"/>
  <c r="H1180" i="5"/>
  <c r="I1180" i="5"/>
  <c r="J1180" i="5"/>
  <c r="G1180" i="5"/>
  <c r="H1176" i="5"/>
  <c r="I1176" i="5"/>
  <c r="J1176" i="5"/>
  <c r="K1176" i="5"/>
  <c r="G1176" i="5" s="1"/>
  <c r="H1168" i="5"/>
  <c r="I1168" i="5"/>
  <c r="J1168" i="5"/>
  <c r="K1168" i="5"/>
  <c r="G1168" i="5" s="1"/>
  <c r="L1168" i="5"/>
  <c r="M1168" i="5"/>
  <c r="R373" i="6"/>
  <c r="R333" i="6" s="1"/>
  <c r="R325" i="6" s="1"/>
  <c r="R332" i="6" l="1"/>
  <c r="R331" i="6" s="1"/>
  <c r="I1162" i="5"/>
  <c r="R83" i="6"/>
  <c r="R80" i="6" s="1"/>
  <c r="R79" i="6" s="1"/>
  <c r="G1191" i="5"/>
  <c r="R19" i="6" s="1"/>
  <c r="V83" i="6"/>
  <c r="V80" i="6" s="1"/>
  <c r="K1191" i="5"/>
  <c r="V19" i="6" s="1"/>
  <c r="M1162" i="5"/>
  <c r="M1161" i="5" s="1"/>
  <c r="X83" i="6"/>
  <c r="X80" i="6" s="1"/>
  <c r="X79" i="6" s="1"/>
  <c r="M1191" i="5"/>
  <c r="X19" i="6" s="1"/>
  <c r="L1162" i="5"/>
  <c r="L1161" i="5" s="1"/>
  <c r="W83" i="6"/>
  <c r="W80" i="6" s="1"/>
  <c r="W79" i="6" s="1"/>
  <c r="L1191" i="5"/>
  <c r="W19" i="6" s="1"/>
  <c r="H1162" i="5"/>
  <c r="H1191" i="5"/>
  <c r="S19" i="6" s="1"/>
  <c r="J1162" i="5"/>
  <c r="U667" i="6"/>
  <c r="G1162" i="5"/>
  <c r="G1161" i="5" s="1"/>
  <c r="K1162" i="5"/>
  <c r="K1161" i="5" s="1"/>
  <c r="L811" i="5"/>
  <c r="L807" i="5" s="1"/>
  <c r="M811" i="5"/>
  <c r="H807" i="5"/>
  <c r="I807" i="5"/>
  <c r="J807" i="5"/>
  <c r="G812" i="5"/>
  <c r="G808" i="5" s="1"/>
  <c r="G813" i="5"/>
  <c r="G809" i="5" s="1"/>
  <c r="K811" i="5"/>
  <c r="K807" i="5" s="1"/>
  <c r="H1147" i="5"/>
  <c r="I1147" i="5"/>
  <c r="J1147" i="5"/>
  <c r="K1147" i="5"/>
  <c r="L1147" i="5"/>
  <c r="M1147" i="5"/>
  <c r="H1146" i="5"/>
  <c r="I1146" i="5"/>
  <c r="J1146" i="5"/>
  <c r="K1146" i="5"/>
  <c r="L1146" i="5"/>
  <c r="M1146" i="5"/>
  <c r="H1144" i="5"/>
  <c r="I1144" i="5"/>
  <c r="J1144" i="5"/>
  <c r="K1144" i="5"/>
  <c r="L1144" i="5"/>
  <c r="M1144" i="5"/>
  <c r="L1151" i="5"/>
  <c r="M1151" i="5"/>
  <c r="G1152" i="5"/>
  <c r="G1146" i="5" s="1"/>
  <c r="G1153" i="5"/>
  <c r="G1147" i="5" s="1"/>
  <c r="G1150" i="5"/>
  <c r="G1144" i="5" s="1"/>
  <c r="K1151" i="5"/>
  <c r="G1151" i="5" s="1"/>
  <c r="H1119" i="5"/>
  <c r="I1119" i="5"/>
  <c r="J1119" i="5"/>
  <c r="K1119" i="5"/>
  <c r="L1119" i="5"/>
  <c r="M1119" i="5"/>
  <c r="H1118" i="5"/>
  <c r="I1118" i="5"/>
  <c r="J1118" i="5"/>
  <c r="K1118" i="5"/>
  <c r="L1118" i="5"/>
  <c r="M1118" i="5"/>
  <c r="H1116" i="5"/>
  <c r="I1116" i="5"/>
  <c r="J1116" i="5"/>
  <c r="K1116" i="5"/>
  <c r="L1116" i="5"/>
  <c r="M1116" i="5"/>
  <c r="L1125" i="5"/>
  <c r="M1125" i="5"/>
  <c r="G1126" i="5"/>
  <c r="G1127" i="5"/>
  <c r="G1124" i="5"/>
  <c r="K1125" i="5"/>
  <c r="G1125" i="5" s="1"/>
  <c r="L1121" i="5"/>
  <c r="M1121" i="5"/>
  <c r="G1122" i="5"/>
  <c r="G1123" i="5"/>
  <c r="G1120" i="5"/>
  <c r="K1121" i="5"/>
  <c r="G1121" i="5" s="1"/>
  <c r="L1113" i="5"/>
  <c r="M1113" i="5"/>
  <c r="H1111" i="5"/>
  <c r="I1111" i="5"/>
  <c r="J1111" i="5"/>
  <c r="K1111" i="5"/>
  <c r="L1111" i="5"/>
  <c r="M1111" i="5"/>
  <c r="H1110" i="5"/>
  <c r="I1110" i="5"/>
  <c r="J1110" i="5"/>
  <c r="K1110" i="5"/>
  <c r="L1110" i="5"/>
  <c r="M1110" i="5"/>
  <c r="H1108" i="5"/>
  <c r="I1108" i="5"/>
  <c r="J1108" i="5"/>
  <c r="K1108" i="5"/>
  <c r="L1108" i="5"/>
  <c r="M1108" i="5"/>
  <c r="G1114" i="5"/>
  <c r="G1110" i="5" s="1"/>
  <c r="G1115" i="5"/>
  <c r="G1111" i="5" s="1"/>
  <c r="G1112" i="5"/>
  <c r="G1108" i="5" s="1"/>
  <c r="K1113" i="5"/>
  <c r="G1113" i="5" s="1"/>
  <c r="G1116" i="5" l="1"/>
  <c r="G811" i="5"/>
  <c r="J1117" i="5"/>
  <c r="J1109" i="5"/>
  <c r="H1145" i="5"/>
  <c r="M1145" i="5"/>
  <c r="I1145" i="5"/>
  <c r="G1118" i="5"/>
  <c r="G1145" i="5"/>
  <c r="G1109" i="5"/>
  <c r="L1145" i="5"/>
  <c r="G1119" i="5"/>
  <c r="M807" i="5"/>
  <c r="K1145" i="5"/>
  <c r="J1145" i="5"/>
  <c r="K1109" i="5"/>
  <c r="I1109" i="5"/>
  <c r="L1117" i="5"/>
  <c r="H1117" i="5"/>
  <c r="K1117" i="5"/>
  <c r="M1117" i="5"/>
  <c r="I1117" i="5"/>
  <c r="M1109" i="5"/>
  <c r="L1109" i="5"/>
  <c r="H1109" i="5"/>
  <c r="H1103" i="5"/>
  <c r="I1103" i="5"/>
  <c r="J1103" i="5"/>
  <c r="K1103" i="5"/>
  <c r="L1103" i="5"/>
  <c r="M1103" i="5"/>
  <c r="H1102" i="5"/>
  <c r="I1102" i="5"/>
  <c r="J1102" i="5"/>
  <c r="K1102" i="5"/>
  <c r="L1102" i="5"/>
  <c r="M1102" i="5"/>
  <c r="G1102" i="5"/>
  <c r="H1089" i="5"/>
  <c r="I1089" i="5"/>
  <c r="J1089" i="5"/>
  <c r="K1089" i="5"/>
  <c r="L1089" i="5"/>
  <c r="M1089" i="5"/>
  <c r="H1088" i="5"/>
  <c r="I1088" i="5"/>
  <c r="J1088" i="5"/>
  <c r="K1088" i="5"/>
  <c r="L1088" i="5"/>
  <c r="M1088" i="5"/>
  <c r="H1086" i="5"/>
  <c r="I1086" i="5"/>
  <c r="J1086" i="5"/>
  <c r="K1086" i="5"/>
  <c r="L1086" i="5"/>
  <c r="M1086" i="5"/>
  <c r="L1095" i="5"/>
  <c r="M1095" i="5"/>
  <c r="G1096" i="5"/>
  <c r="G1097" i="5"/>
  <c r="G1094" i="5"/>
  <c r="K1095" i="5"/>
  <c r="G1095" i="5" s="1"/>
  <c r="L1091" i="5"/>
  <c r="M1091" i="5"/>
  <c r="G1092" i="5"/>
  <c r="G1093" i="5"/>
  <c r="G1090" i="5"/>
  <c r="K1091" i="5"/>
  <c r="G1091" i="5" s="1"/>
  <c r="G1117" i="5" l="1"/>
  <c r="G1089" i="5"/>
  <c r="H1077" i="5"/>
  <c r="I1077" i="5"/>
  <c r="J1077" i="5"/>
  <c r="K1077" i="5"/>
  <c r="L1077" i="5"/>
  <c r="M1077" i="5"/>
  <c r="H1076" i="5"/>
  <c r="I1076" i="5"/>
  <c r="J1076" i="5"/>
  <c r="K1076" i="5"/>
  <c r="L1076" i="5"/>
  <c r="M1076" i="5"/>
  <c r="H1074" i="5"/>
  <c r="I1074" i="5"/>
  <c r="J1074" i="5"/>
  <c r="K1074" i="5"/>
  <c r="L1074" i="5"/>
  <c r="M1074" i="5"/>
  <c r="G1082" i="5"/>
  <c r="G1076" i="5" s="1"/>
  <c r="G1083" i="5"/>
  <c r="G1077" i="5" s="1"/>
  <c r="G1080" i="5"/>
  <c r="G1074" i="5" s="1"/>
  <c r="G1081" i="5"/>
  <c r="H1059" i="5"/>
  <c r="I1059" i="5"/>
  <c r="J1059" i="5"/>
  <c r="K1059" i="5"/>
  <c r="L1059" i="5"/>
  <c r="M1059" i="5"/>
  <c r="H1058" i="5"/>
  <c r="I1058" i="5"/>
  <c r="J1058" i="5"/>
  <c r="K1058" i="5"/>
  <c r="L1058" i="5"/>
  <c r="M1058" i="5"/>
  <c r="H1056" i="5"/>
  <c r="I1056" i="5"/>
  <c r="J1056" i="5"/>
  <c r="K1056" i="5"/>
  <c r="L1056" i="5"/>
  <c r="M1056" i="5"/>
  <c r="L1063" i="5"/>
  <c r="M1063" i="5"/>
  <c r="G1064" i="5"/>
  <c r="G1065" i="5"/>
  <c r="G1059" i="5" s="1"/>
  <c r="G1062" i="5"/>
  <c r="K1063" i="5"/>
  <c r="G1063" i="5" s="1"/>
  <c r="H1045" i="5"/>
  <c r="I1045" i="5"/>
  <c r="J1045" i="5"/>
  <c r="K1045" i="5"/>
  <c r="L1045" i="5"/>
  <c r="M1045" i="5"/>
  <c r="H1044" i="5"/>
  <c r="I1044" i="5"/>
  <c r="J1044" i="5"/>
  <c r="K1044" i="5"/>
  <c r="L1044" i="5"/>
  <c r="M1044" i="5"/>
  <c r="H1042" i="5"/>
  <c r="I1042" i="5"/>
  <c r="J1042" i="5"/>
  <c r="K1042" i="5"/>
  <c r="L1042" i="5"/>
  <c r="M1042" i="5"/>
  <c r="G1054" i="5"/>
  <c r="G1055" i="5"/>
  <c r="G1052" i="5"/>
  <c r="K1053" i="5"/>
  <c r="G1053" i="5" s="1"/>
  <c r="M1053" i="5"/>
  <c r="L1047" i="5"/>
  <c r="M1047" i="5"/>
  <c r="G1048" i="5"/>
  <c r="G1049" i="5"/>
  <c r="G1046" i="5"/>
  <c r="K1047" i="5"/>
  <c r="G1047" i="5" s="1"/>
  <c r="M1015" i="5"/>
  <c r="G1024" i="5"/>
  <c r="G1022" i="5"/>
  <c r="H986" i="5"/>
  <c r="I986" i="5"/>
  <c r="J986" i="5"/>
  <c r="K986" i="5"/>
  <c r="L986" i="5"/>
  <c r="M986" i="5"/>
  <c r="H984" i="5"/>
  <c r="I984" i="5"/>
  <c r="J984" i="5"/>
  <c r="K984" i="5"/>
  <c r="L984" i="5"/>
  <c r="M984" i="5"/>
  <c r="H987" i="5"/>
  <c r="I987" i="5"/>
  <c r="J987" i="5"/>
  <c r="J985" i="5" s="1"/>
  <c r="K987" i="5"/>
  <c r="L987" i="5"/>
  <c r="M987" i="5"/>
  <c r="L991" i="5"/>
  <c r="M991" i="5"/>
  <c r="G996" i="5"/>
  <c r="G997" i="5"/>
  <c r="G994" i="5"/>
  <c r="K995" i="5"/>
  <c r="G995" i="5" s="1"/>
  <c r="G992" i="5"/>
  <c r="G986" i="5" s="1"/>
  <c r="G993" i="5"/>
  <c r="G990" i="5"/>
  <c r="K991" i="5"/>
  <c r="G991" i="5" s="1"/>
  <c r="H973" i="5"/>
  <c r="I973" i="5"/>
  <c r="J973" i="5"/>
  <c r="K973" i="5"/>
  <c r="L973" i="5"/>
  <c r="M973" i="5"/>
  <c r="H972" i="5"/>
  <c r="I972" i="5"/>
  <c r="J972" i="5"/>
  <c r="K972" i="5"/>
  <c r="M972" i="5"/>
  <c r="H970" i="5"/>
  <c r="I970" i="5"/>
  <c r="J970" i="5"/>
  <c r="K970" i="5"/>
  <c r="M970" i="5"/>
  <c r="L977" i="5"/>
  <c r="G984" i="5" l="1"/>
  <c r="J1057" i="5"/>
  <c r="M1043" i="5"/>
  <c r="J1075" i="5"/>
  <c r="I1075" i="5"/>
  <c r="L1043" i="5"/>
  <c r="J1043" i="5"/>
  <c r="G1042" i="5"/>
  <c r="I1043" i="5"/>
  <c r="J971" i="5"/>
  <c r="H1043" i="5"/>
  <c r="M1075" i="5"/>
  <c r="L1075" i="5"/>
  <c r="H1075" i="5"/>
  <c r="G1045" i="5"/>
  <c r="G1044" i="5"/>
  <c r="G1075" i="5"/>
  <c r="K1075" i="5"/>
  <c r="M1057" i="5"/>
  <c r="I1057" i="5"/>
  <c r="L1057" i="5"/>
  <c r="H1057" i="5"/>
  <c r="K1057" i="5"/>
  <c r="K1043" i="5"/>
  <c r="G987" i="5"/>
  <c r="I971" i="5"/>
  <c r="M971" i="5"/>
  <c r="H985" i="5"/>
  <c r="H971" i="5"/>
  <c r="K971" i="5"/>
  <c r="M985" i="5"/>
  <c r="I985" i="5"/>
  <c r="L985" i="5"/>
  <c r="K985" i="5"/>
  <c r="L971" i="5"/>
  <c r="M963" i="5"/>
  <c r="M962" i="5"/>
  <c r="G985" i="5" l="1"/>
  <c r="G1043" i="5"/>
  <c r="G974" i="5"/>
  <c r="G975" i="5"/>
  <c r="G976" i="5"/>
  <c r="G978" i="5"/>
  <c r="G979" i="5"/>
  <c r="G973" i="5" s="1"/>
  <c r="G982" i="5"/>
  <c r="G983" i="5"/>
  <c r="G977" i="5"/>
  <c r="H938" i="5"/>
  <c r="I938" i="5"/>
  <c r="J938" i="5"/>
  <c r="K938" i="5"/>
  <c r="L938" i="5"/>
  <c r="M938" i="5"/>
  <c r="H937" i="5"/>
  <c r="I937" i="5"/>
  <c r="J937" i="5"/>
  <c r="K937" i="5"/>
  <c r="L937" i="5"/>
  <c r="M937" i="5"/>
  <c r="G952" i="5"/>
  <c r="G951" i="5"/>
  <c r="G947" i="5"/>
  <c r="H925" i="5"/>
  <c r="I925" i="5"/>
  <c r="J925" i="5"/>
  <c r="K925" i="5"/>
  <c r="L925" i="5"/>
  <c r="M925" i="5"/>
  <c r="L932" i="5"/>
  <c r="M932" i="5"/>
  <c r="G933" i="5"/>
  <c r="G934" i="5"/>
  <c r="G931" i="5"/>
  <c r="K932" i="5"/>
  <c r="G932" i="5" s="1"/>
  <c r="L928" i="5"/>
  <c r="M928" i="5"/>
  <c r="H926" i="5"/>
  <c r="I926" i="5"/>
  <c r="J926" i="5"/>
  <c r="K926" i="5"/>
  <c r="L926" i="5"/>
  <c r="M926" i="5"/>
  <c r="G929" i="5"/>
  <c r="G926" i="5"/>
  <c r="G927" i="5"/>
  <c r="K928" i="5"/>
  <c r="G928" i="5" s="1"/>
  <c r="H923" i="5"/>
  <c r="I923" i="5"/>
  <c r="J923" i="5"/>
  <c r="K923" i="5"/>
  <c r="L923" i="5"/>
  <c r="G921" i="5"/>
  <c r="G922" i="5"/>
  <c r="G912" i="5" s="1"/>
  <c r="G919" i="5"/>
  <c r="K920" i="5"/>
  <c r="G920" i="5" s="1"/>
  <c r="H912" i="5"/>
  <c r="I912" i="5"/>
  <c r="J912" i="5"/>
  <c r="K912" i="5"/>
  <c r="L912" i="5"/>
  <c r="M912" i="5"/>
  <c r="H911" i="5"/>
  <c r="I911" i="5"/>
  <c r="J911" i="5"/>
  <c r="K911" i="5"/>
  <c r="M911" i="5"/>
  <c r="H909" i="5"/>
  <c r="I909" i="5"/>
  <c r="J909" i="5"/>
  <c r="K909" i="5"/>
  <c r="M909" i="5"/>
  <c r="L901" i="5"/>
  <c r="H895" i="5"/>
  <c r="I895" i="5"/>
  <c r="J895" i="5"/>
  <c r="K895" i="5"/>
  <c r="L895" i="5"/>
  <c r="M895" i="5"/>
  <c r="H894" i="5"/>
  <c r="I894" i="5"/>
  <c r="J894" i="5"/>
  <c r="K894" i="5"/>
  <c r="L894" i="5"/>
  <c r="M894" i="5"/>
  <c r="H892" i="5"/>
  <c r="I892" i="5"/>
  <c r="J892" i="5"/>
  <c r="K892" i="5"/>
  <c r="L892" i="5"/>
  <c r="M892" i="5"/>
  <c r="M889" i="5"/>
  <c r="L885" i="5"/>
  <c r="M885" i="5"/>
  <c r="K885" i="5"/>
  <c r="G885" i="5" s="1"/>
  <c r="G886" i="5"/>
  <c r="G887" i="5"/>
  <c r="G884" i="5"/>
  <c r="G937" i="5" l="1"/>
  <c r="G925" i="5"/>
  <c r="G938" i="5"/>
  <c r="M910" i="5"/>
  <c r="G972" i="5"/>
  <c r="G971" i="5" s="1"/>
  <c r="G970" i="5"/>
  <c r="I910" i="5"/>
  <c r="K924" i="5"/>
  <c r="J924" i="5"/>
  <c r="J893" i="5"/>
  <c r="L910" i="5"/>
  <c r="H910" i="5"/>
  <c r="I924" i="5"/>
  <c r="M924" i="5"/>
  <c r="L924" i="5"/>
  <c r="H924" i="5"/>
  <c r="G923" i="5"/>
  <c r="K910" i="5"/>
  <c r="J910" i="5"/>
  <c r="K893" i="5"/>
  <c r="M893" i="5"/>
  <c r="I893" i="5"/>
  <c r="L893" i="5"/>
  <c r="H893" i="5"/>
  <c r="G924" i="5" l="1"/>
  <c r="H881" i="5"/>
  <c r="I881" i="5"/>
  <c r="J881" i="5"/>
  <c r="K881" i="5"/>
  <c r="L881" i="5"/>
  <c r="M881" i="5"/>
  <c r="H879" i="5"/>
  <c r="I879" i="5"/>
  <c r="J879" i="5"/>
  <c r="K879" i="5"/>
  <c r="L879" i="5"/>
  <c r="M879" i="5"/>
  <c r="G879" i="5"/>
  <c r="H878" i="5"/>
  <c r="I878" i="5"/>
  <c r="J878" i="5"/>
  <c r="K878" i="5"/>
  <c r="L878" i="5"/>
  <c r="M878" i="5"/>
  <c r="G878" i="5"/>
  <c r="H876" i="5"/>
  <c r="I876" i="5"/>
  <c r="J876" i="5"/>
  <c r="K876" i="5"/>
  <c r="L876" i="5"/>
  <c r="M876" i="5"/>
  <c r="G876" i="5"/>
  <c r="H865" i="5"/>
  <c r="I865" i="5"/>
  <c r="J865" i="5"/>
  <c r="K865" i="5"/>
  <c r="L865" i="5"/>
  <c r="M865" i="5"/>
  <c r="H864" i="5"/>
  <c r="I864" i="5"/>
  <c r="J864" i="5"/>
  <c r="K864" i="5"/>
  <c r="L864" i="5"/>
  <c r="M864" i="5"/>
  <c r="J877" i="5" l="1"/>
  <c r="G877" i="5"/>
  <c r="M877" i="5"/>
  <c r="L877" i="5"/>
  <c r="H877" i="5"/>
  <c r="K877" i="5"/>
  <c r="I877" i="5"/>
  <c r="H859" i="5"/>
  <c r="I859" i="5"/>
  <c r="J859" i="5"/>
  <c r="K859" i="5"/>
  <c r="L859" i="5"/>
  <c r="M859" i="5"/>
  <c r="H858" i="5"/>
  <c r="I858" i="5"/>
  <c r="J858" i="5"/>
  <c r="K858" i="5"/>
  <c r="L858" i="5"/>
  <c r="M858" i="5"/>
  <c r="G861" i="5"/>
  <c r="G859" i="5" s="1"/>
  <c r="G860" i="5"/>
  <c r="G858" i="5" s="1"/>
  <c r="M833" i="5"/>
  <c r="M835" i="5"/>
  <c r="M831" i="5" s="1"/>
  <c r="H833" i="5"/>
  <c r="I833" i="5"/>
  <c r="J833" i="5"/>
  <c r="K833" i="5"/>
  <c r="L843" i="5"/>
  <c r="G844" i="5"/>
  <c r="G832" i="5" s="1"/>
  <c r="G845" i="5"/>
  <c r="G833" i="5" s="1"/>
  <c r="G842" i="5"/>
  <c r="G830" i="5" s="1"/>
  <c r="K843" i="5"/>
  <c r="G843" i="5" l="1"/>
  <c r="G831" i="5" s="1"/>
  <c r="K831" i="5"/>
  <c r="L833" i="5"/>
  <c r="L835" i="5"/>
  <c r="L831" i="5" s="1"/>
  <c r="H821" i="5" l="1"/>
  <c r="I821" i="5"/>
  <c r="J821" i="5"/>
  <c r="K821" i="5"/>
  <c r="K775" i="5" s="1"/>
  <c r="H820" i="5"/>
  <c r="I820" i="5"/>
  <c r="J820" i="5"/>
  <c r="K820" i="5"/>
  <c r="K827" i="5"/>
  <c r="V74" i="6" l="1"/>
  <c r="L823" i="5"/>
  <c r="M823" i="5"/>
  <c r="M818" i="5" l="1"/>
  <c r="L820" i="5"/>
  <c r="L821" i="5"/>
  <c r="M821" i="5"/>
  <c r="G822" i="5"/>
  <c r="G824" i="5"/>
  <c r="G820" i="5" s="1"/>
  <c r="G825" i="5"/>
  <c r="G826" i="5"/>
  <c r="G829" i="5"/>
  <c r="G827" i="5" s="1"/>
  <c r="K818" i="5"/>
  <c r="G818" i="5" s="1"/>
  <c r="K823" i="5"/>
  <c r="G823" i="5" s="1"/>
  <c r="L819" i="5" l="1"/>
  <c r="M819" i="5"/>
  <c r="G821" i="5"/>
  <c r="K819" i="5"/>
  <c r="G819" i="5" s="1"/>
  <c r="H806" i="5"/>
  <c r="I806" i="5"/>
  <c r="J806" i="5"/>
  <c r="K806" i="5"/>
  <c r="L806" i="5"/>
  <c r="M806" i="5"/>
  <c r="H796" i="5"/>
  <c r="I796" i="5"/>
  <c r="J796" i="5"/>
  <c r="K796" i="5"/>
  <c r="L796" i="5"/>
  <c r="M796" i="5"/>
  <c r="G804" i="5"/>
  <c r="G805" i="5"/>
  <c r="G798" i="5" s="1"/>
  <c r="G797" i="5" s="1"/>
  <c r="G810" i="5"/>
  <c r="G806" i="5" s="1"/>
  <c r="G800" i="5"/>
  <c r="H787" i="5"/>
  <c r="I787" i="5"/>
  <c r="J787" i="5"/>
  <c r="K787" i="5"/>
  <c r="L787" i="5"/>
  <c r="M787" i="5"/>
  <c r="M774" i="5" s="1"/>
  <c r="H786" i="5"/>
  <c r="I786" i="5"/>
  <c r="J786" i="5"/>
  <c r="K786" i="5"/>
  <c r="L786" i="5"/>
  <c r="M786" i="5"/>
  <c r="G791" i="5"/>
  <c r="G787" i="5" s="1"/>
  <c r="G790" i="5"/>
  <c r="G786" i="5" s="1"/>
  <c r="M783" i="5"/>
  <c r="M779" i="5" s="1"/>
  <c r="M780" i="5"/>
  <c r="L780" i="5"/>
  <c r="L783" i="5"/>
  <c r="L779" i="5" s="1"/>
  <c r="M652" i="5"/>
  <c r="L498" i="5"/>
  <c r="M498" i="5"/>
  <c r="L497" i="5"/>
  <c r="M497" i="5"/>
  <c r="M496" i="5" s="1"/>
  <c r="M685" i="5"/>
  <c r="L685" i="5"/>
  <c r="L684" i="5"/>
  <c r="M684" i="5"/>
  <c r="M646" i="5"/>
  <c r="L652" i="5"/>
  <c r="K605" i="5"/>
  <c r="G605" i="5" s="1"/>
  <c r="G728" i="5"/>
  <c r="G729" i="5"/>
  <c r="G730" i="5"/>
  <c r="G724" i="5" s="1"/>
  <c r="G732" i="5"/>
  <c r="G733" i="5"/>
  <c r="K726" i="5"/>
  <c r="G726" i="5" s="1"/>
  <c r="K731" i="5"/>
  <c r="G731" i="5" s="1"/>
  <c r="L721" i="5"/>
  <c r="G720" i="5"/>
  <c r="G721" i="5"/>
  <c r="G722" i="5"/>
  <c r="G723" i="5"/>
  <c r="L707" i="5"/>
  <c r="L706" i="5"/>
  <c r="K704" i="5"/>
  <c r="G704" i="5" s="1"/>
  <c r="K706" i="5"/>
  <c r="G706" i="5" s="1"/>
  <c r="L711" i="5"/>
  <c r="G712" i="5"/>
  <c r="G713" i="5"/>
  <c r="G710" i="5"/>
  <c r="K711" i="5"/>
  <c r="G711" i="5" s="1"/>
  <c r="G694" i="5"/>
  <c r="G695" i="5"/>
  <c r="K693" i="5"/>
  <c r="G693" i="5" s="1"/>
  <c r="G686" i="5"/>
  <c r="G687" i="5"/>
  <c r="G688" i="5"/>
  <c r="G690" i="5"/>
  <c r="G691" i="5"/>
  <c r="G692" i="5"/>
  <c r="K684" i="5"/>
  <c r="G684" i="5" s="1"/>
  <c r="K685" i="5"/>
  <c r="G685" i="5" s="1"/>
  <c r="K689" i="5"/>
  <c r="G689" i="5" s="1"/>
  <c r="G639" i="5"/>
  <c r="G640" i="5"/>
  <c r="K638" i="5"/>
  <c r="G638" i="5" s="1"/>
  <c r="L620" i="5"/>
  <c r="L619" i="5"/>
  <c r="K617" i="5"/>
  <c r="K619" i="5"/>
  <c r="G619" i="5" s="1"/>
  <c r="L622" i="5"/>
  <c r="K620" i="5"/>
  <c r="G620" i="5" s="1"/>
  <c r="G623" i="5"/>
  <c r="G624" i="5"/>
  <c r="G621" i="5"/>
  <c r="K622" i="5"/>
  <c r="G622" i="5" s="1"/>
  <c r="G609" i="5"/>
  <c r="G610" i="5"/>
  <c r="G611" i="5"/>
  <c r="G613" i="5"/>
  <c r="G614" i="5"/>
  <c r="G615" i="5"/>
  <c r="G616" i="5"/>
  <c r="K607" i="5"/>
  <c r="G607" i="5" s="1"/>
  <c r="K608" i="5"/>
  <c r="G608" i="5" s="1"/>
  <c r="K612" i="5"/>
  <c r="G612" i="5" s="1"/>
  <c r="G598" i="5"/>
  <c r="K555" i="5"/>
  <c r="K556" i="5"/>
  <c r="G567" i="5"/>
  <c r="G568" i="5"/>
  <c r="K566" i="5"/>
  <c r="G566" i="5" s="1"/>
  <c r="J539" i="5"/>
  <c r="J540" i="5"/>
  <c r="G540" i="5" s="1"/>
  <c r="L496" i="5" l="1"/>
  <c r="G555" i="5"/>
  <c r="G796" i="5"/>
  <c r="G807" i="5"/>
  <c r="L683" i="5"/>
  <c r="M683" i="5"/>
  <c r="K606" i="5"/>
  <c r="G606" i="5" s="1"/>
  <c r="L705" i="5"/>
  <c r="K683" i="5"/>
  <c r="G683" i="5" s="1"/>
  <c r="L618" i="5"/>
  <c r="K554" i="5"/>
  <c r="G554" i="5" s="1"/>
  <c r="J538" i="5"/>
  <c r="G538" i="5" s="1"/>
  <c r="G539" i="5"/>
  <c r="J544" i="5"/>
  <c r="G544" i="5" s="1"/>
  <c r="G545" i="5"/>
  <c r="L510" i="5"/>
  <c r="L509" i="5"/>
  <c r="K507" i="5"/>
  <c r="K509" i="5"/>
  <c r="G509" i="5" s="1"/>
  <c r="K510" i="5"/>
  <c r="G510" i="5" s="1"/>
  <c r="G521" i="5"/>
  <c r="G522" i="5"/>
  <c r="G519" i="5"/>
  <c r="K520" i="5"/>
  <c r="G520" i="5" s="1"/>
  <c r="L516" i="5"/>
  <c r="G517" i="5"/>
  <c r="G518" i="5"/>
  <c r="G515" i="5"/>
  <c r="K516" i="5"/>
  <c r="G516" i="5" s="1"/>
  <c r="K497" i="5"/>
  <c r="K498" i="5"/>
  <c r="G505" i="5"/>
  <c r="G506" i="5"/>
  <c r="K504" i="5"/>
  <c r="G504" i="5" s="1"/>
  <c r="G499" i="5"/>
  <c r="G500" i="5"/>
  <c r="G501" i="5"/>
  <c r="G502" i="5"/>
  <c r="G503" i="5"/>
  <c r="K495" i="5"/>
  <c r="G495" i="5" s="1"/>
  <c r="K450" i="5" l="1"/>
  <c r="G497" i="5"/>
  <c r="L508" i="5"/>
  <c r="K508" i="5"/>
  <c r="G508" i="5" s="1"/>
  <c r="K443" i="5" l="1"/>
  <c r="V52" i="6" s="1"/>
  <c r="V60" i="6"/>
  <c r="S249" i="6"/>
  <c r="S252" i="6" s="1"/>
  <c r="T249" i="6"/>
  <c r="T252" i="6" s="1"/>
  <c r="U249" i="6"/>
  <c r="U252" i="6" s="1"/>
  <c r="V249" i="6"/>
  <c r="V252" i="6" s="1"/>
  <c r="W249" i="6"/>
  <c r="W252" i="6" s="1"/>
  <c r="X249" i="6"/>
  <c r="X252" i="6" s="1"/>
  <c r="M373" i="5"/>
  <c r="L373" i="5"/>
  <c r="M376" i="5"/>
  <c r="M375" i="5"/>
  <c r="L376" i="5"/>
  <c r="L375" i="5"/>
  <c r="M382" i="5"/>
  <c r="L378" i="5"/>
  <c r="M374" i="5" l="1"/>
  <c r="L247" i="5"/>
  <c r="L246" i="5" s="1"/>
  <c r="L250" i="5"/>
  <c r="M183" i="5"/>
  <c r="L127" i="5"/>
  <c r="L61" i="5"/>
  <c r="M167" i="5"/>
  <c r="M166" i="5" s="1"/>
  <c r="M178" i="5"/>
  <c r="M182" i="5" l="1"/>
  <c r="M181" i="5"/>
  <c r="L68" i="5" l="1"/>
  <c r="S192" i="6" l="1"/>
  <c r="T192" i="6"/>
  <c r="U192" i="6"/>
  <c r="V192" i="6"/>
  <c r="W192" i="6"/>
  <c r="W191" i="6" s="1"/>
  <c r="W183" i="6" s="1"/>
  <c r="X192" i="6"/>
  <c r="X191" i="6" s="1"/>
  <c r="X183" i="6" s="1"/>
  <c r="S183" i="6"/>
  <c r="T183" i="6"/>
  <c r="U183" i="6"/>
  <c r="V182" i="6"/>
  <c r="W182" i="6"/>
  <c r="X182" i="6"/>
  <c r="S185" i="6" l="1"/>
  <c r="S243" i="6" s="1"/>
  <c r="S238" i="6" s="1"/>
  <c r="T185" i="6"/>
  <c r="T243" i="6" s="1"/>
  <c r="T238" i="6" s="1"/>
  <c r="U185" i="6"/>
  <c r="U243" i="6" s="1"/>
  <c r="U238" i="6" s="1"/>
  <c r="U251" i="6" s="1"/>
  <c r="V185" i="6"/>
  <c r="W185" i="6"/>
  <c r="X185" i="6"/>
  <c r="S186" i="6"/>
  <c r="T186" i="6"/>
  <c r="U186" i="6"/>
  <c r="V186" i="6"/>
  <c r="W186" i="6"/>
  <c r="X186" i="6"/>
  <c r="S188" i="6"/>
  <c r="T188" i="6"/>
  <c r="U188" i="6"/>
  <c r="V188" i="6"/>
  <c r="W188" i="6"/>
  <c r="R196" i="6"/>
  <c r="R249" i="6" s="1"/>
  <c r="R252" i="6" s="1"/>
  <c r="R188" i="6" l="1"/>
  <c r="R186" i="6"/>
  <c r="R245" i="6"/>
  <c r="U184" i="6"/>
  <c r="V184" i="6"/>
  <c r="X184" i="6"/>
  <c r="T184" i="6"/>
  <c r="W184" i="6"/>
  <c r="S184" i="6"/>
  <c r="X246" i="6"/>
  <c r="M143" i="5"/>
  <c r="X244" i="6" l="1"/>
  <c r="K110" i="5"/>
  <c r="G110" i="5" s="1"/>
  <c r="H59" i="5"/>
  <c r="I59" i="5"/>
  <c r="J59" i="5"/>
  <c r="G409" i="5"/>
  <c r="H410" i="5"/>
  <c r="I410" i="5"/>
  <c r="J410" i="5"/>
  <c r="K410" i="5"/>
  <c r="G380" i="5"/>
  <c r="G376" i="5" s="1"/>
  <c r="G379" i="5"/>
  <c r="G377" i="5"/>
  <c r="H364" i="5"/>
  <c r="I364" i="5"/>
  <c r="J364" i="5"/>
  <c r="K364" i="5"/>
  <c r="G371" i="5"/>
  <c r="G372" i="5"/>
  <c r="K370" i="5"/>
  <c r="G370" i="5" s="1"/>
  <c r="H184" i="5"/>
  <c r="H182" i="5" s="1"/>
  <c r="I184" i="5"/>
  <c r="I182" i="5" s="1"/>
  <c r="J184" i="5"/>
  <c r="J182" i="5" s="1"/>
  <c r="K184" i="5"/>
  <c r="K182" i="5" s="1"/>
  <c r="H195" i="5"/>
  <c r="I195" i="5"/>
  <c r="J195" i="5"/>
  <c r="K195" i="5"/>
  <c r="G197" i="5"/>
  <c r="G195" i="5" s="1"/>
  <c r="G173" i="5"/>
  <c r="P194" i="5" l="1"/>
  <c r="K194" i="5" s="1"/>
  <c r="R13" i="5" s="1"/>
  <c r="AA194" i="5"/>
  <c r="X237" i="6"/>
  <c r="G378" i="5"/>
  <c r="K181" i="5" l="1"/>
  <c r="G194" i="5"/>
  <c r="G181" i="5" s="1"/>
  <c r="U13" i="5"/>
  <c r="L181" i="5"/>
  <c r="G128" i="5"/>
  <c r="K75" i="5"/>
  <c r="G77" i="5"/>
  <c r="AA75" i="5" l="1"/>
  <c r="K59" i="5" s="1"/>
  <c r="G75" i="5"/>
  <c r="G74" i="5"/>
  <c r="X668" i="6"/>
  <c r="X655" i="6"/>
  <c r="X651" i="6" s="1"/>
  <c r="W655" i="6"/>
  <c r="X592" i="6"/>
  <c r="W668" i="6"/>
  <c r="R655" i="6"/>
  <c r="V653" i="6"/>
  <c r="V655" i="6" s="1"/>
  <c r="V648" i="6"/>
  <c r="V644" i="6"/>
  <c r="V640" i="6"/>
  <c r="V633" i="6"/>
  <c r="V631" i="6"/>
  <c r="V629" i="6"/>
  <c r="V627" i="6"/>
  <c r="V625" i="6"/>
  <c r="V623" i="6"/>
  <c r="V621" i="6"/>
  <c r="V619" i="6"/>
  <c r="V617" i="6"/>
  <c r="V615" i="6"/>
  <c r="V613" i="6"/>
  <c r="V611" i="6"/>
  <c r="V609" i="6"/>
  <c r="V605" i="6"/>
  <c r="V603" i="6"/>
  <c r="V601" i="6"/>
  <c r="V599" i="6"/>
  <c r="V597" i="6"/>
  <c r="V595" i="6"/>
  <c r="V593" i="6"/>
  <c r="V594" i="6" s="1"/>
  <c r="V591" i="6"/>
  <c r="V592" i="6" s="1"/>
  <c r="V589" i="6"/>
  <c r="V590" i="6" s="1"/>
  <c r="V587" i="6"/>
  <c r="V588" i="6" s="1"/>
  <c r="V585" i="6"/>
  <c r="V586" i="6" s="1"/>
  <c r="V583" i="6"/>
  <c r="V584" i="6" s="1"/>
  <c r="V581" i="6"/>
  <c r="V582" i="6" s="1"/>
  <c r="V580" i="6"/>
  <c r="V577" i="6"/>
  <c r="V578" i="6" s="1"/>
  <c r="V575" i="6"/>
  <c r="V576" i="6" l="1"/>
  <c r="S485" i="6"/>
  <c r="R485" i="6"/>
  <c r="S460" i="6"/>
  <c r="T460" i="6"/>
  <c r="U460" i="6"/>
  <c r="V460" i="6"/>
  <c r="H1068" i="5" l="1"/>
  <c r="I1068" i="5"/>
  <c r="J1068" i="5"/>
  <c r="K1068" i="5"/>
  <c r="H1069" i="5"/>
  <c r="I1069" i="5"/>
  <c r="J1069" i="5"/>
  <c r="K1069" i="5"/>
  <c r="G1072" i="5"/>
  <c r="G1073" i="5"/>
  <c r="G1038" i="5"/>
  <c r="G1040" i="5"/>
  <c r="G1041" i="5"/>
  <c r="G1034" i="5"/>
  <c r="K1035" i="5"/>
  <c r="G1036" i="5"/>
  <c r="G1037" i="5"/>
  <c r="G1035" i="5" l="1"/>
  <c r="K1027" i="5"/>
  <c r="G1028" i="5"/>
  <c r="G1029" i="5"/>
  <c r="G1026" i="5"/>
  <c r="G1012" i="5"/>
  <c r="G1010" i="5"/>
  <c r="G1013" i="5"/>
  <c r="G1002" i="5" l="1"/>
  <c r="G1027" i="5"/>
  <c r="G917" i="5"/>
  <c r="G909" i="5" s="1"/>
  <c r="M901" i="5"/>
  <c r="G898" i="5"/>
  <c r="G896" i="5"/>
  <c r="G899" i="5"/>
  <c r="G895" i="5" s="1"/>
  <c r="K897" i="5"/>
  <c r="G897" i="5" s="1"/>
  <c r="H901" i="5"/>
  <c r="I901" i="5"/>
  <c r="J901" i="5"/>
  <c r="G866" i="5"/>
  <c r="G864" i="5" s="1"/>
  <c r="G867" i="5"/>
  <c r="G865" i="5" s="1"/>
  <c r="G766" i="5"/>
  <c r="H707" i="5"/>
  <c r="I707" i="5"/>
  <c r="J707" i="5"/>
  <c r="K707" i="5"/>
  <c r="M696" i="5"/>
  <c r="M697" i="5"/>
  <c r="H682" i="5"/>
  <c r="I682" i="5"/>
  <c r="J682" i="5"/>
  <c r="K682" i="5"/>
  <c r="L682" i="5"/>
  <c r="M682" i="5"/>
  <c r="H685" i="5"/>
  <c r="I685" i="5"/>
  <c r="J685" i="5"/>
  <c r="H556" i="5"/>
  <c r="I556" i="5"/>
  <c r="J556" i="5"/>
  <c r="H553" i="5"/>
  <c r="I553" i="5"/>
  <c r="J553" i="5"/>
  <c r="K553" i="5"/>
  <c r="G565" i="5"/>
  <c r="G514" i="5"/>
  <c r="G682" i="5" l="1"/>
  <c r="G892" i="5"/>
  <c r="G707" i="5"/>
  <c r="K705" i="5"/>
  <c r="G705" i="5" s="1"/>
  <c r="L374" i="5"/>
  <c r="L382" i="5"/>
  <c r="M138" i="5"/>
  <c r="M140" i="5"/>
  <c r="V246" i="6"/>
  <c r="V244" i="6" s="1"/>
  <c r="S207" i="6"/>
  <c r="T207" i="6"/>
  <c r="U207" i="6"/>
  <c r="R240" i="6"/>
  <c r="G381" i="5"/>
  <c r="K382" i="5"/>
  <c r="V237" i="6" l="1"/>
  <c r="G894" i="5"/>
  <c r="G893" i="5" s="1"/>
  <c r="M139" i="5"/>
  <c r="V207" i="6"/>
  <c r="R246" i="6"/>
  <c r="R244" i="6" s="1"/>
  <c r="G279" i="5" l="1"/>
  <c r="G270" i="5" s="1"/>
  <c r="G323" i="5" l="1"/>
  <c r="G321" i="5"/>
  <c r="K322" i="5"/>
  <c r="G322" i="5" s="1"/>
  <c r="G319" i="5"/>
  <c r="G317" i="5"/>
  <c r="K318" i="5"/>
  <c r="G318" i="5" s="1"/>
  <c r="G299" i="5"/>
  <c r="G298" i="5" s="1"/>
  <c r="G160" i="5"/>
  <c r="H140" i="5"/>
  <c r="I140" i="5"/>
  <c r="J140" i="5"/>
  <c r="K140" i="5"/>
  <c r="H138" i="5"/>
  <c r="I138" i="5"/>
  <c r="J138" i="5"/>
  <c r="K138" i="5"/>
  <c r="G144" i="5"/>
  <c r="G145" i="5"/>
  <c r="G142" i="5"/>
  <c r="K143" i="5"/>
  <c r="G143" i="5" s="1"/>
  <c r="M61" i="5"/>
  <c r="M68" i="5"/>
  <c r="H47" i="5"/>
  <c r="H46" i="5" s="1"/>
  <c r="I47" i="5"/>
  <c r="I46" i="5" s="1"/>
  <c r="J47" i="5"/>
  <c r="J46" i="5" s="1"/>
  <c r="K47" i="5"/>
  <c r="K46" i="5" s="1"/>
  <c r="G49" i="5"/>
  <c r="G51" i="5"/>
  <c r="G47" i="5" s="1"/>
  <c r="G46" i="5" s="1"/>
  <c r="H29" i="5"/>
  <c r="I29" i="5"/>
  <c r="J29" i="5"/>
  <c r="K29" i="5"/>
  <c r="H31" i="5"/>
  <c r="I31" i="5"/>
  <c r="J31" i="5"/>
  <c r="K31" i="5"/>
  <c r="H32" i="5"/>
  <c r="H18" i="5" s="1"/>
  <c r="I32" i="5"/>
  <c r="I18" i="5" s="1"/>
  <c r="J32" i="5"/>
  <c r="J18" i="5" s="1"/>
  <c r="U121" i="6" s="1"/>
  <c r="K32" i="5"/>
  <c r="K18" i="5" s="1"/>
  <c r="G31" i="5"/>
  <c r="G32" i="5"/>
  <c r="G18" i="5" s="1"/>
  <c r="H139" i="5" l="1"/>
  <c r="K139" i="5"/>
  <c r="J139" i="5"/>
  <c r="I139" i="5"/>
  <c r="I30" i="5"/>
  <c r="H30" i="5"/>
  <c r="J30" i="5"/>
  <c r="K30" i="5"/>
  <c r="G50" i="5"/>
  <c r="R193" i="6" l="1"/>
  <c r="R243" i="6" s="1"/>
  <c r="S200" i="6"/>
  <c r="U200" i="6"/>
  <c r="V201" i="6"/>
  <c r="V200" i="6" s="1"/>
  <c r="T201" i="6"/>
  <c r="T200" i="6" s="1"/>
  <c r="R238" i="6" l="1"/>
  <c r="R192" i="6"/>
  <c r="R185" i="6"/>
  <c r="R201" i="6"/>
  <c r="R200" i="6" s="1"/>
  <c r="R237" i="6" l="1"/>
  <c r="R184" i="6"/>
  <c r="W201" i="6"/>
  <c r="X201" i="6"/>
  <c r="W207" i="6"/>
  <c r="R207" i="6"/>
  <c r="S709" i="6" l="1"/>
  <c r="T709" i="6"/>
  <c r="U709" i="6"/>
  <c r="R709" i="6"/>
  <c r="V709" i="6" l="1"/>
  <c r="W650" i="6" l="1"/>
  <c r="W647" i="6" s="1"/>
  <c r="W642" i="6"/>
  <c r="W639" i="6" s="1"/>
  <c r="V606" i="6"/>
  <c r="R606" i="6"/>
  <c r="L1027" i="5"/>
  <c r="G1158" i="5"/>
  <c r="G1101" i="5"/>
  <c r="G642" i="5"/>
  <c r="G635" i="5" s="1"/>
  <c r="G626" i="5"/>
  <c r="G625" i="5"/>
  <c r="G617" i="5" s="1"/>
  <c r="G576" i="5"/>
  <c r="G564" i="5"/>
  <c r="G286" i="5"/>
  <c r="G285" i="5" s="1"/>
  <c r="K272" i="5"/>
  <c r="AA399" i="6"/>
  <c r="AA400" i="6" s="1"/>
  <c r="H744" i="5"/>
  <c r="I744" i="5"/>
  <c r="J744" i="5"/>
  <c r="K744" i="5"/>
  <c r="H1023" i="5"/>
  <c r="G1023" i="5" s="1"/>
  <c r="I1023" i="5"/>
  <c r="J1023" i="5"/>
  <c r="K1023" i="5"/>
  <c r="G752" i="5"/>
  <c r="U452" i="6"/>
  <c r="R588" i="6"/>
  <c r="R576" i="6"/>
  <c r="H507" i="5"/>
  <c r="I507" i="5"/>
  <c r="J507" i="5"/>
  <c r="G553" i="5"/>
  <c r="V630" i="6"/>
  <c r="S469" i="6"/>
  <c r="S468" i="6" s="1"/>
  <c r="T469" i="6"/>
  <c r="T468" i="6" s="1"/>
  <c r="U469" i="6"/>
  <c r="U468" i="6" s="1"/>
  <c r="V468" i="6"/>
  <c r="V476" i="6"/>
  <c r="R560" i="6"/>
  <c r="S560" i="6"/>
  <c r="G1099" i="5"/>
  <c r="G1039" i="5"/>
  <c r="G661" i="5"/>
  <c r="G645" i="5" s="1"/>
  <c r="L512" i="5"/>
  <c r="M298" i="5"/>
  <c r="L322" i="5"/>
  <c r="L154" i="5"/>
  <c r="L156" i="5"/>
  <c r="L155" i="5"/>
  <c r="K347" i="5"/>
  <c r="W402" i="6"/>
  <c r="X402" i="6"/>
  <c r="D401" i="6"/>
  <c r="E401" i="6"/>
  <c r="F401" i="6"/>
  <c r="G401" i="6"/>
  <c r="H401" i="6"/>
  <c r="I401" i="6"/>
  <c r="J401" i="6"/>
  <c r="K401" i="6"/>
  <c r="L401" i="6"/>
  <c r="M401" i="6"/>
  <c r="N401" i="6"/>
  <c r="O401" i="6"/>
  <c r="P401" i="6"/>
  <c r="Q401" i="6"/>
  <c r="C401" i="6"/>
  <c r="S508" i="6"/>
  <c r="R508" i="6"/>
  <c r="S444" i="6"/>
  <c r="R444" i="6"/>
  <c r="W524" i="6"/>
  <c r="W523" i="6" s="1"/>
  <c r="X524" i="6"/>
  <c r="X523" i="6" s="1"/>
  <c r="W502" i="6"/>
  <c r="W501" i="6" s="1"/>
  <c r="X502" i="6"/>
  <c r="X501" i="6" s="1"/>
  <c r="S501" i="6"/>
  <c r="T501" i="6"/>
  <c r="U501" i="6"/>
  <c r="W476" i="6"/>
  <c r="X476" i="6"/>
  <c r="L29" i="5"/>
  <c r="G357" i="5"/>
  <c r="G345" i="5" s="1"/>
  <c r="G284" i="5"/>
  <c r="G265" i="5" s="1"/>
  <c r="H19" i="5"/>
  <c r="I19" i="5"/>
  <c r="V650" i="6"/>
  <c r="V647" i="6" s="1"/>
  <c r="R650" i="6"/>
  <c r="V646" i="6"/>
  <c r="R646" i="6"/>
  <c r="R643" i="6" s="1"/>
  <c r="V642" i="6"/>
  <c r="V639" i="6" s="1"/>
  <c r="R642" i="6"/>
  <c r="V638" i="6"/>
  <c r="R638" i="6"/>
  <c r="V634" i="6"/>
  <c r="R634" i="6"/>
  <c r="V632" i="6"/>
  <c r="R632" i="6"/>
  <c r="V628" i="6"/>
  <c r="R628" i="6"/>
  <c r="V626" i="6"/>
  <c r="R626" i="6"/>
  <c r="V624" i="6"/>
  <c r="R624" i="6"/>
  <c r="V622" i="6"/>
  <c r="R622" i="6"/>
  <c r="V620" i="6"/>
  <c r="R620" i="6"/>
  <c r="V618" i="6"/>
  <c r="R618" i="6"/>
  <c r="V616" i="6"/>
  <c r="R616" i="6"/>
  <c r="V614" i="6"/>
  <c r="R614" i="6"/>
  <c r="V612" i="6"/>
  <c r="R612" i="6"/>
  <c r="V610" i="6"/>
  <c r="R610" i="6"/>
  <c r="S607" i="6"/>
  <c r="S569" i="6" s="1"/>
  <c r="R608" i="6"/>
  <c r="V604" i="6"/>
  <c r="R604" i="6"/>
  <c r="V602" i="6"/>
  <c r="R602" i="6"/>
  <c r="V600" i="6"/>
  <c r="R600" i="6"/>
  <c r="V598" i="6"/>
  <c r="R598" i="6"/>
  <c r="V596" i="6"/>
  <c r="R596" i="6"/>
  <c r="R594" i="6"/>
  <c r="R592" i="6"/>
  <c r="R590" i="6"/>
  <c r="R586" i="6"/>
  <c r="R578" i="6"/>
  <c r="G1100" i="5"/>
  <c r="H818" i="5"/>
  <c r="I818" i="5"/>
  <c r="J818" i="5"/>
  <c r="G1098" i="5"/>
  <c r="G1060" i="5"/>
  <c r="G1056" i="5" s="1"/>
  <c r="G1061" i="5"/>
  <c r="G1031" i="5"/>
  <c r="G1011" i="5"/>
  <c r="H775" i="5"/>
  <c r="I775" i="5"/>
  <c r="J775" i="5"/>
  <c r="H755" i="5"/>
  <c r="I755" i="5"/>
  <c r="J755" i="5"/>
  <c r="H754" i="5"/>
  <c r="I754" i="5"/>
  <c r="J754" i="5"/>
  <c r="G756" i="5"/>
  <c r="G754" i="5" s="1"/>
  <c r="G757" i="5"/>
  <c r="G755" i="5" s="1"/>
  <c r="G716" i="5"/>
  <c r="H633" i="5"/>
  <c r="I633" i="5"/>
  <c r="G590" i="5"/>
  <c r="H572" i="5"/>
  <c r="I572" i="5"/>
  <c r="H571" i="5"/>
  <c r="I571" i="5"/>
  <c r="J571" i="5"/>
  <c r="G573" i="5"/>
  <c r="G571" i="5" s="1"/>
  <c r="G543" i="5"/>
  <c r="G537" i="5" s="1"/>
  <c r="H523" i="5"/>
  <c r="I523" i="5"/>
  <c r="J523" i="5"/>
  <c r="H525" i="5"/>
  <c r="H524" i="5" s="1"/>
  <c r="I525" i="5"/>
  <c r="I524" i="5" s="1"/>
  <c r="G533" i="5"/>
  <c r="G523" i="5" s="1"/>
  <c r="H510" i="5"/>
  <c r="I510" i="5"/>
  <c r="T288" i="6" s="1"/>
  <c r="G369" i="5"/>
  <c r="H358" i="5"/>
  <c r="I358" i="5"/>
  <c r="J358" i="5"/>
  <c r="H61" i="5"/>
  <c r="I61" i="5"/>
  <c r="J61" i="5"/>
  <c r="H68" i="5"/>
  <c r="H60" i="5" s="1"/>
  <c r="I68" i="5"/>
  <c r="J68" i="5"/>
  <c r="K68" i="5"/>
  <c r="G69" i="5"/>
  <c r="G68" i="5" s="1"/>
  <c r="G359" i="5"/>
  <c r="G358" i="5" s="1"/>
  <c r="H704" i="5"/>
  <c r="I704" i="5"/>
  <c r="J704" i="5"/>
  <c r="H617" i="5"/>
  <c r="I617" i="5"/>
  <c r="J617" i="5"/>
  <c r="H345" i="5"/>
  <c r="I345" i="5"/>
  <c r="J345" i="5"/>
  <c r="K345" i="5"/>
  <c r="H265" i="5"/>
  <c r="I265" i="5"/>
  <c r="J265" i="5"/>
  <c r="K265" i="5"/>
  <c r="S570" i="6"/>
  <c r="T570" i="6"/>
  <c r="U570" i="6"/>
  <c r="V570" i="6"/>
  <c r="W570" i="6"/>
  <c r="X570" i="6"/>
  <c r="R570" i="6"/>
  <c r="S576" i="6"/>
  <c r="T576" i="6"/>
  <c r="U576" i="6"/>
  <c r="W576" i="6"/>
  <c r="X576" i="6"/>
  <c r="S578" i="6"/>
  <c r="T578" i="6"/>
  <c r="U578" i="6"/>
  <c r="W578" i="6"/>
  <c r="X578" i="6"/>
  <c r="S580" i="6"/>
  <c r="T580" i="6"/>
  <c r="U580" i="6"/>
  <c r="W580" i="6"/>
  <c r="X580" i="6"/>
  <c r="S582" i="6"/>
  <c r="T582" i="6"/>
  <c r="U582" i="6"/>
  <c r="W582" i="6"/>
  <c r="X582" i="6"/>
  <c r="R582" i="6"/>
  <c r="S584" i="6"/>
  <c r="T584" i="6"/>
  <c r="U584" i="6"/>
  <c r="W584" i="6"/>
  <c r="X584" i="6"/>
  <c r="R584" i="6"/>
  <c r="S586" i="6"/>
  <c r="T586" i="6"/>
  <c r="U586" i="6"/>
  <c r="W586" i="6"/>
  <c r="X586" i="6"/>
  <c r="S588" i="6"/>
  <c r="T588" i="6"/>
  <c r="U588" i="6"/>
  <c r="W588" i="6"/>
  <c r="X588" i="6"/>
  <c r="S590" i="6"/>
  <c r="T590" i="6"/>
  <c r="U590" i="6"/>
  <c r="W590" i="6"/>
  <c r="X590" i="6"/>
  <c r="S592" i="6"/>
  <c r="T592" i="6"/>
  <c r="U592" i="6"/>
  <c r="W592" i="6"/>
  <c r="S594" i="6"/>
  <c r="T594" i="6"/>
  <c r="U594" i="6"/>
  <c r="W594" i="6"/>
  <c r="X594" i="6"/>
  <c r="S596" i="6"/>
  <c r="T596" i="6"/>
  <c r="U596" i="6"/>
  <c r="W596" i="6"/>
  <c r="X596" i="6"/>
  <c r="S598" i="6"/>
  <c r="T598" i="6"/>
  <c r="U598" i="6"/>
  <c r="W598" i="6"/>
  <c r="X598" i="6"/>
  <c r="S600" i="6"/>
  <c r="T600" i="6"/>
  <c r="U600" i="6"/>
  <c r="W600" i="6"/>
  <c r="X600" i="6"/>
  <c r="S602" i="6"/>
  <c r="T602" i="6"/>
  <c r="U602" i="6"/>
  <c r="W602" i="6"/>
  <c r="X602" i="6"/>
  <c r="S604" i="6"/>
  <c r="T604" i="6"/>
  <c r="U604" i="6"/>
  <c r="W604" i="6"/>
  <c r="X604" i="6"/>
  <c r="S606" i="6"/>
  <c r="T606" i="6"/>
  <c r="U606" i="6"/>
  <c r="W606" i="6"/>
  <c r="X606" i="6"/>
  <c r="T608" i="6"/>
  <c r="U608" i="6"/>
  <c r="W608" i="6"/>
  <c r="X608" i="6"/>
  <c r="S610" i="6"/>
  <c r="T610" i="6"/>
  <c r="U610" i="6"/>
  <c r="W610" i="6"/>
  <c r="X610" i="6"/>
  <c r="S612" i="6"/>
  <c r="T612" i="6"/>
  <c r="U612" i="6"/>
  <c r="W612" i="6"/>
  <c r="X612" i="6"/>
  <c r="S614" i="6"/>
  <c r="T614" i="6"/>
  <c r="U614" i="6"/>
  <c r="W614" i="6"/>
  <c r="X614" i="6"/>
  <c r="S616" i="6"/>
  <c r="T616" i="6"/>
  <c r="U616" i="6"/>
  <c r="W616" i="6"/>
  <c r="X616" i="6"/>
  <c r="S618" i="6"/>
  <c r="T618" i="6"/>
  <c r="U618" i="6"/>
  <c r="W618" i="6"/>
  <c r="X618" i="6"/>
  <c r="S622" i="6"/>
  <c r="T622" i="6"/>
  <c r="U622" i="6"/>
  <c r="W622" i="6"/>
  <c r="X622" i="6"/>
  <c r="S620" i="6"/>
  <c r="T620" i="6"/>
  <c r="U620" i="6"/>
  <c r="W620" i="6"/>
  <c r="X620" i="6"/>
  <c r="S624" i="6"/>
  <c r="T624" i="6"/>
  <c r="U624" i="6"/>
  <c r="W624" i="6"/>
  <c r="S626" i="6"/>
  <c r="T626" i="6"/>
  <c r="U626" i="6"/>
  <c r="W626" i="6"/>
  <c r="X626" i="6"/>
  <c r="S628" i="6"/>
  <c r="T628" i="6"/>
  <c r="U628" i="6"/>
  <c r="W628" i="6"/>
  <c r="X628" i="6"/>
  <c r="S630" i="6"/>
  <c r="T630" i="6"/>
  <c r="U630" i="6"/>
  <c r="X630" i="6"/>
  <c r="R630" i="6"/>
  <c r="S632" i="6"/>
  <c r="T632" i="6"/>
  <c r="U632" i="6"/>
  <c r="W632" i="6"/>
  <c r="X632" i="6"/>
  <c r="S634" i="6"/>
  <c r="T634" i="6"/>
  <c r="U634" i="6"/>
  <c r="W634" i="6"/>
  <c r="X634" i="6"/>
  <c r="S638" i="6"/>
  <c r="S635" i="6" s="1"/>
  <c r="T638" i="6"/>
  <c r="T635" i="6" s="1"/>
  <c r="U638" i="6"/>
  <c r="U635" i="6" s="1"/>
  <c r="W638" i="6"/>
  <c r="W635" i="6" s="1"/>
  <c r="X638" i="6"/>
  <c r="X635" i="6" s="1"/>
  <c r="S642" i="6"/>
  <c r="S639" i="6" s="1"/>
  <c r="T642" i="6"/>
  <c r="T639" i="6" s="1"/>
  <c r="U642" i="6"/>
  <c r="U639" i="6" s="1"/>
  <c r="X642" i="6"/>
  <c r="X639" i="6" s="1"/>
  <c r="S646" i="6"/>
  <c r="S643" i="6" s="1"/>
  <c r="T646" i="6"/>
  <c r="T643" i="6" s="1"/>
  <c r="U646" i="6"/>
  <c r="U643" i="6" s="1"/>
  <c r="W646" i="6"/>
  <c r="W643" i="6" s="1"/>
  <c r="X646" i="6"/>
  <c r="X643" i="6" s="1"/>
  <c r="S650" i="6"/>
  <c r="S647" i="6" s="1"/>
  <c r="T650" i="6"/>
  <c r="T647" i="6" s="1"/>
  <c r="U650" i="6"/>
  <c r="U647" i="6" s="1"/>
  <c r="X650" i="6"/>
  <c r="X647" i="6" s="1"/>
  <c r="T655" i="6"/>
  <c r="T651" i="6" s="1"/>
  <c r="U655" i="6"/>
  <c r="U651" i="6" s="1"/>
  <c r="W651" i="6"/>
  <c r="S655" i="6"/>
  <c r="S651" i="6" s="1"/>
  <c r="J715" i="5"/>
  <c r="K657" i="5"/>
  <c r="G657" i="5" s="1"/>
  <c r="G655" i="5"/>
  <c r="H276" i="5"/>
  <c r="I276" i="5"/>
  <c r="K276" i="5"/>
  <c r="G560" i="5"/>
  <c r="G542" i="5"/>
  <c r="H285" i="5"/>
  <c r="I285" i="5"/>
  <c r="J285" i="5"/>
  <c r="K285" i="5"/>
  <c r="J276" i="5"/>
  <c r="H127" i="5"/>
  <c r="I127" i="5"/>
  <c r="J127" i="5"/>
  <c r="H50" i="5"/>
  <c r="S524" i="6"/>
  <c r="S523" i="6" s="1"/>
  <c r="X468" i="6"/>
  <c r="H1031" i="5"/>
  <c r="I1031" i="5"/>
  <c r="K1031" i="5"/>
  <c r="H1015" i="5"/>
  <c r="I1015" i="5"/>
  <c r="K1015" i="5"/>
  <c r="T315" i="6"/>
  <c r="R315" i="6" s="1"/>
  <c r="M553" i="5"/>
  <c r="K727" i="5"/>
  <c r="H646" i="5"/>
  <c r="I646" i="5"/>
  <c r="H636" i="5"/>
  <c r="I636" i="5"/>
  <c r="H619" i="5"/>
  <c r="H618" i="5" s="1"/>
  <c r="I619" i="5"/>
  <c r="I618" i="5" s="1"/>
  <c r="J619" i="5"/>
  <c r="J618" i="5" s="1"/>
  <c r="K572" i="5"/>
  <c r="H347" i="5"/>
  <c r="H346" i="5" s="1"/>
  <c r="I347" i="5"/>
  <c r="I346" i="5" s="1"/>
  <c r="J347" i="5"/>
  <c r="J346" i="5" s="1"/>
  <c r="M16" i="5"/>
  <c r="H272" i="5"/>
  <c r="I272" i="5"/>
  <c r="J272" i="5"/>
  <c r="L272" i="5"/>
  <c r="M272" i="5"/>
  <c r="K203" i="5"/>
  <c r="J203" i="5"/>
  <c r="I203" i="5"/>
  <c r="J202" i="5"/>
  <c r="I202" i="5"/>
  <c r="K201" i="5"/>
  <c r="G201" i="5"/>
  <c r="H151" i="5"/>
  <c r="I151" i="5"/>
  <c r="J151" i="5"/>
  <c r="K151" i="5"/>
  <c r="G151" i="5"/>
  <c r="G148" i="5" s="1"/>
  <c r="H112" i="5"/>
  <c r="H111" i="5" s="1"/>
  <c r="I112" i="5"/>
  <c r="I111" i="5" s="1"/>
  <c r="J112" i="5"/>
  <c r="J111" i="5" s="1"/>
  <c r="K112" i="5"/>
  <c r="K127" i="5"/>
  <c r="H62" i="5"/>
  <c r="I62" i="5"/>
  <c r="J62" i="5"/>
  <c r="K62" i="5"/>
  <c r="J96" i="5"/>
  <c r="J97" i="5"/>
  <c r="G1007" i="5"/>
  <c r="J1007" i="5"/>
  <c r="G1021" i="5"/>
  <c r="G1005" i="5" s="1"/>
  <c r="G911" i="5"/>
  <c r="G910" i="5" s="1"/>
  <c r="G855" i="5"/>
  <c r="G847" i="5" s="1"/>
  <c r="G765" i="5"/>
  <c r="G761" i="5" s="1"/>
  <c r="G681" i="5"/>
  <c r="G669" i="5" s="1"/>
  <c r="G667" i="5"/>
  <c r="G663" i="5" s="1"/>
  <c r="G602" i="5"/>
  <c r="G600" i="5" s="1"/>
  <c r="G588" i="5"/>
  <c r="G584" i="5" s="1"/>
  <c r="G582" i="5"/>
  <c r="G578" i="5" s="1"/>
  <c r="G570" i="5"/>
  <c r="G546" i="5"/>
  <c r="G513" i="5"/>
  <c r="G411" i="5"/>
  <c r="G410" i="5" s="1"/>
  <c r="G383" i="5"/>
  <c r="G384" i="5"/>
  <c r="G303" i="5"/>
  <c r="J302" i="5"/>
  <c r="G222" i="5"/>
  <c r="G221" i="5" s="1"/>
  <c r="I221" i="5"/>
  <c r="K174" i="5"/>
  <c r="K159" i="5"/>
  <c r="H269" i="5"/>
  <c r="I269" i="5"/>
  <c r="J269" i="5"/>
  <c r="K269" i="5"/>
  <c r="G269" i="5"/>
  <c r="H310" i="5"/>
  <c r="I310" i="5"/>
  <c r="J310" i="5"/>
  <c r="G311" i="5"/>
  <c r="G267" i="5" s="1"/>
  <c r="G266" i="5" s="1"/>
  <c r="K310" i="5"/>
  <c r="G210" i="5"/>
  <c r="G203" i="5" s="1"/>
  <c r="K209" i="5"/>
  <c r="K202" i="5" s="1"/>
  <c r="J124" i="5"/>
  <c r="G125" i="5"/>
  <c r="G124" i="5" s="1"/>
  <c r="R460" i="6"/>
  <c r="T668" i="6"/>
  <c r="U668" i="6"/>
  <c r="X571" i="6"/>
  <c r="X675" i="6" s="1"/>
  <c r="X708" i="6" s="1"/>
  <c r="AC272" i="6"/>
  <c r="S658" i="6"/>
  <c r="T658" i="6"/>
  <c r="U658" i="6"/>
  <c r="V658" i="6"/>
  <c r="T493" i="6"/>
  <c r="U493" i="6"/>
  <c r="S452" i="6"/>
  <c r="T452" i="6"/>
  <c r="V452" i="6"/>
  <c r="K50" i="5"/>
  <c r="J50" i="5"/>
  <c r="H1087" i="5"/>
  <c r="I1087" i="5"/>
  <c r="H1039" i="5"/>
  <c r="I1039" i="5"/>
  <c r="K1039" i="5"/>
  <c r="H1027" i="5"/>
  <c r="I1027" i="5"/>
  <c r="J1027" i="5"/>
  <c r="H1011" i="5"/>
  <c r="I1011" i="5"/>
  <c r="J1011" i="5"/>
  <c r="H962" i="5"/>
  <c r="I962" i="5"/>
  <c r="J962" i="5"/>
  <c r="K962" i="5"/>
  <c r="K771" i="5" s="1"/>
  <c r="H963" i="5"/>
  <c r="I963" i="5"/>
  <c r="J963" i="5"/>
  <c r="K963" i="5"/>
  <c r="H847" i="5"/>
  <c r="H774" i="5" s="1"/>
  <c r="I847" i="5"/>
  <c r="I774" i="5" s="1"/>
  <c r="J847" i="5"/>
  <c r="J774" i="5" s="1"/>
  <c r="K847" i="5"/>
  <c r="K774" i="5" s="1"/>
  <c r="H761" i="5"/>
  <c r="I761" i="5"/>
  <c r="J761" i="5"/>
  <c r="K761" i="5"/>
  <c r="H760" i="5"/>
  <c r="I760" i="5"/>
  <c r="J760" i="5"/>
  <c r="K760" i="5"/>
  <c r="H745" i="5"/>
  <c r="H449" i="5" s="1"/>
  <c r="H442" i="5" s="1"/>
  <c r="S51" i="6" s="1"/>
  <c r="I745" i="5"/>
  <c r="I449" i="5" s="1"/>
  <c r="I442" i="5" s="1"/>
  <c r="H708" i="5"/>
  <c r="I708" i="5"/>
  <c r="J708" i="5"/>
  <c r="K708" i="5"/>
  <c r="H669" i="5"/>
  <c r="I669" i="5"/>
  <c r="J669" i="5"/>
  <c r="K669" i="5"/>
  <c r="H663" i="5"/>
  <c r="I663" i="5"/>
  <c r="J663" i="5"/>
  <c r="K663" i="5"/>
  <c r="H608" i="5"/>
  <c r="I608" i="5"/>
  <c r="J608" i="5"/>
  <c r="H600" i="5"/>
  <c r="I600" i="5"/>
  <c r="J600" i="5"/>
  <c r="K600" i="5"/>
  <c r="H599" i="5"/>
  <c r="I599" i="5"/>
  <c r="J599" i="5"/>
  <c r="K599" i="5"/>
  <c r="H590" i="5"/>
  <c r="I590" i="5"/>
  <c r="J590" i="5"/>
  <c r="K590" i="5"/>
  <c r="H584" i="5"/>
  <c r="I584" i="5"/>
  <c r="J584" i="5"/>
  <c r="K584" i="5"/>
  <c r="H577" i="5"/>
  <c r="I577" i="5"/>
  <c r="H578" i="5"/>
  <c r="I578" i="5"/>
  <c r="J578" i="5"/>
  <c r="K578" i="5"/>
  <c r="S291" i="6"/>
  <c r="T291" i="6"/>
  <c r="H537" i="5"/>
  <c r="I537" i="5"/>
  <c r="J537" i="5"/>
  <c r="K537" i="5"/>
  <c r="H540" i="5"/>
  <c r="I540" i="5"/>
  <c r="K540" i="5"/>
  <c r="G507" i="5"/>
  <c r="H498" i="5"/>
  <c r="I498" i="5"/>
  <c r="H165" i="5"/>
  <c r="I165" i="5"/>
  <c r="J165" i="5"/>
  <c r="K165" i="5"/>
  <c r="H433" i="5"/>
  <c r="I433" i="5"/>
  <c r="J433" i="5"/>
  <c r="H397" i="5"/>
  <c r="I397" i="5"/>
  <c r="J397" i="5"/>
  <c r="K397" i="5"/>
  <c r="H399" i="5"/>
  <c r="H398" i="5" s="1"/>
  <c r="I399" i="5"/>
  <c r="I398" i="5" s="1"/>
  <c r="J399" i="5"/>
  <c r="J398" i="5" s="1"/>
  <c r="K399" i="5"/>
  <c r="K398" i="5" s="1"/>
  <c r="H373" i="5"/>
  <c r="I373" i="5"/>
  <c r="J373" i="5"/>
  <c r="H375" i="5"/>
  <c r="I375" i="5"/>
  <c r="J375" i="5"/>
  <c r="H361" i="5"/>
  <c r="I361" i="5"/>
  <c r="J361" i="5"/>
  <c r="K361" i="5"/>
  <c r="H363" i="5"/>
  <c r="I363" i="5"/>
  <c r="J363" i="5"/>
  <c r="I16" i="5"/>
  <c r="H212" i="5"/>
  <c r="I212" i="5"/>
  <c r="J212" i="5"/>
  <c r="H214" i="5"/>
  <c r="H213" i="5" s="1"/>
  <c r="I214" i="5"/>
  <c r="I213" i="5" s="1"/>
  <c r="J214" i="5"/>
  <c r="J213" i="5" s="1"/>
  <c r="H201" i="5"/>
  <c r="I201" i="5"/>
  <c r="J201" i="5"/>
  <c r="H202" i="5"/>
  <c r="H203" i="5"/>
  <c r="H167" i="5"/>
  <c r="I167" i="5"/>
  <c r="I166" i="5" s="1"/>
  <c r="K167" i="5"/>
  <c r="H154" i="5"/>
  <c r="I154" i="5"/>
  <c r="J154" i="5"/>
  <c r="H156" i="5"/>
  <c r="H155" i="5" s="1"/>
  <c r="I156" i="5"/>
  <c r="I155" i="5" s="1"/>
  <c r="J156" i="5"/>
  <c r="J155" i="5" s="1"/>
  <c r="K156" i="5"/>
  <c r="K155" i="5" s="1"/>
  <c r="H110" i="5"/>
  <c r="I110" i="5"/>
  <c r="J110" i="5"/>
  <c r="K433" i="5"/>
  <c r="M708" i="5"/>
  <c r="M1035" i="5"/>
  <c r="L1031" i="5"/>
  <c r="L1015" i="5"/>
  <c r="M289" i="5"/>
  <c r="L364" i="5"/>
  <c r="L215" i="5"/>
  <c r="L212" i="5"/>
  <c r="G156" i="5"/>
  <c r="G155" i="5" s="1"/>
  <c r="G159" i="5"/>
  <c r="P364" i="6"/>
  <c r="M1069" i="5"/>
  <c r="L1069" i="5"/>
  <c r="G1069" i="5"/>
  <c r="M1068" i="5"/>
  <c r="L1068" i="5"/>
  <c r="G1068" i="5"/>
  <c r="M361" i="6"/>
  <c r="M1039" i="5"/>
  <c r="M1027" i="5"/>
  <c r="M1023" i="5"/>
  <c r="L1023" i="5"/>
  <c r="M1011" i="5"/>
  <c r="M1007" i="5"/>
  <c r="L1007" i="5"/>
  <c r="O357" i="6"/>
  <c r="O333" i="6" s="1"/>
  <c r="O332" i="6" s="1"/>
  <c r="O331" i="6" s="1"/>
  <c r="M1003" i="5"/>
  <c r="G963" i="5"/>
  <c r="G962" i="5"/>
  <c r="N351" i="6"/>
  <c r="G881" i="5"/>
  <c r="N345" i="6"/>
  <c r="N333" i="6" s="1"/>
  <c r="N332" i="6" s="1"/>
  <c r="N331" i="6" s="1"/>
  <c r="M345" i="6"/>
  <c r="M333" i="6" s="1"/>
  <c r="M332" i="6" s="1"/>
  <c r="M331" i="6" s="1"/>
  <c r="L857" i="5"/>
  <c r="L847" i="5" s="1"/>
  <c r="M847" i="5"/>
  <c r="M846" i="5"/>
  <c r="L846" i="5"/>
  <c r="G846" i="5"/>
  <c r="L818" i="5"/>
  <c r="M781" i="5"/>
  <c r="M775" i="5" s="1"/>
  <c r="L781" i="5"/>
  <c r="L775" i="5" s="1"/>
  <c r="W74" i="6" s="1"/>
  <c r="G781" i="5"/>
  <c r="G779" i="5" s="1"/>
  <c r="M778" i="5"/>
  <c r="L778" i="5"/>
  <c r="G778" i="5"/>
  <c r="M761" i="5"/>
  <c r="L761" i="5"/>
  <c r="Q314" i="6"/>
  <c r="N314" i="6"/>
  <c r="M760" i="5"/>
  <c r="L760" i="5"/>
  <c r="M755" i="5"/>
  <c r="L755" i="5"/>
  <c r="M313" i="6"/>
  <c r="M754" i="5"/>
  <c r="L754" i="5"/>
  <c r="M312" i="6"/>
  <c r="M745" i="5"/>
  <c r="L745" i="5"/>
  <c r="M744" i="5"/>
  <c r="L744" i="5"/>
  <c r="M311" i="6"/>
  <c r="L737" i="5"/>
  <c r="G737" i="5"/>
  <c r="N311" i="6"/>
  <c r="L736" i="5"/>
  <c r="G736" i="5"/>
  <c r="M310" i="6"/>
  <c r="L727" i="5"/>
  <c r="M309" i="6"/>
  <c r="L709" i="5"/>
  <c r="G709" i="5"/>
  <c r="M704" i="5"/>
  <c r="L697" i="5"/>
  <c r="G697" i="5"/>
  <c r="P306" i="6"/>
  <c r="M306" i="6"/>
  <c r="L696" i="5"/>
  <c r="G696" i="5"/>
  <c r="M304" i="6"/>
  <c r="M669" i="5"/>
  <c r="L669" i="5"/>
  <c r="M668" i="5"/>
  <c r="L668" i="5"/>
  <c r="G668" i="5"/>
  <c r="M663" i="5"/>
  <c r="L663" i="5"/>
  <c r="M662" i="5"/>
  <c r="L662" i="5"/>
  <c r="G662" i="5"/>
  <c r="M644" i="5"/>
  <c r="L644" i="5"/>
  <c r="L640" i="5"/>
  <c r="M299" i="6"/>
  <c r="N299" i="6"/>
  <c r="M633" i="5"/>
  <c r="L633" i="5"/>
  <c r="L630" i="5"/>
  <c r="G630" i="5"/>
  <c r="M619" i="5"/>
  <c r="M618" i="5" s="1"/>
  <c r="M617" i="5"/>
  <c r="L617" i="5"/>
  <c r="N297" i="6"/>
  <c r="Q297" i="6"/>
  <c r="M297" i="6"/>
  <c r="M296" i="6"/>
  <c r="L600" i="5"/>
  <c r="L599" i="5"/>
  <c r="G599" i="5"/>
  <c r="M295" i="6"/>
  <c r="M590" i="5"/>
  <c r="L590" i="5"/>
  <c r="M589" i="5"/>
  <c r="L589" i="5"/>
  <c r="G589" i="5"/>
  <c r="M584" i="5"/>
  <c r="L584" i="5"/>
  <c r="M583" i="5"/>
  <c r="L583" i="5"/>
  <c r="G583" i="5"/>
  <c r="M578" i="5"/>
  <c r="L578" i="5"/>
  <c r="M577" i="5"/>
  <c r="L577" i="5"/>
  <c r="G577" i="5"/>
  <c r="M572" i="5"/>
  <c r="L572" i="5"/>
  <c r="M571" i="5"/>
  <c r="L571" i="5"/>
  <c r="M556" i="5"/>
  <c r="L556" i="5"/>
  <c r="L553" i="5"/>
  <c r="M540" i="5"/>
  <c r="L540" i="5"/>
  <c r="M537" i="5"/>
  <c r="L537" i="5"/>
  <c r="L528" i="5"/>
  <c r="G528" i="5"/>
  <c r="L526" i="5"/>
  <c r="G526" i="5"/>
  <c r="L525" i="5"/>
  <c r="L523" i="5"/>
  <c r="M510" i="5"/>
  <c r="M507" i="5"/>
  <c r="L507" i="5"/>
  <c r="M287" i="6"/>
  <c r="N287" i="6"/>
  <c r="M495" i="5"/>
  <c r="L495" i="5"/>
  <c r="L492" i="5"/>
  <c r="N490" i="5"/>
  <c r="M490" i="5"/>
  <c r="L490" i="5"/>
  <c r="G490" i="5"/>
  <c r="N489" i="5"/>
  <c r="M489" i="5"/>
  <c r="L489" i="5"/>
  <c r="G489" i="5"/>
  <c r="L480" i="5"/>
  <c r="G480" i="5"/>
  <c r="L479" i="5"/>
  <c r="G479" i="5"/>
  <c r="M472" i="5"/>
  <c r="L472" i="5"/>
  <c r="G472" i="5"/>
  <c r="N284" i="6"/>
  <c r="M471" i="5"/>
  <c r="L471" i="5"/>
  <c r="G471" i="5"/>
  <c r="M462" i="5"/>
  <c r="L462" i="5"/>
  <c r="G462" i="5"/>
  <c r="M461" i="5"/>
  <c r="L461" i="5"/>
  <c r="G461" i="5"/>
  <c r="L454" i="5"/>
  <c r="G454" i="5"/>
  <c r="L453" i="5"/>
  <c r="G453" i="5"/>
  <c r="M433" i="5"/>
  <c r="L433" i="5"/>
  <c r="L430" i="5"/>
  <c r="G430" i="5"/>
  <c r="L426" i="5"/>
  <c r="G426" i="5"/>
  <c r="L422" i="5"/>
  <c r="G422" i="5"/>
  <c r="L418" i="5"/>
  <c r="G418" i="5"/>
  <c r="L416" i="5"/>
  <c r="G416" i="5"/>
  <c r="L415" i="5"/>
  <c r="G415" i="5"/>
  <c r="L413" i="5"/>
  <c r="G413" i="5"/>
  <c r="M410" i="5"/>
  <c r="L410" i="5"/>
  <c r="L406" i="5"/>
  <c r="G406" i="5"/>
  <c r="L402" i="5"/>
  <c r="G402" i="5"/>
  <c r="M400" i="5"/>
  <c r="L400" i="5"/>
  <c r="G400" i="5"/>
  <c r="M399" i="5"/>
  <c r="L399" i="5"/>
  <c r="M397" i="5"/>
  <c r="L397" i="5"/>
  <c r="G397" i="5"/>
  <c r="L394" i="5"/>
  <c r="L390" i="5"/>
  <c r="L388" i="5"/>
  <c r="G388" i="5"/>
  <c r="G386" i="5" s="1"/>
  <c r="L387" i="5"/>
  <c r="L385" i="5"/>
  <c r="G385" i="5"/>
  <c r="M370" i="5"/>
  <c r="L370" i="5"/>
  <c r="L366" i="5"/>
  <c r="G366" i="5"/>
  <c r="M364" i="5"/>
  <c r="G364" i="5"/>
  <c r="M363" i="5"/>
  <c r="L363" i="5"/>
  <c r="M361" i="5"/>
  <c r="L361" i="5"/>
  <c r="L358" i="5"/>
  <c r="L354" i="5"/>
  <c r="G354" i="5"/>
  <c r="L350" i="5"/>
  <c r="G350" i="5"/>
  <c r="M348" i="5"/>
  <c r="L348" i="5"/>
  <c r="G348" i="5"/>
  <c r="M347" i="5"/>
  <c r="L347" i="5"/>
  <c r="M345" i="5"/>
  <c r="L345" i="5"/>
  <c r="M342" i="5"/>
  <c r="L342" i="5"/>
  <c r="G342" i="5"/>
  <c r="M340" i="5"/>
  <c r="M338" i="5" s="1"/>
  <c r="L340" i="5"/>
  <c r="L338" i="5" s="1"/>
  <c r="G340" i="5"/>
  <c r="G338" i="5" s="1"/>
  <c r="M337" i="5"/>
  <c r="L337" i="5"/>
  <c r="G337" i="5"/>
  <c r="L334" i="5"/>
  <c r="G334" i="5"/>
  <c r="L330" i="5"/>
  <c r="L328" i="5"/>
  <c r="L326" i="5" s="1"/>
  <c r="G328" i="5"/>
  <c r="G326" i="5" s="1"/>
  <c r="L325" i="5"/>
  <c r="G325" i="5"/>
  <c r="M322" i="5"/>
  <c r="M318" i="5"/>
  <c r="M314" i="5"/>
  <c r="L314" i="5"/>
  <c r="G314" i="5"/>
  <c r="L310" i="5"/>
  <c r="M306" i="5"/>
  <c r="L306" i="5"/>
  <c r="G306" i="5"/>
  <c r="L302" i="5"/>
  <c r="L293" i="5"/>
  <c r="L289" i="5"/>
  <c r="G289" i="5"/>
  <c r="L285" i="5"/>
  <c r="L281" i="5"/>
  <c r="G281" i="5"/>
  <c r="L276" i="5"/>
  <c r="M276" i="5"/>
  <c r="L268" i="5"/>
  <c r="G268" i="5"/>
  <c r="M259" i="5"/>
  <c r="L259" i="5"/>
  <c r="G262" i="5"/>
  <c r="L260" i="5"/>
  <c r="G260" i="5"/>
  <c r="G259" i="5"/>
  <c r="M257" i="5"/>
  <c r="L257" i="5"/>
  <c r="G257" i="5"/>
  <c r="G250" i="5"/>
  <c r="G248" i="5"/>
  <c r="G246" i="5" s="1"/>
  <c r="L245" i="5"/>
  <c r="G245" i="5"/>
  <c r="L243" i="5"/>
  <c r="G243" i="5"/>
  <c r="L239" i="5"/>
  <c r="G239" i="5"/>
  <c r="L237" i="5"/>
  <c r="G237" i="5"/>
  <c r="L236" i="5"/>
  <c r="G236" i="5"/>
  <c r="L234" i="5"/>
  <c r="G234" i="5"/>
  <c r="L228" i="5"/>
  <c r="G228" i="5"/>
  <c r="L225" i="5"/>
  <c r="G225" i="5"/>
  <c r="L221" i="5"/>
  <c r="L217" i="5"/>
  <c r="G217" i="5"/>
  <c r="G215" i="5"/>
  <c r="L214" i="5"/>
  <c r="G212" i="5"/>
  <c r="L209" i="5"/>
  <c r="L202" i="5" s="1"/>
  <c r="M206" i="5"/>
  <c r="M202" i="5" s="1"/>
  <c r="L204" i="5"/>
  <c r="G204" i="5"/>
  <c r="L203" i="5"/>
  <c r="M201" i="5"/>
  <c r="M11" i="5" s="1"/>
  <c r="L201" i="5"/>
  <c r="L199" i="5"/>
  <c r="M195" i="5"/>
  <c r="L192" i="5"/>
  <c r="L189" i="5"/>
  <c r="G189" i="5"/>
  <c r="L186" i="5"/>
  <c r="G186" i="5"/>
  <c r="M184" i="5"/>
  <c r="L182" i="5"/>
  <c r="G184" i="5"/>
  <c r="L174" i="5"/>
  <c r="L170" i="5"/>
  <c r="G170" i="5"/>
  <c r="L168" i="5"/>
  <c r="G168" i="5"/>
  <c r="L165" i="5"/>
  <c r="G165" i="5"/>
  <c r="L163" i="5"/>
  <c r="G163" i="5"/>
  <c r="L151" i="5"/>
  <c r="L149" i="5"/>
  <c r="G149" i="5"/>
  <c r="M148" i="5"/>
  <c r="L148" i="5"/>
  <c r="M146" i="5"/>
  <c r="L146" i="5"/>
  <c r="G146" i="5"/>
  <c r="L143" i="5"/>
  <c r="L141" i="5"/>
  <c r="L139" i="5" s="1"/>
  <c r="G141" i="5"/>
  <c r="G140" i="5"/>
  <c r="G138" i="5"/>
  <c r="L135" i="5"/>
  <c r="G135" i="5"/>
  <c r="L131" i="5"/>
  <c r="G131" i="5"/>
  <c r="G127" i="5"/>
  <c r="M123" i="5"/>
  <c r="M110" i="5" s="1"/>
  <c r="L121" i="5"/>
  <c r="G119" i="5"/>
  <c r="F119" i="5"/>
  <c r="E119" i="5"/>
  <c r="D119" i="5"/>
  <c r="C119" i="5"/>
  <c r="B119" i="5"/>
  <c r="L118" i="5"/>
  <c r="F118" i="5"/>
  <c r="E118" i="5"/>
  <c r="D118" i="5"/>
  <c r="C118" i="5"/>
  <c r="B118" i="5"/>
  <c r="O117" i="5"/>
  <c r="L117" i="5"/>
  <c r="G117" i="5"/>
  <c r="F117" i="5"/>
  <c r="E117" i="5"/>
  <c r="D117" i="5"/>
  <c r="C117" i="5"/>
  <c r="B117" i="5"/>
  <c r="L115" i="5"/>
  <c r="G115" i="5"/>
  <c r="G118" i="5" s="1"/>
  <c r="M113" i="5"/>
  <c r="L113" i="5"/>
  <c r="G113" i="5"/>
  <c r="M112" i="5"/>
  <c r="G103" i="5"/>
  <c r="G99" i="5"/>
  <c r="L97" i="5"/>
  <c r="G97" i="5"/>
  <c r="L96" i="5"/>
  <c r="G96" i="5"/>
  <c r="L94" i="5"/>
  <c r="G94" i="5"/>
  <c r="M87" i="5"/>
  <c r="L87" i="5"/>
  <c r="M83" i="5"/>
  <c r="M79" i="5"/>
  <c r="L75" i="5"/>
  <c r="X68" i="5"/>
  <c r="M62" i="5"/>
  <c r="L62" i="5"/>
  <c r="W246" i="6" s="1"/>
  <c r="W244" i="6" s="1"/>
  <c r="G62" i="5"/>
  <c r="M59" i="5"/>
  <c r="L59" i="5"/>
  <c r="G59" i="5"/>
  <c r="G54" i="5"/>
  <c r="G53" i="5"/>
  <c r="M50" i="5"/>
  <c r="L50" i="5"/>
  <c r="M47" i="5"/>
  <c r="G45" i="5"/>
  <c r="M34" i="5"/>
  <c r="M32" i="5"/>
  <c r="G30" i="5"/>
  <c r="M31" i="5"/>
  <c r="M29" i="5"/>
  <c r="G29" i="5"/>
  <c r="P310" i="6"/>
  <c r="P304" i="6"/>
  <c r="L262" i="5"/>
  <c r="M262" i="5"/>
  <c r="N309" i="6"/>
  <c r="M314" i="6"/>
  <c r="O85" i="13"/>
  <c r="P84" i="13"/>
  <c r="D85" i="13"/>
  <c r="D94" i="13" s="1"/>
  <c r="J84" i="13"/>
  <c r="H89" i="13"/>
  <c r="J83" i="13"/>
  <c r="I82" i="13"/>
  <c r="H82" i="13"/>
  <c r="H88" i="13"/>
  <c r="J88" i="13" s="1"/>
  <c r="G82" i="13"/>
  <c r="F82" i="13"/>
  <c r="E82" i="13"/>
  <c r="D79" i="13"/>
  <c r="J78" i="13"/>
  <c r="J77" i="13"/>
  <c r="I72" i="13"/>
  <c r="H72" i="13"/>
  <c r="G72" i="13"/>
  <c r="F72" i="13"/>
  <c r="E72" i="13"/>
  <c r="J68" i="13"/>
  <c r="I65" i="13"/>
  <c r="I67" i="13" s="1"/>
  <c r="H65" i="13"/>
  <c r="H67" i="13"/>
  <c r="G65" i="13"/>
  <c r="G67" i="13" s="1"/>
  <c r="F65" i="13"/>
  <c r="E65" i="13"/>
  <c r="J65" i="13" s="1"/>
  <c r="K65" i="13" s="1"/>
  <c r="E66" i="13" s="1"/>
  <c r="J66" i="13" s="1"/>
  <c r="C63" i="13"/>
  <c r="H63" i="13" s="1"/>
  <c r="I62" i="13"/>
  <c r="H62" i="13"/>
  <c r="H64" i="13" s="1"/>
  <c r="H69" i="13" s="1"/>
  <c r="G62" i="13"/>
  <c r="G93" i="13" s="1"/>
  <c r="H93" i="13" s="1"/>
  <c r="I93" i="13" s="1"/>
  <c r="I94" i="13" s="1"/>
  <c r="F62" i="13"/>
  <c r="E62" i="13"/>
  <c r="E64" i="13" s="1"/>
  <c r="D62" i="13"/>
  <c r="J56" i="13"/>
  <c r="I56" i="13"/>
  <c r="H56" i="13"/>
  <c r="G56" i="13"/>
  <c r="F56" i="13"/>
  <c r="E56" i="13"/>
  <c r="D56" i="13"/>
  <c r="C56" i="13"/>
  <c r="B56" i="13"/>
  <c r="K56" i="13" s="1"/>
  <c r="J55" i="13"/>
  <c r="I55" i="13"/>
  <c r="H55" i="13"/>
  <c r="G55" i="13"/>
  <c r="F55" i="13"/>
  <c r="E55" i="13"/>
  <c r="D55" i="13"/>
  <c r="C55" i="13"/>
  <c r="B55" i="13"/>
  <c r="K55" i="13" s="1"/>
  <c r="K53" i="13"/>
  <c r="C52" i="13"/>
  <c r="B52" i="13"/>
  <c r="J51" i="13"/>
  <c r="I51" i="13"/>
  <c r="H51" i="13"/>
  <c r="G51" i="13"/>
  <c r="F51" i="13"/>
  <c r="E51" i="13"/>
  <c r="D51" i="13"/>
  <c r="C51" i="13"/>
  <c r="B51" i="13"/>
  <c r="E49" i="13"/>
  <c r="D49" i="13"/>
  <c r="C49" i="13"/>
  <c r="B49" i="13"/>
  <c r="J47" i="13"/>
  <c r="I47" i="13"/>
  <c r="H47" i="13"/>
  <c r="G47" i="13"/>
  <c r="F47" i="13"/>
  <c r="E47" i="13"/>
  <c r="D47" i="13"/>
  <c r="C47" i="13"/>
  <c r="B47" i="13"/>
  <c r="J46" i="13"/>
  <c r="I46" i="13"/>
  <c r="H46" i="13"/>
  <c r="G46" i="13"/>
  <c r="F46" i="13"/>
  <c r="E46" i="13"/>
  <c r="D46" i="13"/>
  <c r="C46" i="13"/>
  <c r="B46" i="13"/>
  <c r="J45" i="13"/>
  <c r="I45" i="13"/>
  <c r="H45" i="13"/>
  <c r="G45" i="13"/>
  <c r="F45" i="13"/>
  <c r="E45" i="13"/>
  <c r="D45" i="13"/>
  <c r="C45" i="13"/>
  <c r="B45" i="13"/>
  <c r="J44" i="13"/>
  <c r="I44" i="13"/>
  <c r="H44" i="13"/>
  <c r="G44" i="13"/>
  <c r="F44" i="13"/>
  <c r="E44" i="13"/>
  <c r="D44" i="13"/>
  <c r="C44" i="13"/>
  <c r="B44" i="13"/>
  <c r="J43" i="13"/>
  <c r="I43" i="13"/>
  <c r="H43" i="13"/>
  <c r="G43" i="13"/>
  <c r="F43" i="13"/>
  <c r="E43" i="13"/>
  <c r="D43" i="13"/>
  <c r="C43" i="13"/>
  <c r="B43" i="13"/>
  <c r="J42" i="13"/>
  <c r="I42" i="13"/>
  <c r="H42" i="13"/>
  <c r="G42" i="13"/>
  <c r="F42" i="13"/>
  <c r="E42" i="13"/>
  <c r="D42" i="13"/>
  <c r="C42" i="13"/>
  <c r="B42" i="13"/>
  <c r="J41" i="13"/>
  <c r="I41" i="13"/>
  <c r="H41" i="13"/>
  <c r="G41" i="13"/>
  <c r="F41" i="13"/>
  <c r="E41" i="13"/>
  <c r="D41" i="13"/>
  <c r="C41" i="13"/>
  <c r="B41" i="13"/>
  <c r="J40" i="13"/>
  <c r="I40" i="13"/>
  <c r="H40" i="13"/>
  <c r="G40" i="13"/>
  <c r="F40" i="13"/>
  <c r="E40" i="13"/>
  <c r="D40" i="13"/>
  <c r="C40" i="13"/>
  <c r="B40" i="13"/>
  <c r="J39" i="13"/>
  <c r="I39" i="13"/>
  <c r="H39" i="13"/>
  <c r="G39" i="13"/>
  <c r="F39" i="13"/>
  <c r="E39" i="13"/>
  <c r="D39" i="13"/>
  <c r="C39" i="13"/>
  <c r="B39" i="13"/>
  <c r="J38" i="13"/>
  <c r="I38" i="13"/>
  <c r="H38" i="13"/>
  <c r="G38" i="13"/>
  <c r="F38" i="13"/>
  <c r="E38" i="13"/>
  <c r="D38" i="13"/>
  <c r="C38" i="13"/>
  <c r="B38" i="13"/>
  <c r="J37" i="13"/>
  <c r="I37" i="13"/>
  <c r="H37" i="13"/>
  <c r="G37" i="13"/>
  <c r="F37" i="13"/>
  <c r="E37" i="13"/>
  <c r="D37" i="13"/>
  <c r="C37" i="13"/>
  <c r="B37" i="13"/>
  <c r="J36" i="13"/>
  <c r="I36" i="13"/>
  <c r="H36" i="13"/>
  <c r="G36" i="13"/>
  <c r="F36" i="13"/>
  <c r="E36" i="13"/>
  <c r="D36" i="13"/>
  <c r="C36" i="13"/>
  <c r="B36" i="13"/>
  <c r="D35" i="13"/>
  <c r="C35" i="13"/>
  <c r="J34" i="13"/>
  <c r="I34" i="13"/>
  <c r="H34" i="13"/>
  <c r="G34" i="13"/>
  <c r="F34" i="13"/>
  <c r="E34" i="13"/>
  <c r="D34" i="13"/>
  <c r="C34" i="13"/>
  <c r="B34" i="13"/>
  <c r="J33" i="13"/>
  <c r="I33" i="13"/>
  <c r="H33" i="13"/>
  <c r="G33" i="13"/>
  <c r="F33" i="13"/>
  <c r="E33" i="13"/>
  <c r="D33" i="13"/>
  <c r="C33" i="13"/>
  <c r="B33" i="13"/>
  <c r="J32" i="13"/>
  <c r="I32" i="13"/>
  <c r="H32" i="13"/>
  <c r="G32" i="13"/>
  <c r="F32" i="13"/>
  <c r="E32" i="13"/>
  <c r="D32" i="13"/>
  <c r="C32" i="13"/>
  <c r="B32" i="13"/>
  <c r="J31" i="13"/>
  <c r="I31" i="13"/>
  <c r="H31" i="13"/>
  <c r="G31" i="13"/>
  <c r="F31" i="13"/>
  <c r="E31" i="13"/>
  <c r="D31" i="13"/>
  <c r="C31" i="13"/>
  <c r="B31" i="13"/>
  <c r="J30" i="13"/>
  <c r="D30" i="13"/>
  <c r="C30" i="13"/>
  <c r="J29" i="13"/>
  <c r="I29" i="13"/>
  <c r="H29" i="13"/>
  <c r="G29" i="13"/>
  <c r="F29" i="13"/>
  <c r="E29" i="13"/>
  <c r="D29" i="13"/>
  <c r="C29" i="13"/>
  <c r="B29" i="13"/>
  <c r="J28" i="13"/>
  <c r="I28" i="13"/>
  <c r="H28" i="13"/>
  <c r="G28" i="13"/>
  <c r="F28" i="13"/>
  <c r="E28" i="13"/>
  <c r="D28" i="13"/>
  <c r="C28" i="13"/>
  <c r="B28" i="13"/>
  <c r="J27" i="13"/>
  <c r="I27" i="13"/>
  <c r="H27" i="13"/>
  <c r="G27" i="13"/>
  <c r="F27" i="13"/>
  <c r="E27" i="13"/>
  <c r="D27" i="13"/>
  <c r="C27" i="13"/>
  <c r="B27" i="13"/>
  <c r="J26" i="13"/>
  <c r="I26" i="13"/>
  <c r="H26" i="13"/>
  <c r="G26" i="13"/>
  <c r="F26" i="13"/>
  <c r="E26" i="13"/>
  <c r="D26" i="13"/>
  <c r="C26" i="13"/>
  <c r="B26" i="13"/>
  <c r="J24" i="13"/>
  <c r="I24" i="13"/>
  <c r="H24" i="13"/>
  <c r="G24" i="13"/>
  <c r="F24" i="13"/>
  <c r="E24" i="13"/>
  <c r="D24" i="13"/>
  <c r="C24" i="13"/>
  <c r="B24" i="13"/>
  <c r="J23" i="13"/>
  <c r="I23" i="13"/>
  <c r="H23" i="13"/>
  <c r="G23" i="13"/>
  <c r="F23" i="13"/>
  <c r="E23" i="13"/>
  <c r="D23" i="13"/>
  <c r="C23" i="13"/>
  <c r="B23" i="13"/>
  <c r="J22" i="13"/>
  <c r="I22" i="13"/>
  <c r="H22" i="13"/>
  <c r="G22" i="13"/>
  <c r="F22" i="13"/>
  <c r="E22" i="13"/>
  <c r="D22" i="13"/>
  <c r="C22" i="13"/>
  <c r="B22" i="13"/>
  <c r="J21" i="13"/>
  <c r="I21" i="13"/>
  <c r="H21" i="13"/>
  <c r="G21" i="13"/>
  <c r="F21" i="13"/>
  <c r="E21" i="13"/>
  <c r="D21" i="13"/>
  <c r="C21" i="13"/>
  <c r="B21" i="13"/>
  <c r="J20" i="13"/>
  <c r="I20" i="13"/>
  <c r="H20" i="13"/>
  <c r="G20" i="13"/>
  <c r="F20" i="13"/>
  <c r="E20" i="13"/>
  <c r="D20" i="13"/>
  <c r="C20" i="13"/>
  <c r="B20" i="13"/>
  <c r="J19" i="13"/>
  <c r="I19" i="13"/>
  <c r="H19" i="13"/>
  <c r="G19" i="13"/>
  <c r="F19" i="13"/>
  <c r="E19" i="13"/>
  <c r="D19" i="13"/>
  <c r="C19" i="13"/>
  <c r="B19" i="13"/>
  <c r="J18" i="13"/>
  <c r="I18" i="13"/>
  <c r="H18" i="13"/>
  <c r="G18" i="13"/>
  <c r="F18" i="13"/>
  <c r="E18" i="13"/>
  <c r="D18" i="13"/>
  <c r="C18" i="13"/>
  <c r="B18" i="13"/>
  <c r="J17" i="13"/>
  <c r="I17" i="13"/>
  <c r="H17" i="13"/>
  <c r="G17" i="13"/>
  <c r="F17" i="13"/>
  <c r="E17" i="13"/>
  <c r="D17" i="13"/>
  <c r="C17" i="13"/>
  <c r="B17" i="13"/>
  <c r="J16" i="13"/>
  <c r="I16" i="13"/>
  <c r="H16" i="13"/>
  <c r="G16" i="13"/>
  <c r="F16" i="13"/>
  <c r="E16" i="13"/>
  <c r="D16" i="13"/>
  <c r="C16" i="13"/>
  <c r="B16" i="13"/>
  <c r="J15" i="13"/>
  <c r="I15" i="13"/>
  <c r="H15" i="13"/>
  <c r="G15" i="13"/>
  <c r="F15" i="13"/>
  <c r="E15" i="13"/>
  <c r="D15" i="13"/>
  <c r="C15" i="13"/>
  <c r="B15" i="13"/>
  <c r="J13" i="13"/>
  <c r="I13" i="13"/>
  <c r="H13" i="13"/>
  <c r="G13" i="13"/>
  <c r="F13" i="13"/>
  <c r="E13" i="13"/>
  <c r="D13" i="13"/>
  <c r="C13" i="13"/>
  <c r="B13" i="13"/>
  <c r="J12" i="13"/>
  <c r="I12" i="13"/>
  <c r="H12" i="13"/>
  <c r="G12" i="13"/>
  <c r="F12" i="13"/>
  <c r="E12" i="13"/>
  <c r="D12" i="13"/>
  <c r="C12" i="13"/>
  <c r="B12" i="13"/>
  <c r="J11" i="13"/>
  <c r="I11" i="13"/>
  <c r="H11" i="13"/>
  <c r="G11" i="13"/>
  <c r="F11" i="13"/>
  <c r="E11" i="13"/>
  <c r="D11" i="13"/>
  <c r="C11" i="13"/>
  <c r="B11" i="13"/>
  <c r="J10" i="13"/>
  <c r="I10" i="13"/>
  <c r="H10" i="13"/>
  <c r="G10" i="13"/>
  <c r="F10" i="13"/>
  <c r="E10" i="13"/>
  <c r="D10" i="13"/>
  <c r="C10" i="13"/>
  <c r="B10" i="13"/>
  <c r="D9" i="13"/>
  <c r="C9" i="13"/>
  <c r="B9" i="13"/>
  <c r="J8" i="13"/>
  <c r="I8" i="13"/>
  <c r="H8" i="13"/>
  <c r="G8" i="13"/>
  <c r="F8" i="13"/>
  <c r="E8" i="13"/>
  <c r="D8" i="13"/>
  <c r="C8" i="13"/>
  <c r="B8" i="13"/>
  <c r="J7" i="13"/>
  <c r="I7" i="13"/>
  <c r="H7" i="13"/>
  <c r="G7" i="13"/>
  <c r="F7" i="13"/>
  <c r="E7" i="13"/>
  <c r="D7" i="13"/>
  <c r="C7" i="13"/>
  <c r="B7" i="13"/>
  <c r="J6" i="13"/>
  <c r="I6" i="13"/>
  <c r="H6" i="13"/>
  <c r="G6" i="13"/>
  <c r="F6" i="13"/>
  <c r="E6" i="13"/>
  <c r="D6" i="13"/>
  <c r="C6" i="13"/>
  <c r="B6" i="13"/>
  <c r="J5" i="13"/>
  <c r="I5" i="13"/>
  <c r="H5" i="13"/>
  <c r="G5" i="13"/>
  <c r="F5" i="13"/>
  <c r="E5" i="13"/>
  <c r="D5" i="13"/>
  <c r="C5" i="13"/>
  <c r="B5" i="13"/>
  <c r="P83" i="13"/>
  <c r="E88" i="13"/>
  <c r="I88" i="13"/>
  <c r="F88" i="13"/>
  <c r="P82" i="13"/>
  <c r="G88" i="13"/>
  <c r="E63" i="13"/>
  <c r="G63" i="13"/>
  <c r="G64" i="13" s="1"/>
  <c r="G69" i="13" s="1"/>
  <c r="I63" i="13"/>
  <c r="I64" i="13"/>
  <c r="I69" i="13" s="1"/>
  <c r="F67" i="13"/>
  <c r="E85" i="13"/>
  <c r="E94" i="13" s="1"/>
  <c r="G85" i="13"/>
  <c r="G94" i="13" s="1"/>
  <c r="I85" i="13"/>
  <c r="E89" i="13"/>
  <c r="G89" i="13"/>
  <c r="J89" i="13" s="1"/>
  <c r="I89" i="13"/>
  <c r="F63" i="13"/>
  <c r="F64" i="13" s="1"/>
  <c r="F69" i="13" s="1"/>
  <c r="J82" i="13"/>
  <c r="J85" i="13" s="1"/>
  <c r="F85" i="13"/>
  <c r="F94" i="13" s="1"/>
  <c r="H85" i="13"/>
  <c r="H94" i="13" s="1"/>
  <c r="F89" i="13"/>
  <c r="X709" i="6"/>
  <c r="W658" i="6"/>
  <c r="X658" i="6"/>
  <c r="X517" i="6"/>
  <c r="X515" i="6" s="1"/>
  <c r="X493" i="6"/>
  <c r="X460" i="6"/>
  <c r="X452" i="6"/>
  <c r="M541" i="6"/>
  <c r="Q541" i="6" s="1"/>
  <c r="M552" i="6"/>
  <c r="M555" i="6"/>
  <c r="Q555" i="6" s="1"/>
  <c r="M553" i="6"/>
  <c r="P553" i="6" s="1"/>
  <c r="M550" i="6"/>
  <c r="Q550" i="6" s="1"/>
  <c r="M549" i="6"/>
  <c r="Q549" i="6" s="1"/>
  <c r="M548" i="6"/>
  <c r="O548" i="6" s="1"/>
  <c r="M547" i="6"/>
  <c r="P547" i="6" s="1"/>
  <c r="M546" i="6"/>
  <c r="P546" i="6" s="1"/>
  <c r="M545" i="6"/>
  <c r="Q545" i="6" s="1"/>
  <c r="M544" i="6"/>
  <c r="P544" i="6" s="1"/>
  <c r="M543" i="6"/>
  <c r="O543" i="6" s="1"/>
  <c r="M542" i="6"/>
  <c r="Q542" i="6" s="1"/>
  <c r="M540" i="6"/>
  <c r="M539" i="6"/>
  <c r="P539" i="6" s="1"/>
  <c r="M538" i="6"/>
  <c r="O538" i="6" s="1"/>
  <c r="M537" i="6"/>
  <c r="Q537" i="6" s="1"/>
  <c r="M536" i="6"/>
  <c r="M535" i="6"/>
  <c r="Q535" i="6" s="1"/>
  <c r="M534" i="6"/>
  <c r="O534" i="6" s="1"/>
  <c r="M533" i="6"/>
  <c r="O533" i="6" s="1"/>
  <c r="M531" i="6"/>
  <c r="M530" i="6"/>
  <c r="P530" i="6" s="1"/>
  <c r="M529" i="6"/>
  <c r="O529" i="6" s="1"/>
  <c r="M528" i="6"/>
  <c r="M527" i="6"/>
  <c r="M526" i="6"/>
  <c r="Q526" i="6" s="1"/>
  <c r="M551" i="6"/>
  <c r="P551" i="6" s="1"/>
  <c r="M532" i="6"/>
  <c r="Q532" i="6" s="1"/>
  <c r="M651" i="6"/>
  <c r="M643" i="6"/>
  <c r="M639" i="6"/>
  <c r="M635" i="6"/>
  <c r="M633" i="6"/>
  <c r="M629" i="6"/>
  <c r="N629" i="6"/>
  <c r="P629" i="6" s="1"/>
  <c r="M597" i="6"/>
  <c r="M593" i="6"/>
  <c r="M589" i="6"/>
  <c r="M581" i="6"/>
  <c r="M579" i="6"/>
  <c r="M494" i="6"/>
  <c r="M493" i="6" s="1"/>
  <c r="Q530" i="6"/>
  <c r="N538" i="6"/>
  <c r="M416" i="6"/>
  <c r="Q416" i="6" s="1"/>
  <c r="N438" i="6"/>
  <c r="M419" i="6"/>
  <c r="N419" i="6" s="1"/>
  <c r="M418" i="6"/>
  <c r="P418" i="6" s="1"/>
  <c r="M417" i="6"/>
  <c r="O417" i="6" s="1"/>
  <c r="M415" i="6"/>
  <c r="Q415" i="6" s="1"/>
  <c r="M414" i="6"/>
  <c r="M413" i="6"/>
  <c r="P413" i="6" s="1"/>
  <c r="M412" i="6"/>
  <c r="P412" i="6" s="1"/>
  <c r="M410" i="6"/>
  <c r="O410" i="6" s="1"/>
  <c r="M408" i="6"/>
  <c r="M373" i="6"/>
  <c r="Q373" i="6"/>
  <c r="M315" i="6"/>
  <c r="Q315" i="6"/>
  <c r="M283" i="6"/>
  <c r="O360" i="6"/>
  <c r="P361" i="6"/>
  <c r="N357" i="6"/>
  <c r="P357" i="6"/>
  <c r="P333" i="6" s="1"/>
  <c r="P332" i="6" s="1"/>
  <c r="P331" i="6" s="1"/>
  <c r="N350" i="6"/>
  <c r="N344" i="6"/>
  <c r="P313" i="6"/>
  <c r="N312" i="6"/>
  <c r="N305" i="6"/>
  <c r="N296" i="6"/>
  <c r="N295" i="6"/>
  <c r="Q294" i="6"/>
  <c r="N285" i="6"/>
  <c r="O284" i="6"/>
  <c r="O268" i="6" s="1"/>
  <c r="O267" i="6" s="1"/>
  <c r="N283" i="6"/>
  <c r="N437" i="6"/>
  <c r="Q438" i="6"/>
  <c r="Q409" i="6"/>
  <c r="Q411" i="6"/>
  <c r="Q420" i="6"/>
  <c r="Q421" i="6"/>
  <c r="Q422" i="6"/>
  <c r="Q423" i="6"/>
  <c r="Q424" i="6"/>
  <c r="Q425" i="6"/>
  <c r="Q426" i="6"/>
  <c r="Q427" i="6"/>
  <c r="Q428" i="6"/>
  <c r="Q429" i="6"/>
  <c r="Q430" i="6"/>
  <c r="Q431" i="6"/>
  <c r="Q432" i="6"/>
  <c r="Q433" i="6"/>
  <c r="Q434" i="6"/>
  <c r="Q435" i="6"/>
  <c r="Q436" i="6"/>
  <c r="Q437" i="6"/>
  <c r="P409" i="6"/>
  <c r="P411" i="6"/>
  <c r="P420" i="6"/>
  <c r="P421" i="6"/>
  <c r="P422" i="6"/>
  <c r="P423" i="6"/>
  <c r="P424" i="6"/>
  <c r="P425" i="6"/>
  <c r="P426" i="6"/>
  <c r="P427" i="6"/>
  <c r="P428" i="6"/>
  <c r="P429" i="6"/>
  <c r="P430" i="6"/>
  <c r="P431" i="6"/>
  <c r="P432" i="6"/>
  <c r="P433" i="6"/>
  <c r="P434" i="6"/>
  <c r="P435" i="6"/>
  <c r="P436" i="6"/>
  <c r="P437" i="6"/>
  <c r="O409" i="6"/>
  <c r="O411" i="6"/>
  <c r="O420" i="6"/>
  <c r="O421" i="6"/>
  <c r="O422" i="6"/>
  <c r="O423" i="6"/>
  <c r="O424" i="6"/>
  <c r="O425" i="6"/>
  <c r="O426" i="6"/>
  <c r="O427" i="6"/>
  <c r="O428" i="6"/>
  <c r="O429" i="6"/>
  <c r="O430" i="6"/>
  <c r="O431" i="6"/>
  <c r="O432" i="6"/>
  <c r="O433" i="6"/>
  <c r="O434" i="6"/>
  <c r="O435" i="6"/>
  <c r="O436" i="6"/>
  <c r="O437" i="6"/>
  <c r="N409" i="6"/>
  <c r="N411" i="6"/>
  <c r="N420" i="6"/>
  <c r="N421" i="6"/>
  <c r="N422" i="6"/>
  <c r="N423" i="6"/>
  <c r="N424" i="6"/>
  <c r="N425" i="6"/>
  <c r="N426" i="6"/>
  <c r="N427" i="6"/>
  <c r="N428" i="6"/>
  <c r="N429" i="6"/>
  <c r="N430" i="6"/>
  <c r="N431" i="6"/>
  <c r="N432" i="6"/>
  <c r="N433" i="6"/>
  <c r="N434" i="6"/>
  <c r="N435" i="6"/>
  <c r="N436" i="6"/>
  <c r="N493" i="6"/>
  <c r="O493" i="6"/>
  <c r="P493" i="6"/>
  <c r="Q493" i="6"/>
  <c r="N452" i="6"/>
  <c r="O452" i="6"/>
  <c r="P452" i="6"/>
  <c r="Q452" i="6"/>
  <c r="N460" i="6"/>
  <c r="O460" i="6"/>
  <c r="P460" i="6"/>
  <c r="Q460" i="6"/>
  <c r="N468" i="6"/>
  <c r="O468" i="6"/>
  <c r="P468" i="6"/>
  <c r="Q468" i="6"/>
  <c r="O658" i="6"/>
  <c r="Q658" i="6"/>
  <c r="P577" i="6"/>
  <c r="Q577" i="6" s="1"/>
  <c r="P579" i="6"/>
  <c r="P581" i="6"/>
  <c r="P583" i="6"/>
  <c r="Q583" i="6" s="1"/>
  <c r="P585" i="6"/>
  <c r="Q585" i="6" s="1"/>
  <c r="P587" i="6"/>
  <c r="Q587" i="6" s="1"/>
  <c r="P589" i="6"/>
  <c r="P591" i="6"/>
  <c r="Q591" i="6" s="1"/>
  <c r="P593" i="6"/>
  <c r="P597" i="6"/>
  <c r="P599" i="6"/>
  <c r="Q599" i="6" s="1"/>
  <c r="P601" i="6"/>
  <c r="Q601" i="6" s="1"/>
  <c r="P603" i="6"/>
  <c r="Q603" i="6" s="1"/>
  <c r="P605" i="6"/>
  <c r="Q605" i="6" s="1"/>
  <c r="P607" i="6"/>
  <c r="Q607" i="6" s="1"/>
  <c r="P609" i="6"/>
  <c r="Q609" i="6" s="1"/>
  <c r="P611" i="6"/>
  <c r="Q611" i="6" s="1"/>
  <c r="P613" i="6"/>
  <c r="P615" i="6"/>
  <c r="Q615" i="6" s="1"/>
  <c r="P619" i="6"/>
  <c r="Q619" i="6" s="1"/>
  <c r="P621" i="6"/>
  <c r="Q621" i="6" s="1"/>
  <c r="P623" i="6"/>
  <c r="Q623" i="6" s="1"/>
  <c r="P625" i="6"/>
  <c r="Q625" i="6" s="1"/>
  <c r="P627" i="6"/>
  <c r="Q627" i="6" s="1"/>
  <c r="P631" i="6"/>
  <c r="Q631" i="6" s="1"/>
  <c r="P633" i="6"/>
  <c r="P635" i="6"/>
  <c r="P639" i="6"/>
  <c r="P643" i="6"/>
  <c r="P647" i="6"/>
  <c r="Q647" i="6" s="1"/>
  <c r="P651" i="6"/>
  <c r="P575" i="6"/>
  <c r="Q575" i="6" s="1"/>
  <c r="P571" i="6"/>
  <c r="P675" i="6" s="1"/>
  <c r="P708" i="6" s="1"/>
  <c r="N571" i="6"/>
  <c r="N675" i="6" s="1"/>
  <c r="N708" i="6" s="1"/>
  <c r="O571" i="6"/>
  <c r="O675" i="6" s="1"/>
  <c r="O708" i="6" s="1"/>
  <c r="L709" i="6"/>
  <c r="K709" i="6"/>
  <c r="J709" i="6"/>
  <c r="I709" i="6"/>
  <c r="H709" i="6"/>
  <c r="R704" i="6"/>
  <c r="M704" i="6"/>
  <c r="H704" i="6"/>
  <c r="R701" i="6"/>
  <c r="M701" i="6"/>
  <c r="H701" i="6"/>
  <c r="R692" i="6"/>
  <c r="M692" i="6"/>
  <c r="H692" i="6"/>
  <c r="R683" i="6"/>
  <c r="M683" i="6"/>
  <c r="H683" i="6"/>
  <c r="K675" i="6"/>
  <c r="K708" i="6" s="1"/>
  <c r="J675" i="6"/>
  <c r="J708" i="6" s="1"/>
  <c r="H675" i="6"/>
  <c r="H708" i="6" s="1"/>
  <c r="I671" i="6"/>
  <c r="L659" i="6"/>
  <c r="H659" i="6" s="1"/>
  <c r="H658" i="6" s="1"/>
  <c r="R658" i="6"/>
  <c r="M658" i="6"/>
  <c r="K658" i="6"/>
  <c r="J658" i="6"/>
  <c r="I658" i="6"/>
  <c r="H651" i="6"/>
  <c r="H647" i="6"/>
  <c r="L647" i="6" s="1"/>
  <c r="H643" i="6"/>
  <c r="L643" i="6" s="1"/>
  <c r="K639" i="6"/>
  <c r="J639" i="6"/>
  <c r="I639" i="6"/>
  <c r="H639" i="6"/>
  <c r="L635" i="6"/>
  <c r="J633" i="6"/>
  <c r="L633" i="6" s="1"/>
  <c r="K631" i="6"/>
  <c r="L631" i="6" s="1"/>
  <c r="H629" i="6"/>
  <c r="L629" i="6" s="1"/>
  <c r="K627" i="6"/>
  <c r="L627" i="6" s="1"/>
  <c r="J625" i="6"/>
  <c r="I625" i="6"/>
  <c r="L623" i="6"/>
  <c r="K621" i="6"/>
  <c r="H621" i="6"/>
  <c r="K619" i="6"/>
  <c r="L619" i="6" s="1"/>
  <c r="L615" i="6"/>
  <c r="M613" i="6"/>
  <c r="K613" i="6"/>
  <c r="L613" i="6" s="1"/>
  <c r="K611" i="6"/>
  <c r="H611" i="6"/>
  <c r="L609" i="6"/>
  <c r="K607" i="6"/>
  <c r="J607" i="6"/>
  <c r="K605" i="6"/>
  <c r="L605" i="6" s="1"/>
  <c r="J603" i="6"/>
  <c r="L603" i="6" s="1"/>
  <c r="L601" i="6"/>
  <c r="L599" i="6"/>
  <c r="H597" i="6"/>
  <c r="L597" i="6" s="1"/>
  <c r="H593" i="6"/>
  <c r="L593" i="6" s="1"/>
  <c r="L591" i="6"/>
  <c r="H589" i="6"/>
  <c r="L589" i="6" s="1"/>
  <c r="L587" i="6"/>
  <c r="L585" i="6"/>
  <c r="J583" i="6"/>
  <c r="L583" i="6" s="1"/>
  <c r="J581" i="6"/>
  <c r="H581" i="6"/>
  <c r="K579" i="6"/>
  <c r="I579" i="6"/>
  <c r="L577" i="6"/>
  <c r="J575" i="6"/>
  <c r="L575" i="6" s="1"/>
  <c r="I571" i="6"/>
  <c r="I568" i="6" s="1"/>
  <c r="L555" i="6"/>
  <c r="K555" i="6"/>
  <c r="J555" i="6"/>
  <c r="I555" i="6"/>
  <c r="L554" i="6"/>
  <c r="K554" i="6"/>
  <c r="J554" i="6"/>
  <c r="I554" i="6"/>
  <c r="L553" i="6"/>
  <c r="K553" i="6"/>
  <c r="J553" i="6"/>
  <c r="I553" i="6"/>
  <c r="L552" i="6"/>
  <c r="K552" i="6"/>
  <c r="J552" i="6"/>
  <c r="I552" i="6"/>
  <c r="L551" i="6"/>
  <c r="K551" i="6"/>
  <c r="J551" i="6"/>
  <c r="I551" i="6"/>
  <c r="L550" i="6"/>
  <c r="K550" i="6"/>
  <c r="J550" i="6"/>
  <c r="I550" i="6"/>
  <c r="L549" i="6"/>
  <c r="K549" i="6"/>
  <c r="J549" i="6"/>
  <c r="I549" i="6"/>
  <c r="L548" i="6"/>
  <c r="K548" i="6"/>
  <c r="J548" i="6"/>
  <c r="I548" i="6"/>
  <c r="L547" i="6"/>
  <c r="K547" i="6"/>
  <c r="J547" i="6"/>
  <c r="I547" i="6"/>
  <c r="L546" i="6"/>
  <c r="K546" i="6"/>
  <c r="J546" i="6"/>
  <c r="I546" i="6"/>
  <c r="L545" i="6"/>
  <c r="K545" i="6"/>
  <c r="J545" i="6"/>
  <c r="I545" i="6"/>
  <c r="L544" i="6"/>
  <c r="K544" i="6"/>
  <c r="J544" i="6"/>
  <c r="I544" i="6"/>
  <c r="L543" i="6"/>
  <c r="K543" i="6"/>
  <c r="J543" i="6"/>
  <c r="I543" i="6"/>
  <c r="L542" i="6"/>
  <c r="K542" i="6"/>
  <c r="J542" i="6"/>
  <c r="I542" i="6"/>
  <c r="L541" i="6"/>
  <c r="K541" i="6"/>
  <c r="J541" i="6"/>
  <c r="I541" i="6"/>
  <c r="L540" i="6"/>
  <c r="K540" i="6"/>
  <c r="J540" i="6"/>
  <c r="I540" i="6"/>
  <c r="L539" i="6"/>
  <c r="K539" i="6"/>
  <c r="J539" i="6"/>
  <c r="I539" i="6"/>
  <c r="L538" i="6"/>
  <c r="K538" i="6"/>
  <c r="J538" i="6"/>
  <c r="I538" i="6"/>
  <c r="L537" i="6"/>
  <c r="K537" i="6"/>
  <c r="J537" i="6"/>
  <c r="I537" i="6"/>
  <c r="L536" i="6"/>
  <c r="K536" i="6"/>
  <c r="J536" i="6"/>
  <c r="I536" i="6"/>
  <c r="L535" i="6"/>
  <c r="K535" i="6"/>
  <c r="J535" i="6"/>
  <c r="I535" i="6"/>
  <c r="L534" i="6"/>
  <c r="K534" i="6"/>
  <c r="J534" i="6"/>
  <c r="I534" i="6"/>
  <c r="L533" i="6"/>
  <c r="K533" i="6"/>
  <c r="J533" i="6"/>
  <c r="I533" i="6"/>
  <c r="L532" i="6"/>
  <c r="K532" i="6"/>
  <c r="J532" i="6"/>
  <c r="I532" i="6"/>
  <c r="L531" i="6"/>
  <c r="K531" i="6"/>
  <c r="J531" i="6"/>
  <c r="I531" i="6"/>
  <c r="L530" i="6"/>
  <c r="K530" i="6"/>
  <c r="J530" i="6"/>
  <c r="I530" i="6"/>
  <c r="L529" i="6"/>
  <c r="K529" i="6"/>
  <c r="J529" i="6"/>
  <c r="I529" i="6"/>
  <c r="L528" i="6"/>
  <c r="K528" i="6"/>
  <c r="J528" i="6"/>
  <c r="I528" i="6"/>
  <c r="L527" i="6"/>
  <c r="K527" i="6"/>
  <c r="J527" i="6"/>
  <c r="I527" i="6"/>
  <c r="L526" i="6"/>
  <c r="K526" i="6"/>
  <c r="J526" i="6"/>
  <c r="I526" i="6"/>
  <c r="W517" i="6"/>
  <c r="W515" i="6" s="1"/>
  <c r="H517" i="6"/>
  <c r="H515" i="6" s="1"/>
  <c r="H494" i="6"/>
  <c r="H493" i="6" s="1"/>
  <c r="W493" i="6"/>
  <c r="L493" i="6"/>
  <c r="K493" i="6"/>
  <c r="J493" i="6"/>
  <c r="I493" i="6"/>
  <c r="M468" i="6"/>
  <c r="L468" i="6"/>
  <c r="K468" i="6"/>
  <c r="J468" i="6"/>
  <c r="I468" i="6"/>
  <c r="H468" i="6"/>
  <c r="M462" i="6"/>
  <c r="M460" i="6" s="1"/>
  <c r="H462" i="6"/>
  <c r="H460" i="6" s="1"/>
  <c r="W460" i="6"/>
  <c r="L460" i="6"/>
  <c r="K460" i="6"/>
  <c r="J460" i="6"/>
  <c r="I460" i="6"/>
  <c r="H453" i="6"/>
  <c r="H452" i="6" s="1"/>
  <c r="W452" i="6"/>
  <c r="M452" i="6"/>
  <c r="L452" i="6"/>
  <c r="K452" i="6"/>
  <c r="J452" i="6"/>
  <c r="I452" i="6"/>
  <c r="H438" i="6"/>
  <c r="H437" i="6"/>
  <c r="L437" i="6" s="1"/>
  <c r="H436" i="6"/>
  <c r="L436" i="6" s="1"/>
  <c r="H435" i="6"/>
  <c r="L435" i="6" s="1"/>
  <c r="L434" i="6"/>
  <c r="H433" i="6"/>
  <c r="L433" i="6" s="1"/>
  <c r="H432" i="6"/>
  <c r="L432" i="6" s="1"/>
  <c r="H431" i="6"/>
  <c r="L431" i="6" s="1"/>
  <c r="H430" i="6"/>
  <c r="L430" i="6" s="1"/>
  <c r="H429" i="6"/>
  <c r="L429" i="6" s="1"/>
  <c r="H428" i="6"/>
  <c r="L428" i="6" s="1"/>
  <c r="H427" i="6"/>
  <c r="L427" i="6" s="1"/>
  <c r="H426" i="6"/>
  <c r="L426" i="6" s="1"/>
  <c r="L425" i="6"/>
  <c r="H424" i="6"/>
  <c r="L424" i="6" s="1"/>
  <c r="H423" i="6"/>
  <c r="L423" i="6" s="1"/>
  <c r="H422" i="6"/>
  <c r="L422" i="6" s="1"/>
  <c r="H421" i="6"/>
  <c r="L421" i="6" s="1"/>
  <c r="H420" i="6"/>
  <c r="L420" i="6" s="1"/>
  <c r="H419" i="6"/>
  <c r="L419" i="6" s="1"/>
  <c r="H418" i="6"/>
  <c r="L418" i="6" s="1"/>
  <c r="H417" i="6"/>
  <c r="L417" i="6" s="1"/>
  <c r="H416" i="6"/>
  <c r="L416" i="6" s="1"/>
  <c r="H415" i="6"/>
  <c r="L415" i="6" s="1"/>
  <c r="L414" i="6"/>
  <c r="H413" i="6"/>
  <c r="L413" i="6" s="1"/>
  <c r="H412" i="6"/>
  <c r="L412" i="6" s="1"/>
  <c r="H411" i="6"/>
  <c r="L411" i="6" s="1"/>
  <c r="H410" i="6"/>
  <c r="L410" i="6" s="1"/>
  <c r="H409" i="6"/>
  <c r="L409" i="6" s="1"/>
  <c r="H408" i="6"/>
  <c r="L373" i="6"/>
  <c r="K373" i="6"/>
  <c r="J373" i="6"/>
  <c r="I373" i="6"/>
  <c r="H373" i="6" s="1"/>
  <c r="H370" i="6"/>
  <c r="H369" i="6"/>
  <c r="H368" i="6"/>
  <c r="H367" i="6"/>
  <c r="H363" i="6"/>
  <c r="L315" i="6"/>
  <c r="J315" i="6"/>
  <c r="I315" i="6"/>
  <c r="H315" i="6" s="1"/>
  <c r="L261" i="6"/>
  <c r="L671" i="6" s="1"/>
  <c r="H261" i="6"/>
  <c r="H671" i="6" s="1"/>
  <c r="W709" i="6"/>
  <c r="H248" i="6"/>
  <c r="J568" i="6"/>
  <c r="K568" i="6"/>
  <c r="H568" i="6"/>
  <c r="M571" i="6"/>
  <c r="M364" i="6"/>
  <c r="M360" i="6"/>
  <c r="M351" i="6"/>
  <c r="M350" i="6"/>
  <c r="M344" i="6"/>
  <c r="M294" i="6"/>
  <c r="M285" i="6"/>
  <c r="I282" i="6"/>
  <c r="H282" i="6" s="1"/>
  <c r="J282" i="6"/>
  <c r="L282" i="6"/>
  <c r="K282" i="6"/>
  <c r="I283" i="6"/>
  <c r="H283" i="6" s="1"/>
  <c r="J283" i="6"/>
  <c r="K283" i="6"/>
  <c r="L283" i="6"/>
  <c r="I284" i="6"/>
  <c r="H284" i="6" s="1"/>
  <c r="J284" i="6"/>
  <c r="K284" i="6"/>
  <c r="L284" i="6"/>
  <c r="I285" i="6"/>
  <c r="H285" i="6" s="1"/>
  <c r="J285" i="6"/>
  <c r="L285" i="6"/>
  <c r="I286" i="6"/>
  <c r="H286" i="6" s="1"/>
  <c r="J286" i="6"/>
  <c r="K286" i="6"/>
  <c r="L286" i="6"/>
  <c r="I287" i="6"/>
  <c r="H287" i="6" s="1"/>
  <c r="J287" i="6"/>
  <c r="K287" i="6"/>
  <c r="L287" i="6"/>
  <c r="I288" i="6"/>
  <c r="H288" i="6" s="1"/>
  <c r="J288" i="6"/>
  <c r="K288" i="6"/>
  <c r="L288" i="6"/>
  <c r="I290" i="6"/>
  <c r="H290" i="6" s="1"/>
  <c r="J290" i="6"/>
  <c r="L290" i="6"/>
  <c r="K290" i="6"/>
  <c r="I291" i="6"/>
  <c r="H291" i="6" s="1"/>
  <c r="J291" i="6"/>
  <c r="K291" i="6"/>
  <c r="L291" i="6"/>
  <c r="I292" i="6"/>
  <c r="H292" i="6" s="1"/>
  <c r="J292" i="6"/>
  <c r="K292" i="6"/>
  <c r="L292" i="6"/>
  <c r="I293" i="6"/>
  <c r="H293" i="6" s="1"/>
  <c r="J293" i="6"/>
  <c r="K293" i="6"/>
  <c r="L293" i="6"/>
  <c r="I294" i="6"/>
  <c r="H294" i="6" s="1"/>
  <c r="J294" i="6"/>
  <c r="K294" i="6"/>
  <c r="L294" i="6"/>
  <c r="I295" i="6"/>
  <c r="H295" i="6" s="1"/>
  <c r="K295" i="6"/>
  <c r="L295" i="6"/>
  <c r="I296" i="6"/>
  <c r="H296" i="6" s="1"/>
  <c r="J296" i="6"/>
  <c r="L296" i="6"/>
  <c r="K296" i="6"/>
  <c r="I297" i="6"/>
  <c r="H297" i="6" s="1"/>
  <c r="J297" i="6"/>
  <c r="K297" i="6"/>
  <c r="L297" i="6"/>
  <c r="I299" i="6"/>
  <c r="H299" i="6" s="1"/>
  <c r="J299" i="6"/>
  <c r="K299" i="6"/>
  <c r="L299" i="6"/>
  <c r="I300" i="6"/>
  <c r="H300" i="6" s="1"/>
  <c r="J300" i="6"/>
  <c r="K300" i="6"/>
  <c r="L300" i="6"/>
  <c r="I303" i="6"/>
  <c r="H303" i="6" s="1"/>
  <c r="J303" i="6"/>
  <c r="L303" i="6"/>
  <c r="K303" i="6"/>
  <c r="I304" i="6"/>
  <c r="H304" i="6" s="1"/>
  <c r="J304" i="6"/>
  <c r="K304" i="6"/>
  <c r="L304" i="6"/>
  <c r="I305" i="6"/>
  <c r="H305" i="6" s="1"/>
  <c r="J305" i="6"/>
  <c r="L305" i="6"/>
  <c r="K305" i="6"/>
  <c r="I306" i="6"/>
  <c r="H306" i="6" s="1"/>
  <c r="J306" i="6"/>
  <c r="K306" i="6"/>
  <c r="L306" i="6"/>
  <c r="I309" i="6"/>
  <c r="H309" i="6" s="1"/>
  <c r="J309" i="6"/>
  <c r="K309" i="6"/>
  <c r="L309" i="6"/>
  <c r="I310" i="6"/>
  <c r="H310" i="6" s="1"/>
  <c r="J310" i="6"/>
  <c r="L310" i="6"/>
  <c r="K310" i="6"/>
  <c r="I311" i="6"/>
  <c r="H311" i="6" s="1"/>
  <c r="J311" i="6"/>
  <c r="L311" i="6"/>
  <c r="K311" i="6"/>
  <c r="I312" i="6"/>
  <c r="H312" i="6" s="1"/>
  <c r="J312" i="6"/>
  <c r="K312" i="6"/>
  <c r="L312" i="6"/>
  <c r="I313" i="6"/>
  <c r="H313" i="6" s="1"/>
  <c r="J313" i="6"/>
  <c r="K313" i="6"/>
  <c r="L313" i="6"/>
  <c r="I314" i="6"/>
  <c r="H314" i="6" s="1"/>
  <c r="J314" i="6"/>
  <c r="K314" i="6"/>
  <c r="L314" i="6"/>
  <c r="I344" i="6"/>
  <c r="H344" i="6" s="1"/>
  <c r="J344" i="6"/>
  <c r="K344" i="6"/>
  <c r="L344" i="6"/>
  <c r="I345" i="6"/>
  <c r="J345" i="6"/>
  <c r="J333" i="6" s="1"/>
  <c r="J332" i="6" s="1"/>
  <c r="J331" i="6" s="1"/>
  <c r="J325" i="6" s="1"/>
  <c r="J324" i="6" s="1"/>
  <c r="J323" i="6" s="1"/>
  <c r="K345" i="6"/>
  <c r="K333" i="6" s="1"/>
  <c r="K332" i="6" s="1"/>
  <c r="K331" i="6" s="1"/>
  <c r="K325" i="6" s="1"/>
  <c r="K324" i="6" s="1"/>
  <c r="K323" i="6" s="1"/>
  <c r="L345" i="6"/>
  <c r="L333" i="6" s="1"/>
  <c r="L332" i="6" s="1"/>
  <c r="L331" i="6" s="1"/>
  <c r="L325" i="6" s="1"/>
  <c r="L324" i="6" s="1"/>
  <c r="L323" i="6" s="1"/>
  <c r="I346" i="6"/>
  <c r="H346" i="6" s="1"/>
  <c r="J346" i="6"/>
  <c r="K346" i="6"/>
  <c r="L346" i="6"/>
  <c r="I347" i="6"/>
  <c r="H347" i="6" s="1"/>
  <c r="J347" i="6"/>
  <c r="K347" i="6"/>
  <c r="L347" i="6"/>
  <c r="I350" i="6"/>
  <c r="H350" i="6" s="1"/>
  <c r="J350" i="6"/>
  <c r="L350" i="6"/>
  <c r="K350" i="6"/>
  <c r="I351" i="6"/>
  <c r="H351" i="6" s="1"/>
  <c r="J351" i="6"/>
  <c r="K351" i="6"/>
  <c r="L351" i="6"/>
  <c r="I352" i="6"/>
  <c r="H352" i="6" s="1"/>
  <c r="J352" i="6"/>
  <c r="K352" i="6"/>
  <c r="L352" i="6"/>
  <c r="I353" i="6"/>
  <c r="H353" i="6" s="1"/>
  <c r="J353" i="6"/>
  <c r="K353" i="6"/>
  <c r="L353" i="6"/>
  <c r="I354" i="6"/>
  <c r="H354" i="6" s="1"/>
  <c r="J354" i="6"/>
  <c r="K354" i="6"/>
  <c r="L354" i="6"/>
  <c r="I355" i="6"/>
  <c r="H355" i="6" s="1"/>
  <c r="J355" i="6"/>
  <c r="K355" i="6"/>
  <c r="L355" i="6"/>
  <c r="I356" i="6"/>
  <c r="H356" i="6" s="1"/>
  <c r="J356" i="6"/>
  <c r="K356" i="6"/>
  <c r="L356" i="6"/>
  <c r="I357" i="6"/>
  <c r="H357" i="6" s="1"/>
  <c r="J357" i="6"/>
  <c r="K357" i="6"/>
  <c r="L357" i="6"/>
  <c r="I360" i="6"/>
  <c r="H360" i="6" s="1"/>
  <c r="J360" i="6"/>
  <c r="K360" i="6"/>
  <c r="L360" i="6"/>
  <c r="I361" i="6"/>
  <c r="H361" i="6" s="1"/>
  <c r="J361" i="6"/>
  <c r="K361" i="6"/>
  <c r="L361" i="6"/>
  <c r="I362" i="6"/>
  <c r="H362" i="6" s="1"/>
  <c r="J362" i="6"/>
  <c r="K362" i="6"/>
  <c r="L362" i="6"/>
  <c r="I364" i="6"/>
  <c r="H364" i="6" s="1"/>
  <c r="J364" i="6"/>
  <c r="K364" i="6"/>
  <c r="L364" i="6"/>
  <c r="I371" i="6"/>
  <c r="H371" i="6" s="1"/>
  <c r="J371" i="6"/>
  <c r="L371" i="6"/>
  <c r="K371" i="6"/>
  <c r="I372" i="6"/>
  <c r="H372" i="6" s="1"/>
  <c r="J372" i="6"/>
  <c r="K372" i="6"/>
  <c r="L372" i="6"/>
  <c r="K315" i="6"/>
  <c r="K298" i="6"/>
  <c r="J295" i="6"/>
  <c r="K285" i="6"/>
  <c r="L265" i="6"/>
  <c r="H265" i="6" s="1"/>
  <c r="L268" i="6"/>
  <c r="L267" i="6" s="1"/>
  <c r="I246" i="6"/>
  <c r="J269" i="6"/>
  <c r="J261" i="6" s="1"/>
  <c r="J671" i="6" s="1"/>
  <c r="L298" i="6"/>
  <c r="I289" i="6"/>
  <c r="H289" i="6" s="1"/>
  <c r="K269" i="6"/>
  <c r="K261" i="6" s="1"/>
  <c r="K671" i="6" s="1"/>
  <c r="I298" i="6"/>
  <c r="H298" i="6" s="1"/>
  <c r="K246" i="6"/>
  <c r="J289" i="6"/>
  <c r="J298" i="6"/>
  <c r="K289" i="6"/>
  <c r="L322" i="6"/>
  <c r="H322" i="6" s="1"/>
  <c r="L289" i="6"/>
  <c r="J246" i="6"/>
  <c r="Q571" i="6"/>
  <c r="Q675" i="6" s="1"/>
  <c r="Q708" i="6" s="1"/>
  <c r="AA439" i="6"/>
  <c r="AA437" i="6"/>
  <c r="S476" i="6"/>
  <c r="T476" i="6"/>
  <c r="U476" i="6"/>
  <c r="R478" i="6"/>
  <c r="AA438" i="6"/>
  <c r="M771" i="5" l="1"/>
  <c r="L446" i="5"/>
  <c r="W56" i="6" s="1"/>
  <c r="L771" i="5"/>
  <c r="W70" i="6" s="1"/>
  <c r="K517" i="6"/>
  <c r="K515" i="6" s="1"/>
  <c r="I517" i="6"/>
  <c r="I515" i="6" s="1"/>
  <c r="W401" i="6"/>
  <c r="W400" i="6" s="1"/>
  <c r="W394" i="6"/>
  <c r="W260" i="6" s="1"/>
  <c r="X401" i="6"/>
  <c r="X400" i="6" s="1"/>
  <c r="X394" i="6"/>
  <c r="L774" i="5"/>
  <c r="L773" i="5" s="1"/>
  <c r="L449" i="5"/>
  <c r="G771" i="5"/>
  <c r="G1058" i="5"/>
  <c r="G1057" i="5" s="1"/>
  <c r="M449" i="5"/>
  <c r="H345" i="6"/>
  <c r="H333" i="6" s="1"/>
  <c r="H332" i="6" s="1"/>
  <c r="H331" i="6" s="1"/>
  <c r="H325" i="6" s="1"/>
  <c r="H324" i="6" s="1"/>
  <c r="H323" i="6" s="1"/>
  <c r="I333" i="6"/>
  <c r="I332" i="6" s="1"/>
  <c r="I331" i="6" s="1"/>
  <c r="I325" i="6" s="1"/>
  <c r="I324" i="6" s="1"/>
  <c r="I323" i="6" s="1"/>
  <c r="I771" i="5"/>
  <c r="X22" i="6"/>
  <c r="X31" i="6" s="1"/>
  <c r="L15" i="5"/>
  <c r="G744" i="5"/>
  <c r="K446" i="5"/>
  <c r="R291" i="6"/>
  <c r="M450" i="5"/>
  <c r="I446" i="5"/>
  <c r="I439" i="5" s="1"/>
  <c r="I450" i="5"/>
  <c r="I443" i="5" s="1"/>
  <c r="H450" i="5"/>
  <c r="H443" i="5" s="1"/>
  <c r="H446" i="5"/>
  <c r="H439" i="5" s="1"/>
  <c r="M446" i="5"/>
  <c r="M439" i="5" s="1"/>
  <c r="M46" i="5"/>
  <c r="M15" i="5"/>
  <c r="K20" i="5"/>
  <c r="J94" i="13"/>
  <c r="H86" i="13"/>
  <c r="D86" i="13"/>
  <c r="J86" i="13" s="1"/>
  <c r="I86" i="13"/>
  <c r="J64" i="13"/>
  <c r="G86" i="13"/>
  <c r="J63" i="13"/>
  <c r="J72" i="13"/>
  <c r="E67" i="13"/>
  <c r="J67" i="13" s="1"/>
  <c r="E86" i="13"/>
  <c r="F86" i="13"/>
  <c r="X70" i="6"/>
  <c r="P158" i="5"/>
  <c r="AA158" i="5"/>
  <c r="K158" i="5" s="1"/>
  <c r="P173" i="5"/>
  <c r="AA173" i="5"/>
  <c r="K16" i="5"/>
  <c r="K24" i="5" s="1"/>
  <c r="T247" i="6"/>
  <c r="T244" i="6" s="1"/>
  <c r="T253" i="6" s="1"/>
  <c r="I24" i="5"/>
  <c r="I22" i="5" s="1"/>
  <c r="X26" i="6"/>
  <c r="X35" i="6" s="1"/>
  <c r="X253" i="6" s="1"/>
  <c r="M24" i="5"/>
  <c r="P126" i="5"/>
  <c r="AA126" i="5"/>
  <c r="K166" i="5"/>
  <c r="W237" i="6"/>
  <c r="J517" i="6"/>
  <c r="J515" i="6" s="1"/>
  <c r="L636" i="5"/>
  <c r="L634" i="5" s="1"/>
  <c r="L638" i="5"/>
  <c r="H771" i="5"/>
  <c r="G775" i="5"/>
  <c r="R74" i="6" s="1"/>
  <c r="S73" i="6"/>
  <c r="S72" i="6" s="1"/>
  <c r="T666" i="6"/>
  <c r="J773" i="5"/>
  <c r="J771" i="5"/>
  <c r="X73" i="6"/>
  <c r="I773" i="5"/>
  <c r="I362" i="5"/>
  <c r="I15" i="5"/>
  <c r="I13" i="5" s="1"/>
  <c r="H362" i="5"/>
  <c r="H15" i="5"/>
  <c r="X74" i="6"/>
  <c r="K773" i="5"/>
  <c r="V73" i="6"/>
  <c r="V72" i="6" s="1"/>
  <c r="L517" i="6"/>
  <c r="L515" i="6" s="1"/>
  <c r="G1086" i="5"/>
  <c r="G1088" i="5"/>
  <c r="G399" i="5"/>
  <c r="G398" i="5" s="1"/>
  <c r="S293" i="6"/>
  <c r="T293" i="6"/>
  <c r="T276" i="6" s="1"/>
  <c r="G727" i="5"/>
  <c r="K725" i="5"/>
  <c r="G725" i="5" s="1"/>
  <c r="G636" i="5"/>
  <c r="K634" i="5"/>
  <c r="G634" i="5" s="1"/>
  <c r="K496" i="5"/>
  <c r="G496" i="5" s="1"/>
  <c r="G498" i="5"/>
  <c r="L16" i="5"/>
  <c r="M258" i="5"/>
  <c r="L147" i="5"/>
  <c r="H11" i="5"/>
  <c r="H20" i="5" s="1"/>
  <c r="J11" i="5"/>
  <c r="J20" i="5" s="1"/>
  <c r="I11" i="5"/>
  <c r="I20" i="5" s="1"/>
  <c r="L246" i="6"/>
  <c r="Q613" i="6"/>
  <c r="O416" i="6"/>
  <c r="L571" i="6"/>
  <c r="L675" i="6" s="1"/>
  <c r="L708" i="6" s="1"/>
  <c r="M147" i="5"/>
  <c r="G414" i="5"/>
  <c r="G112" i="5"/>
  <c r="G111" i="5" s="1"/>
  <c r="L213" i="5"/>
  <c r="G347" i="5"/>
  <c r="M362" i="5"/>
  <c r="L362" i="5"/>
  <c r="J362" i="5"/>
  <c r="G209" i="5"/>
  <c r="G202" i="5" s="1"/>
  <c r="M111" i="5"/>
  <c r="N418" i="6"/>
  <c r="O532" i="6"/>
  <c r="P568" i="6"/>
  <c r="N413" i="6"/>
  <c r="P415" i="6"/>
  <c r="P550" i="6"/>
  <c r="O542" i="6"/>
  <c r="V607" i="6"/>
  <c r="V569" i="6" s="1"/>
  <c r="Q589" i="6"/>
  <c r="N530" i="6"/>
  <c r="O544" i="6"/>
  <c r="P535" i="6"/>
  <c r="N544" i="6"/>
  <c r="Q548" i="6"/>
  <c r="R468" i="6"/>
  <c r="M1087" i="5"/>
  <c r="J1039" i="5"/>
  <c r="M30" i="5"/>
  <c r="M60" i="5"/>
  <c r="L235" i="5"/>
  <c r="G214" i="5"/>
  <c r="G213" i="5" s="1"/>
  <c r="H644" i="5"/>
  <c r="G433" i="5"/>
  <c r="L414" i="5"/>
  <c r="J727" i="5"/>
  <c r="G382" i="5"/>
  <c r="G715" i="5"/>
  <c r="G708" i="5"/>
  <c r="G60" i="5"/>
  <c r="L346" i="5"/>
  <c r="L579" i="6"/>
  <c r="P417" i="6"/>
  <c r="N526" i="6"/>
  <c r="N539" i="6"/>
  <c r="O526" i="6"/>
  <c r="O530" i="6"/>
  <c r="P548" i="6"/>
  <c r="Q544" i="6"/>
  <c r="U571" i="6"/>
  <c r="U675" i="6" s="1"/>
  <c r="U708" i="6" s="1"/>
  <c r="Q643" i="6"/>
  <c r="N555" i="6"/>
  <c r="O555" i="6"/>
  <c r="O539" i="6"/>
  <c r="P526" i="6"/>
  <c r="Q539" i="6"/>
  <c r="R651" i="6"/>
  <c r="Q412" i="6"/>
  <c r="N548" i="6"/>
  <c r="N535" i="6"/>
  <c r="O535" i="6"/>
  <c r="P555" i="6"/>
  <c r="M699" i="6"/>
  <c r="Q651" i="6"/>
  <c r="N550" i="6"/>
  <c r="N410" i="6"/>
  <c r="O537" i="6"/>
  <c r="Q547" i="6"/>
  <c r="S493" i="6"/>
  <c r="L607" i="6"/>
  <c r="Q633" i="6"/>
  <c r="R452" i="6"/>
  <c r="L611" i="6"/>
  <c r="L621" i="6"/>
  <c r="Q593" i="6"/>
  <c r="V643" i="6"/>
  <c r="Q639" i="6"/>
  <c r="N415" i="6"/>
  <c r="O415" i="6"/>
  <c r="Q410" i="6"/>
  <c r="Q553" i="6"/>
  <c r="P410" i="6"/>
  <c r="O551" i="6"/>
  <c r="S608" i="6"/>
  <c r="X568" i="6"/>
  <c r="X567" i="6" s="1"/>
  <c r="N529" i="6"/>
  <c r="I374" i="5"/>
  <c r="G258" i="5"/>
  <c r="L258" i="5"/>
  <c r="M18" i="5"/>
  <c r="J510" i="5"/>
  <c r="Q357" i="6"/>
  <c r="J1031" i="5"/>
  <c r="G618" i="5"/>
  <c r="L708" i="5"/>
  <c r="K346" i="5"/>
  <c r="L166" i="5"/>
  <c r="G1019" i="5"/>
  <c r="G277" i="5"/>
  <c r="G276" i="5" s="1"/>
  <c r="K61" i="5"/>
  <c r="K358" i="5"/>
  <c r="J636" i="5"/>
  <c r="G273" i="5"/>
  <c r="H374" i="5"/>
  <c r="G574" i="5"/>
  <c r="G556" i="5"/>
  <c r="G235" i="5"/>
  <c r="K60" i="5"/>
  <c r="M398" i="5"/>
  <c r="J657" i="5"/>
  <c r="J646" i="5"/>
  <c r="L30" i="5"/>
  <c r="G534" i="5"/>
  <c r="G525" i="5" s="1"/>
  <c r="G524" i="5" s="1"/>
  <c r="J525" i="5"/>
  <c r="G753" i="5"/>
  <c r="K745" i="5"/>
  <c r="K449" i="5" s="1"/>
  <c r="L1035" i="5"/>
  <c r="G1016" i="5"/>
  <c r="G1004" i="5" s="1"/>
  <c r="J1015" i="5"/>
  <c r="G147" i="5"/>
  <c r="M322" i="6"/>
  <c r="T261" i="6"/>
  <c r="T671" i="6" s="1"/>
  <c r="G363" i="5"/>
  <c r="G362" i="5" s="1"/>
  <c r="G361" i="5"/>
  <c r="J633" i="5"/>
  <c r="G633" i="5"/>
  <c r="M357" i="6"/>
  <c r="M325" i="6" s="1"/>
  <c r="M324" i="6" s="1"/>
  <c r="M323" i="6" s="1"/>
  <c r="L1087" i="5"/>
  <c r="I60" i="5"/>
  <c r="G1103" i="5"/>
  <c r="L112" i="5"/>
  <c r="L111" i="5" s="1"/>
  <c r="L60" i="5"/>
  <c r="G95" i="5"/>
  <c r="M346" i="5"/>
  <c r="Q246" i="6"/>
  <c r="Q237" i="6" s="1"/>
  <c r="K1087" i="5"/>
  <c r="L95" i="5"/>
  <c r="G374" i="5"/>
  <c r="M284" i="6"/>
  <c r="H1003" i="5"/>
  <c r="L1011" i="5"/>
  <c r="J60" i="5"/>
  <c r="H699" i="6"/>
  <c r="N417" i="6"/>
  <c r="N412" i="6"/>
  <c r="P416" i="6"/>
  <c r="Q417" i="6"/>
  <c r="P538" i="6"/>
  <c r="P529" i="6"/>
  <c r="Q551" i="6"/>
  <c r="Q538" i="6"/>
  <c r="Q529" i="6"/>
  <c r="S517" i="6"/>
  <c r="S515" i="6" s="1"/>
  <c r="R635" i="6"/>
  <c r="L625" i="6"/>
  <c r="N416" i="6"/>
  <c r="O412" i="6"/>
  <c r="N543" i="6"/>
  <c r="N534" i="6"/>
  <c r="O547" i="6"/>
  <c r="R647" i="6"/>
  <c r="L658" i="6"/>
  <c r="I268" i="6"/>
  <c r="L581" i="6"/>
  <c r="O553" i="6"/>
  <c r="P543" i="6"/>
  <c r="P534" i="6"/>
  <c r="Q543" i="6"/>
  <c r="Q534" i="6"/>
  <c r="M517" i="6"/>
  <c r="M515" i="6" s="1"/>
  <c r="T571" i="6"/>
  <c r="T675" i="6" s="1"/>
  <c r="T708" i="6" s="1"/>
  <c r="D58" i="13"/>
  <c r="H58" i="13"/>
  <c r="F58" i="13"/>
  <c r="K10" i="13"/>
  <c r="K57" i="13"/>
  <c r="B59" i="13"/>
  <c r="K31" i="13"/>
  <c r="E58" i="13"/>
  <c r="I58" i="13"/>
  <c r="G58" i="13"/>
  <c r="N568" i="6"/>
  <c r="H268" i="6"/>
  <c r="H267" i="6" s="1"/>
  <c r="L639" i="6"/>
  <c r="Q581" i="6"/>
  <c r="N533" i="6"/>
  <c r="N528" i="6"/>
  <c r="O546" i="6"/>
  <c r="O541" i="6"/>
  <c r="P533" i="6"/>
  <c r="P528" i="6"/>
  <c r="Q533" i="6"/>
  <c r="Q528" i="6"/>
  <c r="R476" i="6"/>
  <c r="J268" i="6"/>
  <c r="J267" i="6" s="1"/>
  <c r="R699" i="6"/>
  <c r="Q629" i="6"/>
  <c r="P419" i="6"/>
  <c r="Q418" i="6"/>
  <c r="Q413" i="6"/>
  <c r="N553" i="6"/>
  <c r="N547" i="6"/>
  <c r="N542" i="6"/>
  <c r="N537" i="6"/>
  <c r="N532" i="6"/>
  <c r="O550" i="6"/>
  <c r="P542" i="6"/>
  <c r="P537" i="6"/>
  <c r="P532" i="6"/>
  <c r="Q546" i="6"/>
  <c r="R639" i="6"/>
  <c r="O418" i="6"/>
  <c r="O413" i="6"/>
  <c r="N551" i="6"/>
  <c r="N546" i="6"/>
  <c r="N541" i="6"/>
  <c r="O528" i="6"/>
  <c r="P541" i="6"/>
  <c r="Q579" i="6"/>
  <c r="Q597" i="6"/>
  <c r="Q635" i="6"/>
  <c r="G139" i="5"/>
  <c r="L398" i="5"/>
  <c r="P246" i="6"/>
  <c r="P237" i="6" s="1"/>
  <c r="M246" i="6"/>
  <c r="M237" i="6" s="1"/>
  <c r="M305" i="6"/>
  <c r="S288" i="6"/>
  <c r="S276" i="6" s="1"/>
  <c r="L1039" i="5"/>
  <c r="M265" i="6"/>
  <c r="H16" i="5"/>
  <c r="L524" i="5"/>
  <c r="L46" i="5"/>
  <c r="K618" i="5"/>
  <c r="S261" i="6"/>
  <c r="S671" i="6" s="1"/>
  <c r="K111" i="5"/>
  <c r="H166" i="5"/>
  <c r="J16" i="5"/>
  <c r="K1003" i="5"/>
  <c r="I1003" i="5"/>
  <c r="J745" i="5"/>
  <c r="J449" i="5" s="1"/>
  <c r="L386" i="5"/>
  <c r="G61" i="5"/>
  <c r="K363" i="5"/>
  <c r="I644" i="5"/>
  <c r="J167" i="5"/>
  <c r="J15" i="5" s="1"/>
  <c r="G175" i="5"/>
  <c r="J174" i="5"/>
  <c r="G654" i="5"/>
  <c r="M707" i="5"/>
  <c r="K374" i="5"/>
  <c r="J374" i="5"/>
  <c r="P325" i="6"/>
  <c r="P324" i="6" s="1"/>
  <c r="P323" i="6" s="1"/>
  <c r="O325" i="6"/>
  <c r="O324" i="6" s="1"/>
  <c r="O323" i="6" s="1"/>
  <c r="L408" i="6"/>
  <c r="W630" i="6"/>
  <c r="R524" i="6"/>
  <c r="R523" i="6" s="1"/>
  <c r="Q568" i="6"/>
  <c r="K268" i="6"/>
  <c r="M568" i="6"/>
  <c r="M675" i="6"/>
  <c r="M708" i="6" s="1"/>
  <c r="N527" i="6"/>
  <c r="Q527" i="6"/>
  <c r="P527" i="6"/>
  <c r="O527" i="6"/>
  <c r="N531" i="6"/>
  <c r="Q531" i="6"/>
  <c r="P531" i="6"/>
  <c r="O531" i="6"/>
  <c r="O536" i="6"/>
  <c r="N536" i="6"/>
  <c r="Q536" i="6"/>
  <c r="P536" i="6"/>
  <c r="O540" i="6"/>
  <c r="N540" i="6"/>
  <c r="Q540" i="6"/>
  <c r="P540" i="6"/>
  <c r="P545" i="6"/>
  <c r="O545" i="6"/>
  <c r="N545" i="6"/>
  <c r="P549" i="6"/>
  <c r="O549" i="6"/>
  <c r="N549" i="6"/>
  <c r="O552" i="6"/>
  <c r="N552" i="6"/>
  <c r="Q552" i="6"/>
  <c r="P552" i="6"/>
  <c r="U524" i="6"/>
  <c r="U523" i="6" s="1"/>
  <c r="U517" i="6" s="1"/>
  <c r="U515" i="6" s="1"/>
  <c r="O408" i="6"/>
  <c r="Q408" i="6"/>
  <c r="N408" i="6"/>
  <c r="P408" i="6"/>
  <c r="Q414" i="6"/>
  <c r="O414" i="6"/>
  <c r="P414" i="6"/>
  <c r="N414" i="6"/>
  <c r="Q419" i="6"/>
  <c r="O419" i="6"/>
  <c r="T524" i="6"/>
  <c r="T523" i="6" s="1"/>
  <c r="T517" i="6" s="1"/>
  <c r="T515" i="6" s="1"/>
  <c r="V526" i="6"/>
  <c r="V635" i="6"/>
  <c r="K651" i="6"/>
  <c r="L651" i="6" s="1"/>
  <c r="R569" i="6"/>
  <c r="R668" i="6" s="1"/>
  <c r="R580" i="6"/>
  <c r="I675" i="6"/>
  <c r="I708" i="6" s="1"/>
  <c r="N268" i="6"/>
  <c r="N267" i="6" s="1"/>
  <c r="O568" i="6"/>
  <c r="P268" i="6"/>
  <c r="P267" i="6" s="1"/>
  <c r="L772" i="5" l="1"/>
  <c r="W48" i="6"/>
  <c r="L439" i="5"/>
  <c r="M443" i="5"/>
  <c r="X52" i="6"/>
  <c r="X60" i="6"/>
  <c r="T275" i="6"/>
  <c r="T268" i="6"/>
  <c r="S275" i="6"/>
  <c r="S268" i="6"/>
  <c r="X393" i="6"/>
  <c r="X392" i="6" s="1"/>
  <c r="X260" i="6"/>
  <c r="M522" i="18" s="1"/>
  <c r="M521" i="18" s="1"/>
  <c r="W393" i="6"/>
  <c r="W392" i="6" s="1"/>
  <c r="W73" i="6"/>
  <c r="W72" i="6" s="1"/>
  <c r="W71" i="6" s="1"/>
  <c r="K439" i="5"/>
  <c r="V48" i="6"/>
  <c r="V56" i="6"/>
  <c r="U51" i="6"/>
  <c r="J442" i="5"/>
  <c r="U59" i="6"/>
  <c r="X56" i="6"/>
  <c r="X48" i="6"/>
  <c r="L442" i="5"/>
  <c r="W51" i="6" s="1"/>
  <c r="W59" i="6"/>
  <c r="K442" i="5"/>
  <c r="V51" i="6" s="1"/>
  <c r="V50" i="6" s="1"/>
  <c r="V59" i="6"/>
  <c r="V58" i="6" s="1"/>
  <c r="M442" i="5"/>
  <c r="X59" i="6"/>
  <c r="X51" i="6"/>
  <c r="X50" i="6" s="1"/>
  <c r="V70" i="6"/>
  <c r="Q333" i="6"/>
  <c r="Q332" i="6" s="1"/>
  <c r="Q331" i="6" s="1"/>
  <c r="Q325" i="6" s="1"/>
  <c r="Q324" i="6" s="1"/>
  <c r="Q323" i="6" s="1"/>
  <c r="J13" i="5"/>
  <c r="L450" i="5"/>
  <c r="L1190" i="5" s="1"/>
  <c r="W17" i="6" s="1"/>
  <c r="R288" i="6"/>
  <c r="G745" i="5"/>
  <c r="G449" i="5" s="1"/>
  <c r="G450" i="5"/>
  <c r="R293" i="6"/>
  <c r="J450" i="5"/>
  <c r="J446" i="5"/>
  <c r="J439" i="5" s="1"/>
  <c r="G446" i="5"/>
  <c r="M20" i="5"/>
  <c r="S25" i="6"/>
  <c r="S251" i="6" s="1"/>
  <c r="S254" i="6" s="1"/>
  <c r="H13" i="5"/>
  <c r="K15" i="5"/>
  <c r="G158" i="5"/>
  <c r="G154" i="5" s="1"/>
  <c r="K154" i="5"/>
  <c r="K11" i="5" s="1"/>
  <c r="G11" i="5" s="1"/>
  <c r="G20" i="5" s="1"/>
  <c r="E69" i="13"/>
  <c r="J69" i="13" s="1"/>
  <c r="K67" i="13" s="1"/>
  <c r="T237" i="6"/>
  <c r="S247" i="6"/>
  <c r="S244" i="6" s="1"/>
  <c r="S253" i="6" s="1"/>
  <c r="H24" i="5"/>
  <c r="H22" i="5" s="1"/>
  <c r="U247" i="6"/>
  <c r="J24" i="5"/>
  <c r="J22" i="5" s="1"/>
  <c r="L266" i="5"/>
  <c r="L110" i="5"/>
  <c r="L11" i="5" s="1"/>
  <c r="W26" i="6"/>
  <c r="W35" i="6" s="1"/>
  <c r="W253" i="6" s="1"/>
  <c r="L24" i="5"/>
  <c r="R70" i="6"/>
  <c r="X25" i="6"/>
  <c r="X251" i="6" s="1"/>
  <c r="X254" i="6" s="1"/>
  <c r="M23" i="5"/>
  <c r="M22" i="5" s="1"/>
  <c r="V26" i="6"/>
  <c r="V35" i="6" s="1"/>
  <c r="V253" i="6" s="1"/>
  <c r="V608" i="6"/>
  <c r="G1087" i="5"/>
  <c r="G774" i="5"/>
  <c r="H773" i="5"/>
  <c r="M773" i="5"/>
  <c r="M772" i="5" s="1"/>
  <c r="X72" i="6"/>
  <c r="X71" i="6" s="1"/>
  <c r="T672" i="6"/>
  <c r="I1190" i="5"/>
  <c r="T17" i="6" s="1"/>
  <c r="T707" i="6" s="1"/>
  <c r="M1190" i="5"/>
  <c r="X17" i="6" s="1"/>
  <c r="S672" i="6"/>
  <c r="H1190" i="5"/>
  <c r="U246" i="6"/>
  <c r="I1189" i="5"/>
  <c r="M1189" i="5"/>
  <c r="H1189" i="5"/>
  <c r="K1190" i="5"/>
  <c r="V17" i="6" s="1"/>
  <c r="S571" i="6"/>
  <c r="S675" i="6" s="1"/>
  <c r="S708" i="6" s="1"/>
  <c r="S668" i="6"/>
  <c r="G1015" i="5"/>
  <c r="H448" i="5"/>
  <c r="H441" i="5" s="1"/>
  <c r="I448" i="5"/>
  <c r="I441" i="5" s="1"/>
  <c r="G16" i="5"/>
  <c r="I260" i="6"/>
  <c r="I258" i="6" s="1"/>
  <c r="L568" i="6"/>
  <c r="X261" i="6"/>
  <c r="X671" i="6" s="1"/>
  <c r="X707" i="6" s="1"/>
  <c r="G346" i="5"/>
  <c r="K362" i="5"/>
  <c r="J524" i="5"/>
  <c r="T568" i="6"/>
  <c r="J1087" i="5"/>
  <c r="G272" i="5"/>
  <c r="J260" i="6"/>
  <c r="J665" i="6" s="1"/>
  <c r="U568" i="6"/>
  <c r="O517" i="6"/>
  <c r="O515" i="6" s="1"/>
  <c r="I267" i="6"/>
  <c r="M13" i="5"/>
  <c r="M12" i="5" s="1"/>
  <c r="M21" i="5" s="1"/>
  <c r="X32" i="6" s="1"/>
  <c r="X23" i="6" s="1"/>
  <c r="M266" i="5"/>
  <c r="J1003" i="5"/>
  <c r="J644" i="5"/>
  <c r="T324" i="6"/>
  <c r="U58" i="13"/>
  <c r="S324" i="6"/>
  <c r="M448" i="5"/>
  <c r="M441" i="5" s="1"/>
  <c r="K644" i="5"/>
  <c r="G167" i="5"/>
  <c r="G174" i="5"/>
  <c r="Q305" i="6"/>
  <c r="Q268" i="6" s="1"/>
  <c r="Q267" i="6" s="1"/>
  <c r="N364" i="6"/>
  <c r="N325" i="6" s="1"/>
  <c r="N324" i="6" s="1"/>
  <c r="N323" i="6" s="1"/>
  <c r="J166" i="5"/>
  <c r="V324" i="6"/>
  <c r="L1003" i="5"/>
  <c r="V524" i="6"/>
  <c r="V523" i="6" s="1"/>
  <c r="V517" i="6" s="1"/>
  <c r="V515" i="6" s="1"/>
  <c r="N517" i="6"/>
  <c r="N515" i="6" s="1"/>
  <c r="P517" i="6"/>
  <c r="K267" i="6"/>
  <c r="K260" i="6"/>
  <c r="H246" i="6"/>
  <c r="W571" i="6"/>
  <c r="W675" i="6" s="1"/>
  <c r="W708" i="6" s="1"/>
  <c r="R571" i="6"/>
  <c r="R675" i="6" s="1"/>
  <c r="R708" i="6" s="1"/>
  <c r="Q517" i="6"/>
  <c r="Q515" i="6" s="1"/>
  <c r="R517" i="6"/>
  <c r="R515" i="6" s="1"/>
  <c r="H260" i="6"/>
  <c r="L260" i="6"/>
  <c r="R276" i="6" l="1"/>
  <c r="X58" i="6"/>
  <c r="L443" i="5"/>
  <c r="W52" i="6" s="1"/>
  <c r="W50" i="6" s="1"/>
  <c r="W49" i="6" s="1"/>
  <c r="W60" i="6"/>
  <c r="U60" i="6"/>
  <c r="U58" i="6" s="1"/>
  <c r="U52" i="6"/>
  <c r="U50" i="6" s="1"/>
  <c r="J443" i="5"/>
  <c r="S260" i="6"/>
  <c r="S258" i="6" s="1"/>
  <c r="K13" i="5"/>
  <c r="K1189" i="5"/>
  <c r="T260" i="6"/>
  <c r="I522" i="18" s="1"/>
  <c r="I521" i="18" s="1"/>
  <c r="S34" i="6"/>
  <c r="S33" i="6" s="1"/>
  <c r="S16" i="6"/>
  <c r="X16" i="6"/>
  <c r="X15" i="6" s="1"/>
  <c r="G442" i="5"/>
  <c r="R51" i="6" s="1"/>
  <c r="G439" i="5"/>
  <c r="R48" i="6"/>
  <c r="R56" i="6"/>
  <c r="G443" i="5"/>
  <c r="R52" i="6" s="1"/>
  <c r="R60" i="6"/>
  <c r="T52" i="6"/>
  <c r="S60" i="6"/>
  <c r="S58" i="6" s="1"/>
  <c r="R58" i="6" s="1"/>
  <c r="S52" i="6"/>
  <c r="S50" i="6" s="1"/>
  <c r="T59" i="6"/>
  <c r="T51" i="6"/>
  <c r="T60" i="6"/>
  <c r="L448" i="5"/>
  <c r="V22" i="6"/>
  <c r="R22" i="6" s="1"/>
  <c r="R31" i="6" s="1"/>
  <c r="K23" i="5"/>
  <c r="G23" i="5" s="1"/>
  <c r="F73" i="13"/>
  <c r="G76" i="13"/>
  <c r="G79" i="13" s="1"/>
  <c r="F76" i="13"/>
  <c r="F79" i="13" s="1"/>
  <c r="I76" i="13"/>
  <c r="I79" i="13" s="1"/>
  <c r="G73" i="13"/>
  <c r="I73" i="13"/>
  <c r="E73" i="13"/>
  <c r="H76" i="13"/>
  <c r="H79" i="13" s="1"/>
  <c r="H73" i="13"/>
  <c r="T25" i="6"/>
  <c r="S17" i="6"/>
  <c r="S707" i="6" s="1"/>
  <c r="S237" i="6"/>
  <c r="R35" i="6"/>
  <c r="T267" i="6"/>
  <c r="X34" i="6"/>
  <c r="X33" i="6" s="1"/>
  <c r="L20" i="5"/>
  <c r="W22" i="6"/>
  <c r="W31" i="6" s="1"/>
  <c r="G166" i="5"/>
  <c r="G15" i="5"/>
  <c r="X24" i="6"/>
  <c r="W25" i="6"/>
  <c r="W251" i="6" s="1"/>
  <c r="W254" i="6" s="1"/>
  <c r="L23" i="5"/>
  <c r="L22" i="5" s="1"/>
  <c r="R26" i="6"/>
  <c r="R253" i="6" s="1"/>
  <c r="G24" i="5"/>
  <c r="G773" i="5"/>
  <c r="G772" i="5" s="1"/>
  <c r="R73" i="6"/>
  <c r="R72" i="6" s="1"/>
  <c r="R71" i="6" s="1"/>
  <c r="T73" i="6"/>
  <c r="T26" i="6"/>
  <c r="U74" i="6"/>
  <c r="S26" i="6"/>
  <c r="S24" i="6" s="1"/>
  <c r="U73" i="6"/>
  <c r="U16" i="6" s="1"/>
  <c r="T74" i="6"/>
  <c r="J1190" i="5"/>
  <c r="U17" i="6" s="1"/>
  <c r="U244" i="6"/>
  <c r="U253" i="6" s="1"/>
  <c r="U254" i="6" s="1"/>
  <c r="V25" i="6"/>
  <c r="V251" i="6" s="1"/>
  <c r="V254" i="6" s="1"/>
  <c r="S568" i="6"/>
  <c r="M1188" i="5"/>
  <c r="J1189" i="5"/>
  <c r="L1189" i="5"/>
  <c r="H1188" i="5"/>
  <c r="I1188" i="5"/>
  <c r="G1190" i="5"/>
  <c r="R17" i="6" s="1"/>
  <c r="K448" i="5"/>
  <c r="K441" i="5" s="1"/>
  <c r="V571" i="6"/>
  <c r="V668" i="6"/>
  <c r="L13" i="5"/>
  <c r="L12" i="5" s="1"/>
  <c r="L21" i="5" s="1"/>
  <c r="W32" i="6" s="1"/>
  <c r="W23" i="6" s="1"/>
  <c r="I665" i="6"/>
  <c r="I664" i="6" s="1"/>
  <c r="AD270" i="6"/>
  <c r="J258" i="6"/>
  <c r="V267" i="6"/>
  <c r="U324" i="6"/>
  <c r="U260" i="6" s="1"/>
  <c r="J448" i="5"/>
  <c r="J441" i="5" s="1"/>
  <c r="G1003" i="5"/>
  <c r="R261" i="6"/>
  <c r="R671" i="6" s="1"/>
  <c r="R707" i="6" s="1"/>
  <c r="U261" i="6"/>
  <c r="U671" i="6" s="1"/>
  <c r="W568" i="6"/>
  <c r="W567" i="6" s="1"/>
  <c r="O260" i="6"/>
  <c r="O258" i="6" s="1"/>
  <c r="V261" i="6"/>
  <c r="V671" i="6" s="1"/>
  <c r="V707" i="6" s="1"/>
  <c r="M268" i="6"/>
  <c r="G644" i="5"/>
  <c r="X267" i="6"/>
  <c r="X670" i="6"/>
  <c r="X665" i="6" s="1"/>
  <c r="J664" i="6"/>
  <c r="J706" i="6"/>
  <c r="J705" i="6" s="1"/>
  <c r="N260" i="6"/>
  <c r="L665" i="6"/>
  <c r="L258" i="6"/>
  <c r="H258" i="6"/>
  <c r="H665" i="6"/>
  <c r="K258" i="6"/>
  <c r="K665" i="6"/>
  <c r="AA556" i="6"/>
  <c r="Q260" i="6"/>
  <c r="R568" i="6"/>
  <c r="R567" i="6" s="1"/>
  <c r="P515" i="6"/>
  <c r="P260" i="6"/>
  <c r="U707" i="6" l="1"/>
  <c r="X737" i="6"/>
  <c r="X735" i="6"/>
  <c r="R268" i="6"/>
  <c r="R275" i="6"/>
  <c r="R274" i="6" s="1"/>
  <c r="T50" i="6"/>
  <c r="T251" i="6"/>
  <c r="T254" i="6" s="1"/>
  <c r="V16" i="6"/>
  <c r="V15" i="6" s="1"/>
  <c r="W16" i="6"/>
  <c r="W15" i="6" s="1"/>
  <c r="T34" i="6"/>
  <c r="T33" i="6" s="1"/>
  <c r="T16" i="6"/>
  <c r="T15" i="6" s="1"/>
  <c r="L447" i="5"/>
  <c r="L441" i="5"/>
  <c r="L440" i="5" s="1"/>
  <c r="W58" i="6"/>
  <c r="W57" i="6" s="1"/>
  <c r="R50" i="6"/>
  <c r="S670" i="6"/>
  <c r="S665" i="6" s="1"/>
  <c r="H522" i="18"/>
  <c r="H521" i="18" s="1"/>
  <c r="T58" i="6"/>
  <c r="S267" i="6"/>
  <c r="V31" i="6"/>
  <c r="T24" i="6"/>
  <c r="V24" i="6"/>
  <c r="K22" i="5"/>
  <c r="G22" i="5"/>
  <c r="U15" i="6"/>
  <c r="J73" i="13"/>
  <c r="E74" i="13" s="1"/>
  <c r="S15" i="6"/>
  <c r="E76" i="13"/>
  <c r="G74" i="13"/>
  <c r="U237" i="6"/>
  <c r="X706" i="6"/>
  <c r="W24" i="6"/>
  <c r="W34" i="6"/>
  <c r="W33" i="6" s="1"/>
  <c r="V34" i="6"/>
  <c r="V33" i="6" s="1"/>
  <c r="U72" i="6"/>
  <c r="T72" i="6"/>
  <c r="V568" i="6"/>
  <c r="V675" i="6"/>
  <c r="V708" i="6" s="1"/>
  <c r="R25" i="6"/>
  <c r="R251" i="6" s="1"/>
  <c r="R254" i="6" s="1"/>
  <c r="J1188" i="5"/>
  <c r="L1188" i="5"/>
  <c r="K1188" i="5"/>
  <c r="X664" i="6"/>
  <c r="G1189" i="5"/>
  <c r="T258" i="6"/>
  <c r="T670" i="6"/>
  <c r="T665" i="6" s="1"/>
  <c r="I706" i="6"/>
  <c r="I705" i="6" s="1"/>
  <c r="G13" i="5"/>
  <c r="U267" i="6"/>
  <c r="R324" i="6"/>
  <c r="O665" i="6"/>
  <c r="O664" i="6" s="1"/>
  <c r="X258" i="6"/>
  <c r="AD269" i="6"/>
  <c r="AD272" i="6" s="1"/>
  <c r="AD282" i="6" s="1"/>
  <c r="G448" i="5"/>
  <c r="W261" i="6"/>
  <c r="W671" i="6" s="1"/>
  <c r="W707" i="6" s="1"/>
  <c r="M267" i="6"/>
  <c r="M260" i="6"/>
  <c r="Q665" i="6"/>
  <c r="Q258" i="6"/>
  <c r="P665" i="6"/>
  <c r="P258" i="6"/>
  <c r="K664" i="6"/>
  <c r="K706" i="6"/>
  <c r="K705" i="6" s="1"/>
  <c r="H664" i="6"/>
  <c r="H706" i="6"/>
  <c r="H705" i="6" s="1"/>
  <c r="N258" i="6"/>
  <c r="N665" i="6"/>
  <c r="L664" i="6"/>
  <c r="L706" i="6"/>
  <c r="L705" i="6" s="1"/>
  <c r="T737" i="6" l="1"/>
  <c r="T735" i="6"/>
  <c r="S664" i="6"/>
  <c r="S735" i="6"/>
  <c r="S737" i="6"/>
  <c r="R16" i="6"/>
  <c r="S706" i="6"/>
  <c r="S705" i="6" s="1"/>
  <c r="R57" i="6"/>
  <c r="G441" i="5"/>
  <c r="G440" i="5" s="1"/>
  <c r="T706" i="6"/>
  <c r="T705" i="6" s="1"/>
  <c r="H74" i="13"/>
  <c r="E79" i="13"/>
  <c r="J76" i="13"/>
  <c r="F74" i="13"/>
  <c r="J74" i="13" s="1"/>
  <c r="I74" i="13"/>
  <c r="R24" i="6"/>
  <c r="R267" i="6"/>
  <c r="R34" i="6"/>
  <c r="R33" i="6" s="1"/>
  <c r="X705" i="6"/>
  <c r="G1188" i="5"/>
  <c r="T664" i="6"/>
  <c r="U258" i="6"/>
  <c r="U670" i="6"/>
  <c r="U665" i="6" s="1"/>
  <c r="O706" i="6"/>
  <c r="O705" i="6" s="1"/>
  <c r="AB270" i="6"/>
  <c r="M665" i="6"/>
  <c r="M258" i="6"/>
  <c r="AC665" i="6"/>
  <c r="P706" i="6"/>
  <c r="P705" i="6" s="1"/>
  <c r="P664" i="6"/>
  <c r="Q664" i="6"/>
  <c r="Q706" i="6"/>
  <c r="Q705" i="6" s="1"/>
  <c r="N664" i="6"/>
  <c r="N706" i="6"/>
  <c r="N705" i="6" s="1"/>
  <c r="U737" i="6" l="1"/>
  <c r="U735" i="6"/>
  <c r="R15" i="6"/>
  <c r="K76" i="13"/>
  <c r="J79" i="13"/>
  <c r="E80" i="13"/>
  <c r="L522" i="18"/>
  <c r="L521" i="18" s="1"/>
  <c r="L458" i="18" s="1"/>
  <c r="W267" i="6"/>
  <c r="U664" i="6"/>
  <c r="U706" i="6"/>
  <c r="U705" i="6" s="1"/>
  <c r="M664" i="6"/>
  <c r="M706" i="6"/>
  <c r="M705" i="6" s="1"/>
  <c r="AB269" i="6" l="1"/>
  <c r="AB272" i="6" s="1"/>
  <c r="AB282" i="6" s="1"/>
  <c r="D80" i="13"/>
  <c r="H80" i="13"/>
  <c r="I80" i="13"/>
  <c r="F80" i="13"/>
  <c r="G80" i="13"/>
  <c r="W670" i="6"/>
  <c r="W665" i="6" s="1"/>
  <c r="W258" i="6"/>
  <c r="V651" i="6"/>
  <c r="W737" i="6" l="1"/>
  <c r="W735" i="6"/>
  <c r="J80" i="13"/>
  <c r="W664" i="6"/>
  <c r="W706" i="6"/>
  <c r="W705" i="6" l="1"/>
  <c r="AA436" i="6"/>
  <c r="AA440" i="6" l="1"/>
  <c r="R493" i="6" l="1"/>
  <c r="R502" i="6"/>
  <c r="V502" i="6" s="1"/>
  <c r="V501" i="6" s="1"/>
  <c r="V493" i="6"/>
  <c r="R501" i="6" l="1"/>
  <c r="N63" i="14" l="1"/>
  <c r="N26" i="14"/>
  <c r="K29" i="16" s="1"/>
  <c r="N32" i="14" l="1"/>
  <c r="K37" i="16" s="1"/>
  <c r="O63" i="14" l="1"/>
  <c r="O32" i="14"/>
  <c r="P37" i="16" s="1"/>
  <c r="N40" i="14"/>
  <c r="O26" i="14" l="1"/>
  <c r="O40" i="14"/>
  <c r="M26" i="14" l="1"/>
  <c r="M33" i="14"/>
  <c r="M32" i="14" s="1"/>
  <c r="M40" i="14" l="1"/>
  <c r="M63" i="14"/>
  <c r="R191" i="6" l="1"/>
  <c r="R183" i="6" s="1"/>
  <c r="R182" i="6"/>
  <c r="J51" i="15"/>
  <c r="B51" i="15" s="1"/>
  <c r="J7" i="15"/>
  <c r="J5" i="15" l="1"/>
  <c r="B5" i="15" s="1"/>
  <c r="B7" i="15"/>
  <c r="J15" i="15"/>
  <c r="B15" i="15" s="1"/>
  <c r="B17" i="15"/>
  <c r="P7" i="15" l="1"/>
  <c r="AD7" i="15"/>
  <c r="O7" i="15"/>
  <c r="AD5" i="15"/>
  <c r="P5" i="15"/>
  <c r="O5" i="15"/>
  <c r="L889" i="18" l="1"/>
  <c r="M889" i="18"/>
  <c r="S401" i="6" l="1"/>
  <c r="S393" i="6" s="1"/>
  <c r="U401" i="6"/>
  <c r="T401" i="6"/>
  <c r="R402" i="6"/>
  <c r="R401" i="6" l="1"/>
  <c r="R400" i="6" s="1"/>
  <c r="V402" i="6"/>
  <c r="AG401" i="6"/>
  <c r="R394" i="6"/>
  <c r="R260" i="6" s="1"/>
  <c r="U393" i="6"/>
  <c r="T393" i="6"/>
  <c r="R393" i="6" l="1"/>
  <c r="R392" i="6" s="1"/>
  <c r="G522" i="18"/>
  <c r="G521" i="18" s="1"/>
  <c r="G458" i="18" s="1"/>
  <c r="R670" i="6"/>
  <c r="R665" i="6" s="1"/>
  <c r="R258" i="6"/>
  <c r="U437" i="6"/>
  <c r="T413" i="6"/>
  <c r="T421" i="6"/>
  <c r="T429" i="6"/>
  <c r="T437" i="6"/>
  <c r="T433" i="6"/>
  <c r="S422" i="6"/>
  <c r="S434" i="6"/>
  <c r="U416" i="6"/>
  <c r="T416" i="6"/>
  <c r="T424" i="6"/>
  <c r="T432" i="6"/>
  <c r="S410" i="6"/>
  <c r="S426" i="6"/>
  <c r="U421" i="6"/>
  <c r="T409" i="6"/>
  <c r="T417" i="6"/>
  <c r="T425" i="6"/>
  <c r="S414" i="6"/>
  <c r="S408" i="6"/>
  <c r="U432" i="6"/>
  <c r="T412" i="6"/>
  <c r="T420" i="6"/>
  <c r="T428" i="6"/>
  <c r="T436" i="6"/>
  <c r="S418" i="6"/>
  <c r="S430" i="6"/>
  <c r="V410" i="6"/>
  <c r="V426" i="6"/>
  <c r="V411" i="6"/>
  <c r="V427" i="6"/>
  <c r="V416" i="6"/>
  <c r="V432" i="6"/>
  <c r="V417" i="6"/>
  <c r="V433" i="6"/>
  <c r="S431" i="6"/>
  <c r="S415" i="6"/>
  <c r="S433" i="6"/>
  <c r="S417" i="6"/>
  <c r="S436" i="6"/>
  <c r="S420" i="6"/>
  <c r="U413" i="6"/>
  <c r="U420" i="6"/>
  <c r="U417" i="6"/>
  <c r="U423" i="6"/>
  <c r="U408" i="6"/>
  <c r="U422" i="6"/>
  <c r="T431" i="6"/>
  <c r="T415" i="6"/>
  <c r="T430" i="6"/>
  <c r="T414" i="6"/>
  <c r="V408" i="6"/>
  <c r="V428" i="6"/>
  <c r="S435" i="6"/>
  <c r="S421" i="6"/>
  <c r="S424" i="6"/>
  <c r="U425" i="6"/>
  <c r="U426" i="6"/>
  <c r="T434" i="6"/>
  <c r="V414" i="6"/>
  <c r="V430" i="6"/>
  <c r="V415" i="6"/>
  <c r="V431" i="6"/>
  <c r="V420" i="6"/>
  <c r="V436" i="6"/>
  <c r="V421" i="6"/>
  <c r="V437" i="6"/>
  <c r="S427" i="6"/>
  <c r="S411" i="6"/>
  <c r="S429" i="6"/>
  <c r="S413" i="6"/>
  <c r="S432" i="6"/>
  <c r="S416" i="6"/>
  <c r="U424" i="6"/>
  <c r="U412" i="6"/>
  <c r="U435" i="6"/>
  <c r="U419" i="6"/>
  <c r="U434" i="6"/>
  <c r="U418" i="6"/>
  <c r="T427" i="6"/>
  <c r="T411" i="6"/>
  <c r="T426" i="6"/>
  <c r="V423" i="6"/>
  <c r="S437" i="6"/>
  <c r="U429" i="6"/>
  <c r="U427" i="6"/>
  <c r="T435" i="6"/>
  <c r="T418" i="6"/>
  <c r="V418" i="6"/>
  <c r="V434" i="6"/>
  <c r="V419" i="6"/>
  <c r="V435" i="6"/>
  <c r="V424" i="6"/>
  <c r="V409" i="6"/>
  <c r="V425" i="6"/>
  <c r="S412" i="6"/>
  <c r="S423" i="6"/>
  <c r="U410" i="6"/>
  <c r="S425" i="6"/>
  <c r="S409" i="6"/>
  <c r="S428" i="6"/>
  <c r="U409" i="6"/>
  <c r="U436" i="6"/>
  <c r="U433" i="6"/>
  <c r="U431" i="6"/>
  <c r="U415" i="6"/>
  <c r="U430" i="6"/>
  <c r="U414" i="6"/>
  <c r="T423" i="6"/>
  <c r="T408" i="6"/>
  <c r="T422" i="6"/>
  <c r="V422" i="6"/>
  <c r="V412" i="6"/>
  <c r="V413" i="6"/>
  <c r="V429" i="6"/>
  <c r="S419" i="6"/>
  <c r="T410" i="6"/>
  <c r="U428" i="6"/>
  <c r="U411" i="6"/>
  <c r="T419" i="6"/>
  <c r="V394" i="6"/>
  <c r="V260" i="6" s="1"/>
  <c r="V401" i="6"/>
  <c r="R737" i="6" l="1"/>
  <c r="R735" i="6"/>
  <c r="V393" i="6"/>
  <c r="K522" i="18"/>
  <c r="K521" i="18" s="1"/>
  <c r="V258" i="6"/>
  <c r="V670" i="6"/>
  <c r="V665" i="6" s="1"/>
  <c r="AA391" i="6"/>
  <c r="AA392" i="6" s="1"/>
  <c r="R706" i="6"/>
  <c r="R705" i="6" s="1"/>
  <c r="R664" i="6"/>
  <c r="V735" i="6" l="1"/>
  <c r="V737" i="6"/>
  <c r="V664" i="6"/>
  <c r="V706" i="6"/>
  <c r="V705" i="6" s="1"/>
</calcChain>
</file>

<file path=xl/comments1.xml><?xml version="1.0" encoding="utf-8"?>
<comments xmlns="http://schemas.openxmlformats.org/spreadsheetml/2006/main">
  <authors>
    <author>Громенко Елена Николаевна</author>
    <author>Зуева Анастасия Игоревна</author>
    <author>Половодова Марта Витальевна</author>
  </authors>
  <commentList>
    <comment ref="L11" authorId="0" shapeId="0">
      <text>
        <r>
          <rPr>
            <b/>
            <sz val="9"/>
            <color indexed="81"/>
            <rFont val="Tahoma"/>
            <family val="2"/>
            <charset val="204"/>
          </rPr>
          <t>Громенко Елена Николаевна:</t>
        </r>
        <r>
          <rPr>
            <sz val="9"/>
            <color indexed="81"/>
            <rFont val="Tahoma"/>
            <family val="2"/>
            <charset val="204"/>
          </rPr>
          <t xml:space="preserve">
31,5 км без учета приведения мостов в КМ</t>
        </r>
      </text>
    </comment>
    <comment ref="M11" authorId="0" shapeId="0">
      <text>
        <r>
          <rPr>
            <b/>
            <sz val="9"/>
            <color indexed="81"/>
            <rFont val="Tahoma"/>
            <family val="2"/>
            <charset val="204"/>
          </rPr>
          <t>Громенко Елена Николаевна:</t>
        </r>
        <r>
          <rPr>
            <sz val="9"/>
            <color indexed="81"/>
            <rFont val="Tahoma"/>
            <family val="2"/>
            <charset val="204"/>
          </rPr>
          <t xml:space="preserve">
38,8 км без учета приведения мостов в КМ</t>
        </r>
      </text>
    </comment>
    <comment ref="A78" authorId="1" shapeId="0">
      <text>
        <r>
          <rPr>
            <b/>
            <sz val="9"/>
            <color indexed="81"/>
            <rFont val="Tahoma"/>
            <family val="2"/>
            <charset val="204"/>
          </rPr>
          <t>Зуева Анастасия Игоревна:</t>
        </r>
        <r>
          <rPr>
            <sz val="9"/>
            <color indexed="81"/>
            <rFont val="Tahoma"/>
            <family val="2"/>
            <charset val="204"/>
          </rPr>
          <t xml:space="preserve">
нет объекта в приоритетных направлениях Министерства сельского х-ва</t>
        </r>
      </text>
    </comment>
    <comment ref="G104" authorId="1" shapeId="0">
      <text>
        <r>
          <rPr>
            <b/>
            <sz val="9"/>
            <color indexed="81"/>
            <rFont val="Tahoma"/>
            <family val="2"/>
            <charset val="204"/>
          </rPr>
          <t>Зуева Анастасия Игоревна:</t>
        </r>
        <r>
          <rPr>
            <sz val="9"/>
            <color indexed="81"/>
            <rFont val="Tahoma"/>
            <family val="2"/>
            <charset val="204"/>
          </rPr>
          <t xml:space="preserve">
43915,7 по  расчету стартовой цены!!!</t>
        </r>
      </text>
    </comment>
    <comment ref="A106" authorId="1" shapeId="0">
      <text>
        <r>
          <rPr>
            <b/>
            <sz val="9"/>
            <color indexed="81"/>
            <rFont val="Tahoma"/>
            <family val="2"/>
            <charset val="204"/>
          </rPr>
          <t>Зуева Анастасия Игоревна:</t>
        </r>
        <r>
          <rPr>
            <sz val="9"/>
            <color indexed="81"/>
            <rFont val="Tahoma"/>
            <family val="2"/>
            <charset val="204"/>
          </rPr>
          <t xml:space="preserve">
нет объекта в приоритетных направлениях Министерства сельского х-ва</t>
        </r>
      </text>
    </comment>
    <comment ref="O123" authorId="1" shapeId="0">
      <text>
        <r>
          <rPr>
            <b/>
            <sz val="9"/>
            <color indexed="81"/>
            <rFont val="Tahoma"/>
            <family val="2"/>
            <charset val="204"/>
          </rPr>
          <t>Зуева Анастасия Игоревна:</t>
        </r>
        <r>
          <rPr>
            <sz val="9"/>
            <color indexed="81"/>
            <rFont val="Tahoma"/>
            <family val="2"/>
            <charset val="204"/>
          </rPr>
          <t xml:space="preserve">
в файле подходы 0,08 км…по проекту 0,0766 км</t>
        </r>
      </text>
    </comment>
    <comment ref="A150" authorId="0" shapeId="0">
      <text>
        <r>
          <rPr>
            <b/>
            <sz val="9"/>
            <color indexed="81"/>
            <rFont val="Tahoma"/>
            <family val="2"/>
            <charset val="204"/>
          </rPr>
          <t>Громенко Елена Николаевна:</t>
        </r>
        <r>
          <rPr>
            <sz val="9"/>
            <color indexed="81"/>
            <rFont val="Tahoma"/>
            <family val="2"/>
            <charset val="204"/>
          </rPr>
          <t xml:space="preserve">
 на участке км 11+223  - км 26+223 </t>
        </r>
      </text>
    </comment>
    <comment ref="A198" authorId="1" shapeId="0">
      <text>
        <r>
          <rPr>
            <b/>
            <sz val="9"/>
            <color indexed="81"/>
            <rFont val="Tahoma"/>
            <family val="2"/>
            <charset val="204"/>
          </rPr>
          <t>Зуева Анастасия Игоревна:</t>
        </r>
        <r>
          <rPr>
            <sz val="9"/>
            <color indexed="81"/>
            <rFont val="Tahoma"/>
            <family val="2"/>
            <charset val="204"/>
          </rPr>
          <t xml:space="preserve">
нет объекта!
Дублирует объкт выше</t>
        </r>
      </text>
    </comment>
    <comment ref="L198" authorId="0" shapeId="0">
      <text>
        <r>
          <rPr>
            <b/>
            <sz val="9"/>
            <color indexed="81"/>
            <rFont val="Tahoma"/>
            <family val="2"/>
            <charset val="204"/>
          </rPr>
          <t>Громенко Елена Николаевна:</t>
        </r>
        <r>
          <rPr>
            <sz val="9"/>
            <color indexed="81"/>
            <rFont val="Tahoma"/>
            <family val="2"/>
            <charset val="204"/>
          </rPr>
          <t xml:space="preserve">
?????</t>
        </r>
      </text>
    </comment>
    <comment ref="O220" authorId="1" shapeId="0">
      <text>
        <r>
          <rPr>
            <b/>
            <sz val="9"/>
            <color indexed="81"/>
            <rFont val="Tahoma"/>
            <family val="2"/>
            <charset val="204"/>
          </rPr>
          <t>Зуева Анастасия Игоревна:</t>
        </r>
        <r>
          <rPr>
            <sz val="9"/>
            <color indexed="81"/>
            <rFont val="Tahoma"/>
            <family val="2"/>
            <charset val="204"/>
          </rPr>
          <t xml:space="preserve">
введем в 2016 г.</t>
        </r>
      </text>
    </comment>
    <comment ref="A230" authorId="1" shapeId="0">
      <text>
        <r>
          <rPr>
            <b/>
            <sz val="9"/>
            <color indexed="81"/>
            <rFont val="Tahoma"/>
            <family val="2"/>
            <charset val="204"/>
          </rPr>
          <t>Зуева Анастасия Игоревна:</t>
        </r>
        <r>
          <rPr>
            <sz val="9"/>
            <color indexed="81"/>
            <rFont val="Tahoma"/>
            <family val="2"/>
            <charset val="204"/>
          </rPr>
          <t xml:space="preserve">
нет объекта</t>
        </r>
      </text>
    </comment>
    <comment ref="A253" authorId="1" shapeId="0">
      <text>
        <r>
          <rPr>
            <b/>
            <sz val="9"/>
            <color indexed="81"/>
            <rFont val="Tahoma"/>
            <family val="2"/>
            <charset val="204"/>
          </rPr>
          <t>Зуева Анастасия Игоревна:</t>
        </r>
        <r>
          <rPr>
            <sz val="9"/>
            <color indexed="81"/>
            <rFont val="Tahoma"/>
            <family val="2"/>
            <charset val="204"/>
          </rPr>
          <t xml:space="preserve">
нет объекта</t>
        </r>
      </text>
    </comment>
    <comment ref="A288" authorId="0" shapeId="0">
      <text>
        <r>
          <rPr>
            <b/>
            <sz val="9"/>
            <color indexed="81"/>
            <rFont val="Tahoma"/>
            <family val="2"/>
            <charset val="204"/>
          </rPr>
          <t>Громенко Елена Николаевна:</t>
        </r>
        <r>
          <rPr>
            <sz val="9"/>
            <color indexed="81"/>
            <rFont val="Tahoma"/>
            <family val="2"/>
            <charset val="204"/>
          </rPr>
          <t xml:space="preserve">
повтор слов</t>
        </r>
      </text>
    </comment>
    <comment ref="A297" authorId="1" shapeId="0">
      <text>
        <r>
          <rPr>
            <b/>
            <sz val="9"/>
            <color indexed="81"/>
            <rFont val="Tahoma"/>
            <family val="2"/>
            <charset val="204"/>
          </rPr>
          <t>Зуева Анастасия Игоревна:</t>
        </r>
        <r>
          <rPr>
            <sz val="9"/>
            <color indexed="81"/>
            <rFont val="Tahoma"/>
            <family val="2"/>
            <charset val="204"/>
          </rPr>
          <t xml:space="preserve">
должно быть  "в Новосибирском районе Новосибирской области"</t>
        </r>
      </text>
    </comment>
    <comment ref="A305" authorId="1" shapeId="0">
      <text>
        <r>
          <rPr>
            <b/>
            <sz val="9"/>
            <color indexed="81"/>
            <rFont val="Tahoma"/>
            <family val="2"/>
            <charset val="204"/>
          </rPr>
          <t>Зуева Анастасия Игоревна:</t>
        </r>
        <r>
          <rPr>
            <sz val="9"/>
            <color indexed="81"/>
            <rFont val="Tahoma"/>
            <family val="2"/>
            <charset val="204"/>
          </rPr>
          <t xml:space="preserve">
не прописан "Новосибирский район" в нашем файле</t>
        </r>
      </text>
    </comment>
    <comment ref="O305" authorId="1" shapeId="0">
      <text>
        <r>
          <rPr>
            <b/>
            <sz val="9"/>
            <color indexed="81"/>
            <rFont val="Tahoma"/>
            <family val="2"/>
            <charset val="204"/>
          </rPr>
          <t>Зуева Анастасия Игоревна:</t>
        </r>
        <r>
          <rPr>
            <sz val="9"/>
            <color indexed="81"/>
            <rFont val="Tahoma"/>
            <family val="2"/>
            <charset val="204"/>
          </rPr>
          <t xml:space="preserve">
тоннель 157 п.м. подходы 1,0 км
</t>
        </r>
      </text>
    </comment>
    <comment ref="O321" authorId="2" shapeId="0">
      <text>
        <r>
          <rPr>
            <b/>
            <sz val="9"/>
            <color indexed="81"/>
            <rFont val="Tahoma"/>
            <family val="2"/>
            <charset val="204"/>
          </rPr>
          <t>Половодова Марта Витальевна:</t>
        </r>
        <r>
          <rPr>
            <sz val="9"/>
            <color indexed="81"/>
            <rFont val="Tahoma"/>
            <family val="2"/>
            <charset val="204"/>
          </rPr>
          <t xml:space="preserve">
подходов нет, только длина моста в п.м.</t>
        </r>
      </text>
    </comment>
    <comment ref="A377" authorId="1" shapeId="0">
      <text>
        <r>
          <rPr>
            <b/>
            <sz val="9"/>
            <color indexed="81"/>
            <rFont val="Tahoma"/>
            <family val="2"/>
            <charset val="204"/>
          </rPr>
          <t>Зуева Анастасия Игоревна:</t>
        </r>
        <r>
          <rPr>
            <sz val="9"/>
            <color indexed="81"/>
            <rFont val="Tahoma"/>
            <family val="2"/>
            <charset val="204"/>
          </rPr>
          <t xml:space="preserve">
должно быть "в Усть-Таркском районе Новосибирской области"</t>
        </r>
      </text>
    </comment>
    <comment ref="G379" authorId="1" shapeId="0">
      <text>
        <r>
          <rPr>
            <b/>
            <sz val="9"/>
            <color indexed="81"/>
            <rFont val="Tahoma"/>
            <family val="2"/>
            <charset val="204"/>
          </rPr>
          <t>Зуева Анастасия Игоревна:</t>
        </r>
        <r>
          <rPr>
            <sz val="9"/>
            <color indexed="81"/>
            <rFont val="Tahoma"/>
            <family val="2"/>
            <charset val="204"/>
          </rPr>
          <t xml:space="preserve">
263 216,4 по расчету стартовой цены</t>
        </r>
      </text>
    </comment>
    <comment ref="A381" authorId="1" shapeId="0">
      <text>
        <r>
          <rPr>
            <b/>
            <sz val="9"/>
            <color indexed="81"/>
            <rFont val="Tahoma"/>
            <family val="2"/>
            <charset val="204"/>
          </rPr>
          <t>Зуева Анастасия Игоревна:</t>
        </r>
        <r>
          <rPr>
            <sz val="9"/>
            <color indexed="81"/>
            <rFont val="Tahoma"/>
            <family val="2"/>
            <charset val="204"/>
          </rPr>
          <t xml:space="preserve">
должно быть "в Усть-Таркском районе Новосибирской области"</t>
        </r>
      </text>
    </comment>
    <comment ref="G383" authorId="1" shapeId="0">
      <text>
        <r>
          <rPr>
            <b/>
            <sz val="9"/>
            <color indexed="81"/>
            <rFont val="Tahoma"/>
            <family val="2"/>
            <charset val="204"/>
          </rPr>
          <t>Зуева Анастасия Игоревна:</t>
        </r>
        <r>
          <rPr>
            <sz val="9"/>
            <color indexed="81"/>
            <rFont val="Tahoma"/>
            <family val="2"/>
            <charset val="204"/>
          </rPr>
          <t xml:space="preserve">
263 216,4 по расчету стартовой цены</t>
        </r>
      </text>
    </comment>
    <comment ref="G434" authorId="1" shapeId="0">
      <text>
        <r>
          <rPr>
            <b/>
            <sz val="9"/>
            <color indexed="81"/>
            <rFont val="Tahoma"/>
            <family val="2"/>
            <charset val="204"/>
          </rPr>
          <t>Зуева Анастасия Игоревна:</t>
        </r>
        <r>
          <rPr>
            <sz val="9"/>
            <color indexed="81"/>
            <rFont val="Tahoma"/>
            <family val="2"/>
            <charset val="204"/>
          </rPr>
          <t xml:space="preserve">
26662,8</t>
        </r>
      </text>
    </comment>
    <comment ref="L771" authorId="0" shapeId="0">
      <text>
        <r>
          <rPr>
            <b/>
            <sz val="9"/>
            <color indexed="81"/>
            <rFont val="Tahoma"/>
            <family val="2"/>
            <charset val="204"/>
          </rPr>
          <t>Громенко Елена Николаевна:</t>
        </r>
        <r>
          <rPr>
            <sz val="9"/>
            <color indexed="81"/>
            <rFont val="Tahoma"/>
            <family val="2"/>
            <charset val="204"/>
          </rPr>
          <t xml:space="preserve">
75,3 км  в связи с изм. В Тогучинском р-не </t>
        </r>
      </text>
    </comment>
    <comment ref="G1018" authorId="1" shapeId="0">
      <text>
        <r>
          <rPr>
            <b/>
            <sz val="9"/>
            <color indexed="81"/>
            <rFont val="Tahoma"/>
            <family val="2"/>
            <charset val="204"/>
          </rPr>
          <t>Зуева Анастасия Игоревна:</t>
        </r>
        <r>
          <rPr>
            <sz val="9"/>
            <color indexed="81"/>
            <rFont val="Tahoma"/>
            <family val="2"/>
            <charset val="204"/>
          </rPr>
          <t xml:space="preserve">
2,53 по проекту</t>
        </r>
      </text>
    </comment>
  </commentList>
</comments>
</file>

<file path=xl/comments2.xml><?xml version="1.0" encoding="utf-8"?>
<comments xmlns="http://schemas.openxmlformats.org/spreadsheetml/2006/main">
  <authors>
    <author>Громенко Елена Николаевна</author>
    <author>Зуева Анастасия Игоревна</author>
    <author>Половодова Марта Витальевна</author>
  </authors>
  <commentList>
    <comment ref="L10" authorId="0" shapeId="0">
      <text>
        <r>
          <rPr>
            <b/>
            <sz val="9"/>
            <color indexed="81"/>
            <rFont val="Tahoma"/>
            <family val="2"/>
            <charset val="204"/>
          </rPr>
          <t>Громенко Елена Николаевна:</t>
        </r>
        <r>
          <rPr>
            <sz val="9"/>
            <color indexed="81"/>
            <rFont val="Tahoma"/>
            <family val="2"/>
            <charset val="204"/>
          </rPr>
          <t xml:space="preserve">
31,5 км без учета приведения мостов в КМ</t>
        </r>
      </text>
    </comment>
    <comment ref="M10" authorId="0" shapeId="0">
      <text>
        <r>
          <rPr>
            <b/>
            <sz val="9"/>
            <color indexed="81"/>
            <rFont val="Tahoma"/>
            <family val="2"/>
            <charset val="204"/>
          </rPr>
          <t>Громенко Елена Николаевна:</t>
        </r>
        <r>
          <rPr>
            <sz val="9"/>
            <color indexed="81"/>
            <rFont val="Tahoma"/>
            <family val="2"/>
            <charset val="204"/>
          </rPr>
          <t xml:space="preserve">
38,8 км без учета приведения мостов в КМ</t>
        </r>
      </text>
    </comment>
    <comment ref="O64" authorId="1" shapeId="0">
      <text>
        <r>
          <rPr>
            <b/>
            <sz val="9"/>
            <color indexed="81"/>
            <rFont val="Tahoma"/>
            <family val="2"/>
            <charset val="204"/>
          </rPr>
          <t>Зуева Анастасия Игоревна:</t>
        </r>
        <r>
          <rPr>
            <sz val="9"/>
            <color indexed="81"/>
            <rFont val="Tahoma"/>
            <family val="2"/>
            <charset val="204"/>
          </rPr>
          <t xml:space="preserve">
подходы 0,3 км</t>
        </r>
      </text>
    </comment>
    <comment ref="A68" authorId="1" shapeId="0">
      <text>
        <r>
          <rPr>
            <b/>
            <sz val="9"/>
            <color indexed="81"/>
            <rFont val="Tahoma"/>
            <family val="2"/>
            <charset val="204"/>
          </rPr>
          <t>Зуева Анастасия Игоревна:</t>
        </r>
        <r>
          <rPr>
            <sz val="9"/>
            <color indexed="81"/>
            <rFont val="Tahoma"/>
            <family val="2"/>
            <charset val="204"/>
          </rPr>
          <t xml:space="preserve">
нет объекта в приоритетных направлениях Министерства сельского х-ва</t>
        </r>
      </text>
    </comment>
    <comment ref="G96" authorId="1" shapeId="0">
      <text>
        <r>
          <rPr>
            <b/>
            <sz val="9"/>
            <color indexed="81"/>
            <rFont val="Tahoma"/>
            <family val="2"/>
            <charset val="204"/>
          </rPr>
          <t>Зуева Анастасия Игоревна:</t>
        </r>
        <r>
          <rPr>
            <sz val="9"/>
            <color indexed="81"/>
            <rFont val="Tahoma"/>
            <family val="2"/>
            <charset val="204"/>
          </rPr>
          <t xml:space="preserve">
43915,7 по  расчету стартовой цены!!!</t>
        </r>
      </text>
    </comment>
    <comment ref="A98" authorId="1" shapeId="0">
      <text>
        <r>
          <rPr>
            <b/>
            <sz val="9"/>
            <color indexed="81"/>
            <rFont val="Tahoma"/>
            <family val="2"/>
            <charset val="204"/>
          </rPr>
          <t>Зуева Анастасия Игоревна:</t>
        </r>
        <r>
          <rPr>
            <sz val="9"/>
            <color indexed="81"/>
            <rFont val="Tahoma"/>
            <family val="2"/>
            <charset val="204"/>
          </rPr>
          <t xml:space="preserve">
нет объекта в приоритетных направлениях Министерства сельского х-ва</t>
        </r>
      </text>
    </comment>
    <comment ref="O115" authorId="1" shapeId="0">
      <text>
        <r>
          <rPr>
            <b/>
            <sz val="9"/>
            <color indexed="81"/>
            <rFont val="Tahoma"/>
            <family val="2"/>
            <charset val="204"/>
          </rPr>
          <t>Зуева Анастасия Игоревна:</t>
        </r>
        <r>
          <rPr>
            <sz val="9"/>
            <color indexed="81"/>
            <rFont val="Tahoma"/>
            <family val="2"/>
            <charset val="204"/>
          </rPr>
          <t xml:space="preserve">
в файле подходы 0,08 км…по проекту 0,0766 км</t>
        </r>
      </text>
    </comment>
    <comment ref="A147" authorId="0" shapeId="0">
      <text>
        <r>
          <rPr>
            <b/>
            <sz val="9"/>
            <color indexed="81"/>
            <rFont val="Tahoma"/>
            <family val="2"/>
            <charset val="204"/>
          </rPr>
          <t>Громенко Елена Николаевна:</t>
        </r>
        <r>
          <rPr>
            <sz val="9"/>
            <color indexed="81"/>
            <rFont val="Tahoma"/>
            <family val="2"/>
            <charset val="204"/>
          </rPr>
          <t xml:space="preserve">
 на участке км 11+223  - км 26+223 </t>
        </r>
      </text>
    </comment>
    <comment ref="A195" authorId="1" shapeId="0">
      <text>
        <r>
          <rPr>
            <b/>
            <sz val="9"/>
            <color indexed="81"/>
            <rFont val="Tahoma"/>
            <family val="2"/>
            <charset val="204"/>
          </rPr>
          <t>Зуева Анастасия Игоревна:</t>
        </r>
        <r>
          <rPr>
            <sz val="9"/>
            <color indexed="81"/>
            <rFont val="Tahoma"/>
            <family val="2"/>
            <charset val="204"/>
          </rPr>
          <t xml:space="preserve">
нет объекта!
Дублирует объкт выше</t>
        </r>
      </text>
    </comment>
    <comment ref="L195" authorId="0" shapeId="0">
      <text>
        <r>
          <rPr>
            <b/>
            <sz val="9"/>
            <color indexed="81"/>
            <rFont val="Tahoma"/>
            <family val="2"/>
            <charset val="204"/>
          </rPr>
          <t>Громенко Елена Николаевна:</t>
        </r>
        <r>
          <rPr>
            <sz val="9"/>
            <color indexed="81"/>
            <rFont val="Tahoma"/>
            <family val="2"/>
            <charset val="204"/>
          </rPr>
          <t xml:space="preserve">
?????</t>
        </r>
      </text>
    </comment>
    <comment ref="A227" authorId="1" shapeId="0">
      <text>
        <r>
          <rPr>
            <b/>
            <sz val="9"/>
            <color indexed="81"/>
            <rFont val="Tahoma"/>
            <family val="2"/>
            <charset val="204"/>
          </rPr>
          <t>Зуева Анастасия Игоревна:</t>
        </r>
        <r>
          <rPr>
            <sz val="9"/>
            <color indexed="81"/>
            <rFont val="Tahoma"/>
            <family val="2"/>
            <charset val="204"/>
          </rPr>
          <t xml:space="preserve">
нет объекта</t>
        </r>
      </text>
    </comment>
    <comment ref="A250" authorId="1" shapeId="0">
      <text>
        <r>
          <rPr>
            <b/>
            <sz val="9"/>
            <color indexed="81"/>
            <rFont val="Tahoma"/>
            <family val="2"/>
            <charset val="204"/>
          </rPr>
          <t>Зуева Анастасия Игоревна:</t>
        </r>
        <r>
          <rPr>
            <sz val="9"/>
            <color indexed="81"/>
            <rFont val="Tahoma"/>
            <family val="2"/>
            <charset val="204"/>
          </rPr>
          <t xml:space="preserve">
нет объекта</t>
        </r>
      </text>
    </comment>
    <comment ref="A285" authorId="0" shapeId="0">
      <text>
        <r>
          <rPr>
            <b/>
            <sz val="9"/>
            <color indexed="81"/>
            <rFont val="Tahoma"/>
            <family val="2"/>
            <charset val="204"/>
          </rPr>
          <t>Громенко Елена Николаевна:</t>
        </r>
        <r>
          <rPr>
            <sz val="9"/>
            <color indexed="81"/>
            <rFont val="Tahoma"/>
            <family val="2"/>
            <charset val="204"/>
          </rPr>
          <t xml:space="preserve">
повтор слов</t>
        </r>
      </text>
    </comment>
    <comment ref="A293" authorId="1" shapeId="0">
      <text>
        <r>
          <rPr>
            <b/>
            <sz val="9"/>
            <color indexed="81"/>
            <rFont val="Tahoma"/>
            <family val="2"/>
            <charset val="204"/>
          </rPr>
          <t>Зуева Анастасия Игоревна:</t>
        </r>
        <r>
          <rPr>
            <sz val="9"/>
            <color indexed="81"/>
            <rFont val="Tahoma"/>
            <family val="2"/>
            <charset val="204"/>
          </rPr>
          <t xml:space="preserve">
должно быть  "в Новосибирском районе Новосибирской области"</t>
        </r>
      </text>
    </comment>
    <comment ref="A301" authorId="1" shapeId="0">
      <text>
        <r>
          <rPr>
            <b/>
            <sz val="9"/>
            <color indexed="81"/>
            <rFont val="Tahoma"/>
            <family val="2"/>
            <charset val="204"/>
          </rPr>
          <t>Зуева Анастасия Игоревна:</t>
        </r>
        <r>
          <rPr>
            <sz val="9"/>
            <color indexed="81"/>
            <rFont val="Tahoma"/>
            <family val="2"/>
            <charset val="204"/>
          </rPr>
          <t xml:space="preserve">
не прописан "Новосибирский район" в нашем файле</t>
        </r>
      </text>
    </comment>
    <comment ref="O301" authorId="1" shapeId="0">
      <text>
        <r>
          <rPr>
            <b/>
            <sz val="9"/>
            <color indexed="81"/>
            <rFont val="Tahoma"/>
            <family val="2"/>
            <charset val="204"/>
          </rPr>
          <t>Зуева Анастасия Игоревна:</t>
        </r>
        <r>
          <rPr>
            <sz val="9"/>
            <color indexed="81"/>
            <rFont val="Tahoma"/>
            <family val="2"/>
            <charset val="204"/>
          </rPr>
          <t xml:space="preserve">
тоннель 157 п.м. подходы 1,0 км
</t>
        </r>
      </text>
    </comment>
    <comment ref="O318" authorId="2" shapeId="0">
      <text>
        <r>
          <rPr>
            <b/>
            <sz val="9"/>
            <color indexed="81"/>
            <rFont val="Tahoma"/>
            <family val="2"/>
            <charset val="204"/>
          </rPr>
          <t>Половодова Марта Витальевна:</t>
        </r>
        <r>
          <rPr>
            <sz val="9"/>
            <color indexed="81"/>
            <rFont val="Tahoma"/>
            <family val="2"/>
            <charset val="204"/>
          </rPr>
          <t xml:space="preserve">
подходов нет, только длина моста в п.м.</t>
        </r>
      </text>
    </comment>
    <comment ref="O322" authorId="2" shapeId="0">
      <text>
        <r>
          <rPr>
            <b/>
            <sz val="9"/>
            <color indexed="81"/>
            <rFont val="Tahoma"/>
            <family val="2"/>
            <charset val="204"/>
          </rPr>
          <t>Половодова Марта Витальевна:</t>
        </r>
        <r>
          <rPr>
            <sz val="9"/>
            <color indexed="81"/>
            <rFont val="Tahoma"/>
            <family val="2"/>
            <charset val="204"/>
          </rPr>
          <t xml:space="preserve">
подходов нет, только длина моста в п.м.</t>
        </r>
      </text>
    </comment>
    <comment ref="O326" authorId="2" shapeId="0">
      <text>
        <r>
          <rPr>
            <b/>
            <sz val="9"/>
            <color indexed="81"/>
            <rFont val="Tahoma"/>
            <family val="2"/>
            <charset val="204"/>
          </rPr>
          <t>Половодова Марта Витальевна:</t>
        </r>
        <r>
          <rPr>
            <sz val="9"/>
            <color indexed="81"/>
            <rFont val="Tahoma"/>
            <family val="2"/>
            <charset val="204"/>
          </rPr>
          <t xml:space="preserve">
подходов нет, только длина моста в п.м.</t>
        </r>
      </text>
    </comment>
    <comment ref="G404" authorId="1" shapeId="0">
      <text>
        <r>
          <rPr>
            <b/>
            <sz val="9"/>
            <color indexed="81"/>
            <rFont val="Tahoma"/>
            <family val="2"/>
            <charset val="204"/>
          </rPr>
          <t>Зуева Анастасия Игоревна:</t>
        </r>
        <r>
          <rPr>
            <sz val="9"/>
            <color indexed="81"/>
            <rFont val="Tahoma"/>
            <family val="2"/>
            <charset val="204"/>
          </rPr>
          <t xml:space="preserve">
263 216,4 по расчету стартовой цены</t>
        </r>
      </text>
    </comment>
    <comment ref="A406" authorId="1" shapeId="0">
      <text>
        <r>
          <rPr>
            <b/>
            <sz val="9"/>
            <color indexed="81"/>
            <rFont val="Tahoma"/>
            <family val="2"/>
            <charset val="204"/>
          </rPr>
          <t>Зуева Анастасия Игоревна:</t>
        </r>
        <r>
          <rPr>
            <sz val="9"/>
            <color indexed="81"/>
            <rFont val="Tahoma"/>
            <family val="2"/>
            <charset val="204"/>
          </rPr>
          <t xml:space="preserve">
должно быть "в Усть-Таркском районе Новосибирской области"</t>
        </r>
      </text>
    </comment>
    <comment ref="G408" authorId="1" shapeId="0">
      <text>
        <r>
          <rPr>
            <b/>
            <sz val="9"/>
            <color indexed="81"/>
            <rFont val="Tahoma"/>
            <family val="2"/>
            <charset val="204"/>
          </rPr>
          <t>Зуева Анастасия Игоревна:</t>
        </r>
        <r>
          <rPr>
            <sz val="9"/>
            <color indexed="81"/>
            <rFont val="Tahoma"/>
            <family val="2"/>
            <charset val="204"/>
          </rPr>
          <t xml:space="preserve">
263 216,4 по расчету стартовой цены</t>
        </r>
      </text>
    </comment>
    <comment ref="G527" authorId="1" shapeId="0">
      <text>
        <r>
          <rPr>
            <b/>
            <sz val="9"/>
            <color indexed="81"/>
            <rFont val="Tahoma"/>
            <family val="2"/>
            <charset val="204"/>
          </rPr>
          <t>Зуева Анастасия Игоревна:</t>
        </r>
        <r>
          <rPr>
            <sz val="9"/>
            <color indexed="81"/>
            <rFont val="Tahoma"/>
            <family val="2"/>
            <charset val="204"/>
          </rPr>
          <t xml:space="preserve">
26662,8</t>
        </r>
      </text>
    </comment>
    <comment ref="L889" authorId="0" shapeId="0">
      <text>
        <r>
          <rPr>
            <b/>
            <sz val="9"/>
            <color indexed="81"/>
            <rFont val="Tahoma"/>
            <family val="2"/>
            <charset val="204"/>
          </rPr>
          <t>Громенко Елена Николаевна:</t>
        </r>
        <r>
          <rPr>
            <sz val="9"/>
            <color indexed="81"/>
            <rFont val="Tahoma"/>
            <family val="2"/>
            <charset val="204"/>
          </rPr>
          <t xml:space="preserve">
75,3 км  в связи с изм. В Тогучинском р-не </t>
        </r>
      </text>
    </comment>
    <comment ref="L892" authorId="0" shapeId="0">
      <text>
        <r>
          <rPr>
            <b/>
            <sz val="9"/>
            <color indexed="81"/>
            <rFont val="Tahoma"/>
            <family val="2"/>
            <charset val="204"/>
          </rPr>
          <t>Громенко Елена Николаевна:</t>
        </r>
        <r>
          <rPr>
            <sz val="9"/>
            <color indexed="81"/>
            <rFont val="Tahoma"/>
            <family val="2"/>
            <charset val="204"/>
          </rPr>
          <t xml:space="preserve">
75,3 км  в связи с изм. В Тогучинском р-не </t>
        </r>
      </text>
    </comment>
    <comment ref="L899" authorId="0" shapeId="0">
      <text>
        <r>
          <rPr>
            <b/>
            <sz val="9"/>
            <color indexed="81"/>
            <rFont val="Tahoma"/>
            <family val="2"/>
            <charset val="204"/>
          </rPr>
          <t>Громенко Елена Николаевна:</t>
        </r>
        <r>
          <rPr>
            <sz val="9"/>
            <color indexed="81"/>
            <rFont val="Tahoma"/>
            <family val="2"/>
            <charset val="204"/>
          </rPr>
          <t xml:space="preserve">
75,3 км  в связи с изм. В Тогучинском р-не </t>
        </r>
      </text>
    </comment>
    <comment ref="G1184" authorId="1" shapeId="0">
      <text>
        <r>
          <rPr>
            <b/>
            <sz val="9"/>
            <color indexed="81"/>
            <rFont val="Tahoma"/>
            <family val="2"/>
            <charset val="204"/>
          </rPr>
          <t>Зуева Анастасия Игоревна:</t>
        </r>
        <r>
          <rPr>
            <sz val="9"/>
            <color indexed="81"/>
            <rFont val="Tahoma"/>
            <family val="2"/>
            <charset val="204"/>
          </rPr>
          <t xml:space="preserve">
2,53 по проекту</t>
        </r>
      </text>
    </comment>
  </commentList>
</comments>
</file>

<file path=xl/comments3.xml><?xml version="1.0" encoding="utf-8"?>
<comments xmlns="http://schemas.openxmlformats.org/spreadsheetml/2006/main">
  <authors>
    <author>Эпов Сергей Витальевич</author>
  </authors>
  <commentList>
    <comment ref="D64" authorId="0" shapeId="0">
      <text>
        <r>
          <rPr>
            <b/>
            <sz val="9"/>
            <color indexed="81"/>
            <rFont val="Tahoma"/>
            <family val="2"/>
            <charset val="204"/>
          </rPr>
          <t>Эпов Сергей Витальевич:</t>
        </r>
        <r>
          <rPr>
            <sz val="9"/>
            <color indexed="81"/>
            <rFont val="Tahoma"/>
            <family val="2"/>
            <charset val="204"/>
          </rPr>
          <t xml:space="preserve">
741-р от 21.04.2016</t>
        </r>
      </text>
    </comment>
    <comment ref="D67" authorId="0" shapeId="0">
      <text>
        <r>
          <rPr>
            <b/>
            <sz val="9"/>
            <color indexed="81"/>
            <rFont val="Tahoma"/>
            <family val="2"/>
            <charset val="204"/>
          </rPr>
          <t>Эпов Сергей Витальевич:
740-р от 21.04.2016</t>
        </r>
        <r>
          <rPr>
            <sz val="9"/>
            <color indexed="81"/>
            <rFont val="Tahoma"/>
            <family val="2"/>
            <charset val="204"/>
          </rPr>
          <t xml:space="preserve">
</t>
        </r>
      </text>
    </comment>
  </commentList>
</comments>
</file>

<file path=xl/comments4.xml><?xml version="1.0" encoding="utf-8"?>
<comments xmlns="http://schemas.openxmlformats.org/spreadsheetml/2006/main">
  <authors>
    <author>Эпов Сергей Витальевич</author>
  </authors>
  <commentList>
    <comment ref="D49" authorId="0" shapeId="0">
      <text>
        <r>
          <rPr>
            <b/>
            <sz val="9"/>
            <color indexed="81"/>
            <rFont val="Tahoma"/>
            <family val="2"/>
            <charset val="204"/>
          </rPr>
          <t>Эпов Сергей Витальевич:</t>
        </r>
        <r>
          <rPr>
            <sz val="9"/>
            <color indexed="81"/>
            <rFont val="Tahoma"/>
            <family val="2"/>
            <charset val="204"/>
          </rPr>
          <t xml:space="preserve">
741-р от 21.04.2016</t>
        </r>
      </text>
    </comment>
    <comment ref="D51" authorId="0" shapeId="0">
      <text>
        <r>
          <rPr>
            <b/>
            <sz val="9"/>
            <color indexed="81"/>
            <rFont val="Tahoma"/>
            <family val="2"/>
            <charset val="204"/>
          </rPr>
          <t>Эпов Сергей Витальевич:
740-р от 21.04.2016</t>
        </r>
        <r>
          <rPr>
            <sz val="9"/>
            <color indexed="81"/>
            <rFont val="Tahoma"/>
            <family val="2"/>
            <charset val="204"/>
          </rPr>
          <t xml:space="preserve">
</t>
        </r>
      </text>
    </comment>
    <comment ref="A55" authorId="0" shapeId="0">
      <text>
        <r>
          <rPr>
            <b/>
            <sz val="9"/>
            <color indexed="81"/>
            <rFont val="Tahoma"/>
            <family val="2"/>
            <charset val="204"/>
          </rPr>
          <t>Эпов Сергей Витальевич:</t>
        </r>
        <r>
          <rPr>
            <sz val="9"/>
            <color indexed="81"/>
            <rFont val="Tahoma"/>
            <family val="2"/>
            <charset val="204"/>
          </rPr>
          <t xml:space="preserve">
</t>
        </r>
        <r>
          <rPr>
            <sz val="14"/>
            <color indexed="81"/>
            <rFont val="Tahoma"/>
            <family val="2"/>
            <charset val="204"/>
          </rPr>
          <t>прочие</t>
        </r>
        <r>
          <rPr>
            <sz val="12"/>
            <color indexed="81"/>
            <rFont val="Tahoma"/>
            <family val="2"/>
            <charset val="204"/>
          </rPr>
          <t xml:space="preserve"> затраты (ПСД, конкурсная документация, выкуп земельных участков)</t>
        </r>
      </text>
    </comment>
    <comment ref="A56" authorId="0" shapeId="0">
      <text>
        <r>
          <rPr>
            <b/>
            <sz val="9"/>
            <color indexed="81"/>
            <rFont val="Tahoma"/>
            <family val="2"/>
            <charset val="204"/>
          </rPr>
          <t>Эпов Сергей Витальевич:</t>
        </r>
        <r>
          <rPr>
            <sz val="9"/>
            <color indexed="81"/>
            <rFont val="Tahoma"/>
            <family val="2"/>
            <charset val="204"/>
          </rPr>
          <t xml:space="preserve">
</t>
        </r>
        <r>
          <rPr>
            <sz val="12"/>
            <color indexed="81"/>
            <rFont val="Tahoma"/>
            <family val="2"/>
            <charset val="204"/>
          </rPr>
          <t>капитальные затраты</t>
        </r>
      </text>
    </comment>
  </commentList>
</comments>
</file>

<file path=xl/sharedStrings.xml><?xml version="1.0" encoding="utf-8"?>
<sst xmlns="http://schemas.openxmlformats.org/spreadsheetml/2006/main" count="7154" uniqueCount="1163">
  <si>
    <t>Наименование мероприятия</t>
  </si>
  <si>
    <t>Наименование показателя</t>
  </si>
  <si>
    <t>Ответственный исполнитель</t>
  </si>
  <si>
    <t>Ожидаемый результат (краткое описание)</t>
  </si>
  <si>
    <t>ГРБС</t>
  </si>
  <si>
    <t>Рз Пр</t>
  </si>
  <si>
    <t>ЦСР</t>
  </si>
  <si>
    <t>ВР</t>
  </si>
  <si>
    <t>Значение показателя на 2016 год</t>
  </si>
  <si>
    <t xml:space="preserve">в том числе: </t>
  </si>
  <si>
    <t xml:space="preserve">областной бюджет </t>
  </si>
  <si>
    <t xml:space="preserve">местные бюджеты </t>
  </si>
  <si>
    <t>1.1.1. Обеспечение развития, сохранности и восстановления автомобильных дорог регионального, межмуниципального и местного значения  и искусственных сооружений на них в Новосибирской области</t>
  </si>
  <si>
    <t>Строительство автомобильной дороги "205 км а/д "К-01" - Стретенка" в Баганском районе Новосибирской области</t>
  </si>
  <si>
    <t>Строительство автомобильной дороги "18 км а/д "Н-0202" - Александро-Невский" в Баганском районе Новосибирской области</t>
  </si>
  <si>
    <t>0409</t>
  </si>
  <si>
    <t>61004ХХ</t>
  </si>
  <si>
    <t>Реконструкция автомобильной дороги "131 км а/д "К-22" - Игнатьевка" в Венгеровском районе Новосибирской области</t>
  </si>
  <si>
    <t>Реконструкция автомобильной дороги "106 км а/д "К-07" - Индерь (центр. усадьба)" в Доволенском районе Новосибирской области</t>
  </si>
  <si>
    <t>мост ч/р Ояш на 8 км а/д "100 км а/д "М-53" -  Сибиряк", Болотнинский район</t>
  </si>
  <si>
    <t>Строительство автомобильной дороги "Сузун - Мереть" в Сузунском районе Новосибирской области</t>
  </si>
  <si>
    <t>Строительство автомобильной дороги "Новопервомайское - Платоновка" в Татарском районе Новосибирской области</t>
  </si>
  <si>
    <t xml:space="preserve">Прочие  затраты </t>
  </si>
  <si>
    <t>мост ч/р Большеречье на 1 км а/д "Большеречье-Новопокровка", Кыштовский район</t>
  </si>
  <si>
    <t>Стоимость единицы, тыс.руб.</t>
  </si>
  <si>
    <t xml:space="preserve">Сумма затрат, тыс.руб., </t>
  </si>
  <si>
    <t>Минтранс НСО, ГКУ НСО ТУАД</t>
  </si>
  <si>
    <t>ХХХХХХХ</t>
  </si>
  <si>
    <t>ХХХ</t>
  </si>
  <si>
    <t xml:space="preserve"> в том числе по объектам:</t>
  </si>
  <si>
    <t>в том числе:</t>
  </si>
  <si>
    <t>Объем работ уточняется</t>
  </si>
  <si>
    <t>Прочие затраты</t>
  </si>
  <si>
    <t>тыс.руб.</t>
  </si>
  <si>
    <t>федеральный бюджет *</t>
  </si>
  <si>
    <t>Капитальный ремонт 1 км автодороги</t>
  </si>
  <si>
    <t>Капитальный ремонт 2,5  км автодороги</t>
  </si>
  <si>
    <t xml:space="preserve"> Капитальный ремонт 2 км автодороги</t>
  </si>
  <si>
    <t>Капитальный ремонт 2,5 км автодороги</t>
  </si>
  <si>
    <t>Капитальный ремонт 0,2 км автодороги</t>
  </si>
  <si>
    <t xml:space="preserve"> Ремонт 1 км автодороги</t>
  </si>
  <si>
    <t>в том числе по районам:</t>
  </si>
  <si>
    <t>Баганский район</t>
  </si>
  <si>
    <t>Барабинский район</t>
  </si>
  <si>
    <t>Болотнинский район</t>
  </si>
  <si>
    <t>Венгеровский район</t>
  </si>
  <si>
    <t>Доволенский район</t>
  </si>
  <si>
    <t>Здвинский район</t>
  </si>
  <si>
    <t>Искитимский район</t>
  </si>
  <si>
    <t>Карасукский район</t>
  </si>
  <si>
    <t>Каргатский район</t>
  </si>
  <si>
    <t>Колыванский район</t>
  </si>
  <si>
    <t>Коченевский район</t>
  </si>
  <si>
    <t>Кочковский район</t>
  </si>
  <si>
    <t>Краснозерский район</t>
  </si>
  <si>
    <t>Куйбышевский район</t>
  </si>
  <si>
    <t>Купинский район</t>
  </si>
  <si>
    <t>Кыштовский район</t>
  </si>
  <si>
    <t>Маслянинский район</t>
  </si>
  <si>
    <t>Мошковский район</t>
  </si>
  <si>
    <t>Новосибирский район</t>
  </si>
  <si>
    <t>Ордынский район</t>
  </si>
  <si>
    <t>Северный район</t>
  </si>
  <si>
    <t>Сузунский район</t>
  </si>
  <si>
    <t>Татарский район</t>
  </si>
  <si>
    <t>Тогучинский район</t>
  </si>
  <si>
    <t>Убинский район</t>
  </si>
  <si>
    <t>Усть-Таркский район</t>
  </si>
  <si>
    <t>Чановский район</t>
  </si>
  <si>
    <t>Черепановский район</t>
  </si>
  <si>
    <t>Чистоозерный район</t>
  </si>
  <si>
    <t>Чулымский район</t>
  </si>
  <si>
    <t>Содержание  базы  материалов  2-й  группы</t>
  </si>
  <si>
    <t>Совершенствование дорожных технологий, конструкций и материалов, разработка индивидуальных сметных норм и единичных расценок, отсутствующих в сметной нормативной базе</t>
  </si>
  <si>
    <t>Количество муниципальных образований</t>
  </si>
  <si>
    <t>г. Бердск</t>
  </si>
  <si>
    <t>г.Искитим</t>
  </si>
  <si>
    <t>р.п. Кольцово</t>
  </si>
  <si>
    <t>г.Обь</t>
  </si>
  <si>
    <t>г.Новосибирск</t>
  </si>
  <si>
    <t>внебюджетные источники*</t>
  </si>
  <si>
    <t>1.2. Задача 2: Перевод автомобильной дороги «Новосибирск – Кочки – Павлодар (в пред. РФ)» на участке Новосибирск – Ярково в Новосибирском районе Новосибирской области в 1 техническую категорию.</t>
  </si>
  <si>
    <t>1.2.1. Реконструкция автомобильной дороги «Новосибирск – Кочки – Павлодар (в пред. РФ)» на участке Новосибирск – Ярково в Новосибирском районе Новосибирской области на условиях государственно-частного партнерства</t>
  </si>
  <si>
    <t xml:space="preserve">1.2.1.1. Реконструкция автомобильной дороги «Новосибирск – Кочки – Павлодар (в пред. РФ)» на участке Новосибирск – Ярково в Новосибирском районе Новосибирской области </t>
  </si>
  <si>
    <t>Выполнение строительно-монтажных работ по реконструкции 18 км автомобильной дороги «Новосибирск – Кочки – Павлодар (в пред. РФ)» на участке Новосибирск – Ярково за счет средств частного инвестора.</t>
  </si>
  <si>
    <t xml:space="preserve">1.2.1.2. Компенсация инвестиционных и эксплуатационных затрат за реконструкцию автомобильной дороги «Новосибирск – Кочки – Павлодар (в пред. РФ)» на участке Новосибирск – Ярково в Новосибирском районе Новосибирской области </t>
  </si>
  <si>
    <t>Итого на решение задачи 2:</t>
  </si>
  <si>
    <t>Компенсация собственных и заемных средств частного инвестора, соответствующей доходности (доходность акционеров, проценты по займам), а также расходов частного инвестора на содержание и ремонт дороги из областного бюджета Новосибирской области ( в соответствии с частью 13 статьи 3 Федерального закона от 21.07.2005 № 115-ФЗ «О концессионных соглашениях»).</t>
  </si>
  <si>
    <t>Минтранс НСО, ГКУ НСО ТУАД  во взаимодействии с организациями-исполнителями</t>
  </si>
  <si>
    <t>Мощность, км</t>
  </si>
  <si>
    <t xml:space="preserve">местные бюджеты* </t>
  </si>
  <si>
    <t>Количество, км</t>
  </si>
  <si>
    <t>Капитальный ремонт 0,28 км автодороги</t>
  </si>
  <si>
    <t>Капитальный ремонт 123,1 п.м</t>
  </si>
  <si>
    <t>а/д "12 км а/д "К-12" -  Криводановка"</t>
  </si>
  <si>
    <t>а/д "992 км а/д "М-51"-Купино-Карасук", Татарский район</t>
  </si>
  <si>
    <t>Баганский район:</t>
  </si>
  <si>
    <t>Болотнинский район:</t>
  </si>
  <si>
    <t>Венгеровский район:</t>
  </si>
  <si>
    <t>Доволенский район:</t>
  </si>
  <si>
    <t>Искитимский район:</t>
  </si>
  <si>
    <t>Коченевский район:</t>
  </si>
  <si>
    <t>Кыштовский район:</t>
  </si>
  <si>
    <t>Новосибирский район:</t>
  </si>
  <si>
    <t>Ордынский район:</t>
  </si>
  <si>
    <t>Сузунский район:</t>
  </si>
  <si>
    <t>Татарский район:</t>
  </si>
  <si>
    <t>Чистоозерный район:</t>
  </si>
  <si>
    <t>а/д «Баган - Палецкое - Кучугур (в гр. района)»</t>
  </si>
  <si>
    <t>капитальный ремонт водопропускных труб</t>
  </si>
  <si>
    <t>а/д «1152 км а/д «М-51» - Таскаево - Бакмасиха»</t>
  </si>
  <si>
    <t>капремонт водопропускных труб</t>
  </si>
  <si>
    <t>а/д "127 км а/д "М-53" -  Болотное"</t>
  </si>
  <si>
    <t>а/д «52 км а/д «К-02» - Филошенка»</t>
  </si>
  <si>
    <t>а/д « 99 км а/д «К-02» - Павлово»</t>
  </si>
  <si>
    <t>а/д «Чаны - Венгерово - Кыштовка»</t>
  </si>
  <si>
    <t>Барабинский район:</t>
  </si>
  <si>
    <t>Здвинский район:</t>
  </si>
  <si>
    <t>а/д «992 км а/д «М-51» - Купино - Карасук»</t>
  </si>
  <si>
    <t>Карасукский район:</t>
  </si>
  <si>
    <t>а/д «232 км а/д «К-01» - Благодатное - Шилово-Курья - 377 км а/д «К-17р»</t>
  </si>
  <si>
    <t>мост ч/р Скалушка на 55 км а/д «Новосибирск - Колывань -Томск (в границах НСО)»</t>
  </si>
  <si>
    <t>Колыванский район:</t>
  </si>
  <si>
    <t>путепровод на 1 км автодороги "71 км а/д "М-52"-Легостаево-Чемское- 76 км а/д "К-16" (в гр. района)"</t>
  </si>
  <si>
    <t>Каргатский район:</t>
  </si>
  <si>
    <t>Краснозерский район:</t>
  </si>
  <si>
    <t>а/д «Куйбышев - Чумаково - Балман»</t>
  </si>
  <si>
    <t>Куйбышевский район:</t>
  </si>
  <si>
    <t>а/д «56 км а/д «Н-3118» - Чаинка - Тюменка»</t>
  </si>
  <si>
    <t>Купинский район:</t>
  </si>
  <si>
    <t>а/д «155 км а/д «К-02» - Межовка - гр. Северного района»</t>
  </si>
  <si>
    <t>а/д «105 км а/д «М-52» - Черепаново -  Маслянино»</t>
  </si>
  <si>
    <t>Маслянинский район:</t>
  </si>
  <si>
    <t xml:space="preserve"> Мошковский район:</t>
  </si>
  <si>
    <t>а/д «109 км а/д «К-17р»-Вагайцево-Усть-Луковка»</t>
  </si>
  <si>
    <t>а/д «Северное - Биаза - гр. Кыштовского района»</t>
  </si>
  <si>
    <t xml:space="preserve"> Северный район:</t>
  </si>
  <si>
    <t>Тогучинский район:</t>
  </si>
  <si>
    <t>Убинский район:</t>
  </si>
  <si>
    <t>Усть-Таркский район :</t>
  </si>
  <si>
    <t>Чановский район:</t>
  </si>
  <si>
    <t>Черепановский район:</t>
  </si>
  <si>
    <t xml:space="preserve"> Чулымский район:</t>
  </si>
  <si>
    <t>Код бюджетной классификации</t>
  </si>
  <si>
    <t xml:space="preserve">Значение показателя на 2015 год, </t>
  </si>
  <si>
    <t>Значение показателя на 2015 год (поквартально)</t>
  </si>
  <si>
    <t>1 кв.</t>
  </si>
  <si>
    <t>2 кв.</t>
  </si>
  <si>
    <t>3 кв.</t>
  </si>
  <si>
    <t>4 кв.</t>
  </si>
  <si>
    <t>а/д "Баган - Палецкое - Кучугур (в гр. района)"</t>
  </si>
  <si>
    <t>а/д "Здвинск - Барабинск"</t>
  </si>
  <si>
    <t>а/д "54 км а/д "М-52" - Завьялово - Факел Революции"</t>
  </si>
  <si>
    <t xml:space="preserve"> Искитимский район:</t>
  </si>
  <si>
    <t>а/д "Новосибирск-Кочки-Павлодар (в пред. РФ)"</t>
  </si>
  <si>
    <t>Кочковский район:</t>
  </si>
  <si>
    <t>а/д "Куйбышев - Северное"</t>
  </si>
  <si>
    <t>а/д "Кыштовка - Малокрасноярка"</t>
  </si>
  <si>
    <t>ремонт водопропускных труб</t>
  </si>
  <si>
    <t>Мошковский район:</t>
  </si>
  <si>
    <t>а/д "Новосибирск - Кочки - Павлодар (в пред.РФ)"</t>
  </si>
  <si>
    <t>Северный район:</t>
  </si>
  <si>
    <t>Чулымский район:</t>
  </si>
  <si>
    <t>а/д «75 км а/д «К-04» - Федоровка»</t>
  </si>
  <si>
    <t>а/д «9 км а/д «К-14» - Верх-Мильтюши - Куриловка»</t>
  </si>
  <si>
    <t>а/д «105 км а/д «М-52» - Сузун»</t>
  </si>
  <si>
    <t>а/д «105 км а/д «М-52» - Черепаново - Маслянино»</t>
  </si>
  <si>
    <t>а/д «1047 км а/д «М-51» - Блюдчанское  - Черниговка - Блюдцы»</t>
  </si>
  <si>
    <t>а/д «24 км а/д «Н-2802»-Новоникольск»</t>
  </si>
  <si>
    <t>а/д «Татарск - Зубовка»</t>
  </si>
  <si>
    <t>а/д «4 км а/д «Н-2304»-Витинск»</t>
  </si>
  <si>
    <t>а/д «Инская - Барышево - 39 км а/д «К-19р» (в гр. района)»</t>
  </si>
  <si>
    <t>а/д  «Новосибирск -   Каменка»</t>
  </si>
  <si>
    <t>а/д «127 км а/д «К-19р» -Дубровка-Маслянино»</t>
  </si>
  <si>
    <t>Мощность,                           км</t>
  </si>
  <si>
    <t>мост ч/р Амба на 61 км а/д «Новосибирск - Колывань -Томск (в границах НСО)»</t>
  </si>
  <si>
    <t>а/д «Новосибирск - Колывань - Томск» (в границах НСО)</t>
  </si>
  <si>
    <t>мост ч/р Безымянная на 62 км а/д "Новосибирск - Колывань -Томск (в границах НСО)"</t>
  </si>
  <si>
    <t>а/д «Куйбышев - Северное»</t>
  </si>
  <si>
    <t>мост ч/р Омь на 2 км а/д "66 км а/д "Н-1408"-Ушково-Михайловка"</t>
  </si>
  <si>
    <t>а/д «203км а/д»К-17р»-Каргат»</t>
  </si>
  <si>
    <t>а/д "93км а/д "К-09" - Первотроицк"</t>
  </si>
  <si>
    <t>а/д "Новосибирск-Красный Яр"</t>
  </si>
  <si>
    <t>а/д «Каргат - Маршанское»</t>
  </si>
  <si>
    <t>Реализация мероприятия позволит предотвратить или ликвидировать последствия стихийных бедствий и чрезвычайных ситуаций в сфере дорожного хозяйства  в случае их возникновения, а также позволит обеспечить финансирование возникших при этом непредвиденных расходов дорожно-строительного комплекса</t>
  </si>
  <si>
    <t>Реализация данного мероприятия позволит повысить пропускную способность и безопасность автомобильных дорог местного значения, прежде всего искусственных сооружений, а также обеспечить устойчивое транспортное сообщение с местами массовой жилищной застройки в населенных пунктах Новосибирской области</t>
  </si>
  <si>
    <t>Минтранс НСО, органы местного самоуправления</t>
  </si>
  <si>
    <t>Минтранс НСО</t>
  </si>
  <si>
    <t xml:space="preserve">Подробный перечень </t>
  </si>
  <si>
    <t xml:space="preserve">планируемых к реализации мероприятий государственной программы Новосибирской области </t>
  </si>
  <si>
    <t>Реализация мероприятия позволит обеспечить безопасное и бесперебойное движение транспорта на автомобильных дорогах общего пользования Новосибирской области</t>
  </si>
  <si>
    <t>Таблица 3</t>
  </si>
  <si>
    <t xml:space="preserve">1.2.1. Капитальный ремонт, ремонт, содержание, иные мероприятия в отношении  автомобильных дорог регионального и межмуниципального значения и искусственных сооружений на них </t>
  </si>
  <si>
    <t>1.1. Задача: Развитие и модернизация автомобильных дорог общего пользования регионального и межмуниципального значения и искусственных сооружений на них</t>
  </si>
  <si>
    <t>Ввод в эксплуатацию 2,051 км автодороги</t>
  </si>
  <si>
    <t>Ввод в эксплуатацию 2,750 км автодороги</t>
  </si>
  <si>
    <t>Ввод в эксплуатацию 2,665 км автодороги</t>
  </si>
  <si>
    <t>Ввод в эксплуатацию 2,066 км автодороги</t>
  </si>
  <si>
    <t>Ввод в эксплуатацию 1,417 км автодороги</t>
  </si>
  <si>
    <t>Ввод в эксплуатацию 2,068 км автодороги</t>
  </si>
  <si>
    <t>Строительство автомобильной дороги "102 км а/д "К-01" - Олтарь" в Чистоозерном районе Новосибирской области</t>
  </si>
  <si>
    <t>Строительство путепровода через железную дорогу "Омск - Новосибирск" на 6 км а/д "Коченево - совхоз Коченевский" в Коченевском районе Новосибирской области</t>
  </si>
  <si>
    <t xml:space="preserve">Реконструкция автомобильной дороги "Богатиха - Новорозино (в гр. района)" в Купинском районе Новосибирской области          </t>
  </si>
  <si>
    <t>Ввод в эксплуатацию 5,6 км автодороги</t>
  </si>
  <si>
    <t>Ввод в эксплуатацию 1,2 км автодороги</t>
  </si>
  <si>
    <t>строительство мостового перехода через реку Карасук на 43 км а/д "103 км а/д "К-17р" - Петровский - Большеникольское -Чулым (в гр. района)"</t>
  </si>
  <si>
    <t>Кредиторская задолженность</t>
  </si>
  <si>
    <t>а/д "217 км а/д "К-01" - Мироновка"</t>
  </si>
  <si>
    <t>Капитальный ремонт 1,14 км автодороги</t>
  </si>
  <si>
    <t>Капитальный ремонт 0,92 км автодороги</t>
  </si>
  <si>
    <t>а/д «Новосибирск - Ленинск-Кузнецкий (в границах НСО)"</t>
  </si>
  <si>
    <t>Объект введен в эксплуатацию в 2014 году</t>
  </si>
  <si>
    <t>Ввод в эксплуатацию 1,6 км автодороги</t>
  </si>
  <si>
    <t>Реконструкция автомобильной дороги "94 км а/д ""К-22"-Усть -Ламенка" в Венгеровском районе Новосибирской области</t>
  </si>
  <si>
    <t>Ввод в эксплуатацию 7,17 км автодороги</t>
  </si>
  <si>
    <t>Реконструкция автомобильной дороги "70 км а/д "К-12" - Пихтовка - Пономаревка" на участке км 79+087 - км 84+087 в Колыванском районе Новосибирской области</t>
  </si>
  <si>
    <t xml:space="preserve">Реконструкция автомобильной дороги "Куйбышев - Малинино" на участке км 5+065 - км 6+800 в Куйбышевском районе Новосибирской области </t>
  </si>
  <si>
    <t>Ввод в эксплуатацию 1,7 км автодороги</t>
  </si>
  <si>
    <t>Строительство мостового перехода через протоку Кожурла  на а/д "Купино - Новониколаевка - Новорозинская переправа" в Купинском районе Новосибирской области</t>
  </si>
  <si>
    <t>Ввод в эксплуатацию 3 км автодороги</t>
  </si>
  <si>
    <t>Реконструкция автомобильной дороги "22 км а/д "К-29" - Бобровка - Шайдурово - Чингис (в гр. района)" на участке км 41+749 - км 43+310 в Сузунском районе Новосибирской области</t>
  </si>
  <si>
    <t>Ввод в эксплуатацию 2 км автодороги</t>
  </si>
  <si>
    <t>Реконструкция автомобильной дороги "14 км а/д "Н-3203" -  Сарыкамышка" на участке км 0+000 - км 3+000 в Чулымском районе Новосибирской области.</t>
  </si>
  <si>
    <t>Капитальный ремонт 2,8 км автодороги</t>
  </si>
  <si>
    <t>Капитальный ремонт 0,5 км автодороги</t>
  </si>
  <si>
    <t>а/д "Куйбышев - Венгерово - гр. Омской области
(старый Московский тракт)"</t>
  </si>
  <si>
    <t>Капитальный ремонт 1,7 км автодороги</t>
  </si>
  <si>
    <t xml:space="preserve"> Ремонт 0,45 км автодороги</t>
  </si>
  <si>
    <t>Капитальный ремонт 1,65 км автодороги</t>
  </si>
  <si>
    <t>Капитальный ремонт 4,9 км автодороги</t>
  </si>
  <si>
    <t>Капитальный ремонт 0,8 км автодороги</t>
  </si>
  <si>
    <t>Капитальный ремонт 0,95 км автодороги</t>
  </si>
  <si>
    <t>Ввод в эксплуатацию 1,68 км автодороги</t>
  </si>
  <si>
    <t>Реконструкция автомобильной дороги "Подъезд к с.Нижнекаменка
/34 км/" в Ордынском районе Новосибирской области</t>
  </si>
  <si>
    <t>Реализация мероприятия позволит осуществлять заблаговременную подготовку  проектно-сметной документации, проведение процедуры размещения государственного заказа на строительно-монтажные работы до начала строительного сезона,   обеспечить разработку проектной и рабочей документации на первоочередные объекты  дорожной инфраструктуры Новосибирской области</t>
  </si>
  <si>
    <t>Сумма затрат (тыс.руб.), в том числе:</t>
  </si>
  <si>
    <t>Строительство моста ч/р Койниха на 7 км а/д "70 км а/д "М-52"-Евсино-Новолокти" в Искитимском районе Новосибирской области</t>
  </si>
  <si>
    <t xml:space="preserve">Строительство мостового перехода ч/р Ик на а/д "Легостаево - Новососедово - Верх-Ики ( в гр.района)" в Искитимском районе Новосибирской области </t>
  </si>
  <si>
    <t>Реконструкция автомобильной дороги "56 км а/д "Н-3118" - Чаинка - Тюменка" на участке км 16+963 - км 22+963 в Купинском районе Новосибирской области</t>
  </si>
  <si>
    <t>Строительство автомобильной дороги «Обход с.Сарапулка» с мостом ч/р Иня  в Мошковском и Тогучинском районах Новосибирской области</t>
  </si>
  <si>
    <t>Реконструкция мостового перехода ч/р Шеничный Лог на 134 км а/д "Новосибирск - Кочки - Павлодар (в пред. РФ)"в Ордынском районе Новосибирской области</t>
  </si>
  <si>
    <t>Реконструкция автомобильной дороги "79 км а/д "К-04"-Федоровка" на участке 17+900 - км 21+900  в Северном районе Новосибирской области</t>
  </si>
  <si>
    <t>Строительство моста через реку Кама на 2 км а/д "Подъезд к с. Чистое озеро /8 км/" в Венгеровском районе Новосибирской области</t>
  </si>
  <si>
    <t>Реконструкция автомобильной дороги "1 км а/д "Н-2123" - Верх-Тула -  Ленинское -ОБЬГЭС" в Новосибирском районе Новосибирской области</t>
  </si>
  <si>
    <t>Ввод в эксплуатацию 2,261 км автодороги</t>
  </si>
  <si>
    <t xml:space="preserve"> </t>
  </si>
  <si>
    <t>Сумма затрат (областной бюджет, тыс.руб.)</t>
  </si>
  <si>
    <t>областной бюджет</t>
  </si>
  <si>
    <t>федеральный бюджет*</t>
  </si>
  <si>
    <t>а/д "130 км а/д "М-53" -  Тогучин-Карпысак"</t>
  </si>
  <si>
    <t>а/д "81 км а/д "К-07" - Баклуши"</t>
  </si>
  <si>
    <t>а/д "109 км а/д "К-16" - Буготак - Репьево"</t>
  </si>
  <si>
    <t>мост ч/р Карасук на 5 км а/д "178 км а/д "К-17р" - Быструха"</t>
  </si>
  <si>
    <t xml:space="preserve"> Ремонт 5 км автодороги (в т.ч. поверхностная обработка)</t>
  </si>
  <si>
    <t>Ремонт путепровода протяженностью 48,44 п.м</t>
  </si>
  <si>
    <t>а/д "46 км а/д "М-52" - Сосновка"</t>
  </si>
  <si>
    <t>а/д "203 км а/д "К-17р"-Каргат"</t>
  </si>
  <si>
    <t>Капитальный ремонт 2,486 км автодороги</t>
  </si>
  <si>
    <t>Реализация мероприятия позволит осуществлять контроль качества дорожно-строительных работ на автомобильных дорогах регионального, межмуниципального и местного значения Новосибирской области</t>
  </si>
  <si>
    <t>1.2.3. Оказание услуг по независимому контролю (диагностика и оценка) состояния автомобильных дорог и тротуаров после ремонта с отбором проб и испытанием материалов покрытия</t>
  </si>
  <si>
    <t>Ввод в эксплуатацию моста протяженностью  44,72 п.м (подходы 0,42 км) **</t>
  </si>
  <si>
    <t>Ввод в эксплуатацию моста протяженностью  24,92 п.м (подходы 0,18 км) **</t>
  </si>
  <si>
    <t>Ввод в эксплуатацию моста протяженностью  23,1 п.м **</t>
  </si>
  <si>
    <t>61ХХХХХХ</t>
  </si>
  <si>
    <t>Реконструкция а/д 1 км а/д"Н-3207"- Базово - гр. Ордынского р-на" в Чулымском районе</t>
  </si>
  <si>
    <t>Значение показателя на 2016 год (поквартально)</t>
  </si>
  <si>
    <t>Мощность, км/ п.м</t>
  </si>
  <si>
    <t>Реконструкция автомобильной дороги "29 км а/д "Н-3104"-Новый Кошкуль" в Чистоозерном районе Новосибирской области</t>
  </si>
  <si>
    <t>Ввод в эксплуатацию 2,5 км автодороги</t>
  </si>
  <si>
    <t>стройка</t>
  </si>
  <si>
    <t>реконструкция</t>
  </si>
  <si>
    <t>с ИССО</t>
  </si>
  <si>
    <t>а/д</t>
  </si>
  <si>
    <t>Оплата по исполнительному листу согласно вынесенного судебного решения</t>
  </si>
  <si>
    <t>Строительство мостового перехода через реку Карасук на 43 км а/д "103 км а/д "К-17р" - Петровский - Большеникольское - Чулым (в гр.района)</t>
  </si>
  <si>
    <t>Ввод в эксплуатацию моста протяженностью 35,2 п.м (подходы 0,4 км) **</t>
  </si>
  <si>
    <t>-</t>
  </si>
  <si>
    <t>1.Цель: : Развитие и обеспечение сохранности автомобильных дорог регионального, межмуниципального и местного значения для обеспечения внутриобластных перевозок в интересах экономики и населения Новосибирской области и для усиления роли Новосибирска как крупнейшего транспортно-логистического узла азиатской части России</t>
  </si>
  <si>
    <t xml:space="preserve">а/д "Новосибирск - Колывань - Томск (в границах НСО)" </t>
  </si>
  <si>
    <t>Капитальный ремонт  автодороги 0,5 км</t>
  </si>
  <si>
    <t>Ввод в эксплуатацию 6  км автодороги</t>
  </si>
  <si>
    <t>Ввод в эксплуатацию 2,2 км автодороги</t>
  </si>
  <si>
    <t>Строительство автомобильной дороги "с.Березово-с.Гусельниково"</t>
  </si>
  <si>
    <t>Реконструкция автомобильной дороги "Искитим -Верх-Коен-Михайловка</t>
  </si>
  <si>
    <t>Реконструкция автомобильной дороги "19 км а/д "Н-0804"-Морозово"</t>
  </si>
  <si>
    <t>Реконструкция автомобильной дороги  а/д «2 км а/д «Н-1514» - Октябрьский - Хабаровский» на участке км 1+115- км 2+615 в Краснозёрском районе Новосибирской области</t>
  </si>
  <si>
    <t>Реконструкция автомобильной дороги "173 км а/д "К-01" Рождественка - Новоключи"</t>
  </si>
  <si>
    <t xml:space="preserve">Реконструкция автомобильной дороги "14 км а/д "Н-0601" - Ильинка - Дружный" </t>
  </si>
  <si>
    <t>Реконструкция автомобильной дороги "Чаны - Погорелка" на участке км 11+468 - км 13+200</t>
  </si>
  <si>
    <t xml:space="preserve">Строительство а/д с. Березово – с. Гусельниково </t>
  </si>
  <si>
    <t>Для проведения проектно -изыскательских работ</t>
  </si>
  <si>
    <t>Капитальный ремонт водопропускной трубы</t>
  </si>
  <si>
    <t>Ремонт водопропускных труб</t>
  </si>
  <si>
    <t>Капитальный ремонт 1,5 км автодороги</t>
  </si>
  <si>
    <t>Реконструкция автомобильной дороги "Барабинск-Зюзя-Квашнино"</t>
  </si>
  <si>
    <t>Реконструкция автомобильной дороги  "26 км а/д "Н-0502" - Ночка" на участке км 0+000 - км 2+674  в Венгеровском районе Новосибирской области</t>
  </si>
  <si>
    <t>Строительство моста через реку  Петушиха на 4 км а/д "Искитим-Лебедевка", Искитимский район</t>
  </si>
  <si>
    <t>Строительство автомобильной дороги "М-51"- Коченево" в Коченевском районе</t>
  </si>
  <si>
    <t>Реконструкция автомобильной дороги «332км а/д «К-17р»-ст.Зубково» на участке км 10+900 - км 12+235  в Краснозёрском районе Новосибирской области</t>
  </si>
  <si>
    <t>Ввод в эксплуатацию 1,5 км автодороги</t>
  </si>
  <si>
    <t>Реконструкция автомобильной дороги "56 км а/д "Н-3118"- Чаинка-Тюменка" на участке км 22+963 - км 27+963 в Купинском районе Новосибирской области</t>
  </si>
  <si>
    <t>Реконструкция автомобильной дороги "Кыштовка-Малокрасноярка" на участке км 29+300 - км 35+300 в Кыштовском районе Новосибирской области</t>
  </si>
  <si>
    <t>Ввод в эксплуатацию 8,5 км автодороги</t>
  </si>
  <si>
    <t>Реконструкция автомобильной дороги "Новосибирск-Ленинск-Кузнецкий" на участке км 12- км 24 в Новосибирском районе Новосибирской области</t>
  </si>
  <si>
    <t xml:space="preserve">Строительство пешеходного моста на 1 км а/д "Новосибирск - аэропорт Толмачево" </t>
  </si>
  <si>
    <t>Реконструкция автомобильной дороги  "Новосибирск - аэропорт Толмачево" в г. Обь Новосибирской области</t>
  </si>
  <si>
    <t>Реконструкция автомобильной дороги "29 км а/д "К-29" - Заковряжино - Шипуново" на участке км 19+927 - км 20+027  (ликвидация оврагообразования) в Сузунском районе Новосибирской области</t>
  </si>
  <si>
    <t>а/д "Подъезд к с. Здвинск /2км/ "</t>
  </si>
  <si>
    <t>а/д "1413 км а/д "М-51" - Колывань"</t>
  </si>
  <si>
    <t>Капремонт водопропускных труб</t>
  </si>
  <si>
    <t>а/д "53 км а/д "К-15" - Борково"</t>
  </si>
  <si>
    <t>Капитальный ремонт водопропускных труб</t>
  </si>
  <si>
    <t>а/д "Северное - Биаза - гр. Кыштовского района"</t>
  </si>
  <si>
    <t>Капитальный ремонт 1,25 км автодороги</t>
  </si>
  <si>
    <t>Капитальный ремонт 3,775 км автодороги</t>
  </si>
  <si>
    <t>а/д "103 км а/д "К-17р" - Петровский - Большеникольское -Чулым (в гр. района)"</t>
  </si>
  <si>
    <t>а/д "3 км а/д "К-32"-Михайловка - гр. Алтайского края"</t>
  </si>
  <si>
    <t>Ввод в эксплуатацию моста протяженностью  73,1 п.м (подходы 0,5 км) **</t>
  </si>
  <si>
    <t xml:space="preserve">Строительство моста через ручей на 2 км автомобильной дороги «2 км а/д «Н-1514» - Октябрьский - Хабаровский» </t>
  </si>
  <si>
    <t>Реконструкция автомобильной дороги  "Инская - Барышево - 39 км а/д "К-19р" (в гр. района)" на участке км 17+939 - км 21+000 в Новосибирском районе Новосибирской области</t>
  </si>
  <si>
    <t>Ввод в эксплуатацию 2,1 км автодороги</t>
  </si>
  <si>
    <t>Строительство автомобильной дороги "Барышево - Орловка - Кольцово" с автодорожным тоннелем под железной дорогой</t>
  </si>
  <si>
    <t>Ввод в эксплуатацию 5,5 км автодороги</t>
  </si>
  <si>
    <t xml:space="preserve">а/д "Здвинск-Довольное-17 км а/д "К-09" </t>
  </si>
  <si>
    <t>Капитальный ремонт 1,72 км автодороги</t>
  </si>
  <si>
    <t>Капитальный ремонт 2,0 км автодороги</t>
  </si>
  <si>
    <t xml:space="preserve">1.2. Задача: Обеспечение сохранности и восстановления автомобильных дорог регионального, межмуниципального и местного значения и искусственных сооружений на них, а также улично-дорожной сети в муниципальных образованиях  Новосибирской области. </t>
  </si>
  <si>
    <t>областной бюджет, тыс.руб.</t>
  </si>
  <si>
    <t>федеральный бюджет, тыс.руб.</t>
  </si>
  <si>
    <t>Сумма затрат  тыс.руб.</t>
  </si>
  <si>
    <t>Сумма затрат, тыс.руб.</t>
  </si>
  <si>
    <t>Обл.бюджет тыс.руб.</t>
  </si>
  <si>
    <t>Сумма затрат тыс.руб.</t>
  </si>
  <si>
    <t>Ввод в эксплуатацию  6,9 км автодороги</t>
  </si>
  <si>
    <t>Ввод в эксплуатацию 1,34 км автодороги</t>
  </si>
  <si>
    <t>Капитальный ремонт 1,45 км автодороги</t>
  </si>
  <si>
    <t>а/д "332 км а/д "К-17р" -  ст.Зубково"</t>
  </si>
  <si>
    <t>областной бюджет тыс. руб.</t>
  </si>
  <si>
    <t xml:space="preserve">Реконструкция автомобильной дороги "52 км а/д "К-02" - Филошенка" на участке км 18+109 - км 25+057 в Венгеровском районе Новосибирской области </t>
  </si>
  <si>
    <t xml:space="preserve">Реконструкция автомобильной дороги "Новосибирск-Садовый" в Новосибирском районе Новосибирской области </t>
  </si>
  <si>
    <t>Реконструкция автомобильной дороги  "Инская - Барышево - 39 км а/д "К-19р" (в гр. района)" на участке км 21+000 - км 27+158 в Новосибирском районе Новосибирской области</t>
  </si>
  <si>
    <t>федеральный бюджет *****</t>
  </si>
  <si>
    <t>федеральный бюджет, тыс.руб. *****</t>
  </si>
  <si>
    <t>***** Мероприятия приоритетного проекта "Безопасные и качественные дороги"</t>
  </si>
  <si>
    <t>а/д "Новосибирск - Сокур (в гр.района)"</t>
  </si>
  <si>
    <t>Оплата кредиторской задолженности по выполненным и принятым работам в 2016 году</t>
  </si>
  <si>
    <t>Цель: Развитие и обеспечение сохранности автомобильных дорог регионального, межмуниципального и местного значения для обеспечения внутриобластных перевозок в интересах экономики и населения Новосибирской области и для усиления роли Новосибирска как крупнейшего транспортно-логистического узла азиатской части России.</t>
  </si>
  <si>
    <t xml:space="preserve"> Оценка степени достижения целевого индикатора осуществляется по результатам выполненных работ по итогам года</t>
  </si>
  <si>
    <t>км</t>
  </si>
  <si>
    <t>%</t>
  </si>
  <si>
    <t>автомобильных дорог общего пользования местного значения</t>
  </si>
  <si>
    <t>автомобильных дорог общего пользования регионального и межмуниципального значения</t>
  </si>
  <si>
    <t>В связи с тем, что оценка степени достижения целевого индикатора осуществляется по результатам выполненных работ по итогам года, поквартальные значения индикатора не приводятся</t>
  </si>
  <si>
    <t>4.Объемы ввода в эксплуатацию после строительства и реконструкции автомобильных дорог общего пользования регионального и межмуниципального  значения**</t>
  </si>
  <si>
    <t>3.Протяженность сети автомобильных дорог общего пользования регионального и межмуниципального  значения на территории Новосибирской области</t>
  </si>
  <si>
    <t>км/тыс.кв.км</t>
  </si>
  <si>
    <t>2.Плотность автодорог регионального и межмуниципального значения с твердым покрытием (км автодорог на 1000 кв. км территории)</t>
  </si>
  <si>
    <t>1.Удельный вес автодорог с твердым покрытием в общей протяженности автодорог регионального и межмуниципального значения</t>
  </si>
  <si>
    <t>Задача 1.  Развитие и модернизация автомобильных дорог общего пользования регионального и межмуниципального значения и искусственных сооружений на них.</t>
  </si>
  <si>
    <t>Примечание</t>
  </si>
  <si>
    <t>Значение весового коэффициента целевого индикатора</t>
  </si>
  <si>
    <t>Ед. измерения</t>
  </si>
  <si>
    <t>Наименование целевого индикатора</t>
  </si>
  <si>
    <t>Цель/задачи, требующие решения для достижения цели</t>
  </si>
  <si>
    <t>Целевые индикаторы</t>
  </si>
  <si>
    <t>Таблица 1</t>
  </si>
  <si>
    <t>ПРИЛОЖЕНИЕ № 1</t>
  </si>
  <si>
    <t>к государственной программе Новосибирской области «Развитие автомобильных дорог регионального, межмуниципального и местного значения в Новосибирской области» в 2015-2022 годах</t>
  </si>
  <si>
    <t>СВЕДЕНИЯ</t>
  </si>
  <si>
    <t xml:space="preserve"> о целевых показателях государственной программы  Новосибирской области </t>
  </si>
  <si>
    <t>«Развитие автомобильных дорог регионального, межмуниципального и местного значения в Новосибирской области»</t>
  </si>
  <si>
    <t xml:space="preserve"> в 2015-2022 годах</t>
  </si>
  <si>
    <t>Показатели и индикаторы</t>
  </si>
  <si>
    <t>Единица измерения</t>
  </si>
  <si>
    <t>2003-2012 годы*</t>
  </si>
  <si>
    <t>2013 год*</t>
  </si>
  <si>
    <t>2014 год*</t>
  </si>
  <si>
    <t>2015 год</t>
  </si>
  <si>
    <t>2016 год</t>
  </si>
  <si>
    <t>2017 год</t>
  </si>
  <si>
    <t>2018 год</t>
  </si>
  <si>
    <t>2019 год</t>
  </si>
  <si>
    <t>2020 год</t>
  </si>
  <si>
    <t>2021 год</t>
  </si>
  <si>
    <t>2022 год</t>
  </si>
  <si>
    <t>Цель: развитие и обеспечение сохранности автомобильных дорог регионального, межмуниципального и местного значения для обеспечения внутриобластных перевозок в интересах экономики и населения Новосибирской области и для усиления роли Новосибирска как крупнейшего транспортно-логистического узла азиатской части России</t>
  </si>
  <si>
    <t>Задача 1. Развитие и модернизация автомобильных дорог общего пользования регионального и межмуниципального значения и искусственных сооружений на них</t>
  </si>
  <si>
    <t>км/тыс. кв. км</t>
  </si>
  <si>
    <t>*Значение целевого индикатора до начала реализации государственной программы.</t>
  </si>
  <si>
    <t>**Целевые индикаторы задачи 2 указаны укрупненно, детализация показателей указывается в плане реализации государственной программы на очередной год и плановый период.</t>
  </si>
  <si>
    <t>**Показатель "Объемы ввода в эксплуатацию после строительства и реконструкции автомобильных дорог общего пользования регионального и межмуниципального  значения" учитывает расчетную протяженность по мостам!!!</t>
  </si>
  <si>
    <t>Примечания: 1. В графах «2013» и 2014 год» указаны фактически достигнутые величины показателей за соответствующий год.</t>
  </si>
  <si>
    <t>_____________________</t>
  </si>
  <si>
    <t>Источники и направления расходов в разрезе государственных заказчиков государственной программы (главных распорядителей бюджетных средств)</t>
  </si>
  <si>
    <t>Финансовые затраты, тыс. рублей (в ценах 2014 года)</t>
  </si>
  <si>
    <t>всего</t>
  </si>
  <si>
    <t>в том числе по годам</t>
  </si>
  <si>
    <t>Министерство транспорта и дорожного хозяйства Новосибирской области</t>
  </si>
  <si>
    <t>Всего финансовых затрат, в том числе из:</t>
  </si>
  <si>
    <t>федерального бюджета &lt;*&gt;</t>
  </si>
  <si>
    <t>областного бюджета</t>
  </si>
  <si>
    <t>местных бюджетов &lt;*&gt;</t>
  </si>
  <si>
    <t>внебюджетных источников &lt;*&gt;</t>
  </si>
  <si>
    <t>Капитальные вложения, в том числе из:</t>
  </si>
  <si>
    <t>НИОКР &lt;**&gt;, в том числе из:</t>
  </si>
  <si>
    <t>Прочие расходы, в том числе из:</t>
  </si>
  <si>
    <t>ВСЕГО ПО ГОСУДАРСТВЕННОЙ ПРОГРАММЕ:</t>
  </si>
  <si>
    <t>Справочно: суммарный объем бюджетных ассигнований муниципальных дорожных фондов</t>
  </si>
  <si>
    <t>Справочно:</t>
  </si>
  <si>
    <t>объем бюджетных ассигнований Федерального дорожного фонда, направленный на реализацию мероприятий государственной программы, всего</t>
  </si>
  <si>
    <t>субсидии из федерального бюджета областному бюджету Новосибирской области на строительство и реконструкцию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в рамках реализации федеральной целевой программы "Устойчивое развитие сельских территорий на 2014 - 2017 годы и на период до 2020 года"</t>
  </si>
  <si>
    <t>иные межбюджетные трансферты из федерального бюджета областному бюджету Новосибирской области на реализацию мероприятий региональных программ в сфере дорожного хозяйства по решениям Правительства Российской Федерации в рамках подпрограммы "Дорожное хозяйство" государственной программы Российской Федерации "Развитие транспортной системы"</t>
  </si>
  <si>
    <t>иные межбюджетные трансферты из федерального бюджета областному бюджету Новосибирской области на финансовое обеспечение дорожной деятельности в рамках подпрограммы "Дорожное хозяйство" государственной программы Российской Федерации "Развитие транспортной системы"</t>
  </si>
  <si>
    <t>иные межбюджетные трансферты из федерального бюджета областному бюджету Новосибирской области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</si>
  <si>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областной бюджет на ЦМ</t>
  </si>
  <si>
    <t>внебюджет на ЦМ</t>
  </si>
  <si>
    <t>индексы-дефляторы</t>
  </si>
  <si>
    <t>в текущих ценах</t>
  </si>
  <si>
    <t>кап. грант</t>
  </si>
  <si>
    <t>обл. бюджет</t>
  </si>
  <si>
    <t>внебюджет</t>
  </si>
  <si>
    <t>Распределение по годам в %</t>
  </si>
  <si>
    <t>Стоимость моста в ценах соотвествующих лет</t>
  </si>
  <si>
    <t>Итого</t>
  </si>
  <si>
    <t>ФБ</t>
  </si>
  <si>
    <t>ОБ</t>
  </si>
  <si>
    <t>ВБ</t>
  </si>
  <si>
    <t>общ</t>
  </si>
  <si>
    <t>год</t>
  </si>
  <si>
    <t>стоимость 1 км</t>
  </si>
  <si>
    <t>кол-во усл. км</t>
  </si>
  <si>
    <t>Реконструкция автомобильной дороги "39 км а/д "К-26" - Бровничи" на участке км 0 + 000 - км 6 + 895 в Венгеровском районе Нововсибирской области</t>
  </si>
  <si>
    <t>Ввод в эксплуатацию  автодороги, автодорожного тоннеля (объем работ  уточняется)</t>
  </si>
  <si>
    <t>Ввод в эксплуатацию моста протяженностью 50,0 п.м (подходы 0,6 км)  **</t>
  </si>
  <si>
    <t xml:space="preserve">Строительство мостового перехода ч/р Каракан на 55 км а/д "54 км а/д "М-52" - Завьялово -Факел Революции" в Искитимском районе Новосибирской области </t>
  </si>
  <si>
    <t>местные бюджеты</t>
  </si>
  <si>
    <t xml:space="preserve">федеральный бюджет </t>
  </si>
  <si>
    <t xml:space="preserve">Ввод в эксплуатацию моста протяженностью  23,6 п.м (подходы 0,0766 км)** </t>
  </si>
  <si>
    <t>Ввод в эксплуатацию моста протяженностью  247,3 п.м (подходы 0,6 км) **</t>
  </si>
  <si>
    <t>Сумма затрат (тыс.руб.)</t>
  </si>
  <si>
    <t>Капитальный ремонт 1,033 км автодороги</t>
  </si>
  <si>
    <t>а/д "1 км а/д "Н-2123" - Верх-Тула -  Ленинское-ОБЬГЭС"</t>
  </si>
  <si>
    <t>Оплата бюджетных обязательства по выполненным и принятым работам в 2016 году</t>
  </si>
  <si>
    <t>Реконструкция автомобильной дороги "22 км а/д "К-08" - Сарыбалык - Даниловская Ферма" на участке км 0+003 - км 2+068 в Доволенском районе  Новосибирской области</t>
  </si>
  <si>
    <t>иные межбюджетные трансферты на реализацию   приоритетного направления стратегического развития Российской Федерации, в целях реализации приоритетного проекта «Безопасные и качественные дороги»</t>
  </si>
  <si>
    <t xml:space="preserve">Капитальный ремонт моста 34,7 п.м (подходы 0,04 км) </t>
  </si>
  <si>
    <t>Федер.бюджет тыс.руб. *</t>
  </si>
  <si>
    <t>внебюджетные источники</t>
  </si>
  <si>
    <t>Капитальный ремонт 56,65 п.м (0,9293 км)**</t>
  </si>
  <si>
    <t>Капитальный ремонт 0,3 км автодороги</t>
  </si>
  <si>
    <t>Задача 2. Обеспечение сохранности и восстановления автомобильных дорог регионального, межмуниципального и местного значения и искусственных сооружений на них, а также улично-дорожной сети в муниципальных образованиях  Новосибирской области.</t>
  </si>
  <si>
    <t>Реализация мероприятия позволит завершить государственную регистрацию права собственности Новосибирской области на автомобильные дороги и земельные участки, входящие в полосы отвода автомобильных дорог, а также права ГКУ НСО ТУАД на оперативное управление и постоянное (бессрочное) пользование</t>
  </si>
  <si>
    <t>61000R0181</t>
  </si>
  <si>
    <t>52X</t>
  </si>
  <si>
    <t>федеральный бюджет***</t>
  </si>
  <si>
    <t>федеральный бюджет ***</t>
  </si>
  <si>
    <t>федеральный бюджет ******</t>
  </si>
  <si>
    <t>52Х</t>
  </si>
  <si>
    <t>Значение показателя на 2020 год</t>
  </si>
  <si>
    <t>Ввод в эксплуатацию 12,5 км автодороги</t>
  </si>
  <si>
    <t>Ввод в эксплуатацию 2,5  км автодороги</t>
  </si>
  <si>
    <t xml:space="preserve">а/д «Сузун - Битки - Преображенка - 18 км а/д «К-13» (в гр. района)» </t>
  </si>
  <si>
    <t>а/д "53 км а/д "К-29" - Шарчино"</t>
  </si>
  <si>
    <t xml:space="preserve"> Ремонт 2,0 км автодороги</t>
  </si>
  <si>
    <t>Минтранс НСО, ГКУ НСО "Мост"</t>
  </si>
  <si>
    <t xml:space="preserve">Сумма затрат (обл.бюджет), тыс.руб., </t>
  </si>
  <si>
    <t>Количество участков</t>
  </si>
  <si>
    <t>***</t>
  </si>
  <si>
    <t>шт.</t>
  </si>
  <si>
    <t xml:space="preserve">местный бюджет </t>
  </si>
  <si>
    <t>Бюджетные обязательства по выполненным и принятым работам в 2017 году</t>
  </si>
  <si>
    <t>Предусмотрены средства на оказание услуг по осуществлению функций независимого контроля за капитальным ремонтом автомобильных дорог</t>
  </si>
  <si>
    <t>Предусмотрены средства на оказание услуг по осуществлению функций независимого контроля за ремонтом автомобильных дорог</t>
  </si>
  <si>
    <t>Предусмотрены средства для оплаты энергопотребительских систем, на содержание мониторинговых приборов, содержание метеостанций, весового контроля, мероприятия по снегоборьбе и т.д.</t>
  </si>
  <si>
    <t>Таблица 3.1</t>
  </si>
  <si>
    <t xml:space="preserve">Весовой коэффициент по целевому индикатору будет присвоен после заключения федерального соглашения и начала финансирования  </t>
  </si>
  <si>
    <t xml:space="preserve">Реконструкция автомобильной дороги "Венгерово - Минино - Верх-Красноярка - Северное (в гр. района)" в Венгеровском районе Новосибирской области       </t>
  </si>
  <si>
    <t>а/д "Сузун - Битки - Преображенка - 18 км а/д "К-13" (в гр. района) "</t>
  </si>
  <si>
    <t>а/д "1408 км а/д "М-51" - Крутологово"</t>
  </si>
  <si>
    <t>а/д "15 км а/д "К-38" - Вассино - Дергоусово"</t>
  </si>
  <si>
    <t xml:space="preserve">Реконструкция автомобильной дороги "99 км а/д "К-02" - Павлово" на участке км 10+500 - км 23+049 в Венгеровском районе Новосибирской области  </t>
  </si>
  <si>
    <t>Реконструкция автомобильной дороги "Мироновка - Петрушино" в Баганском районе Новосибирской области</t>
  </si>
  <si>
    <t>Реконструкция   автомобильной дороги  "Новосибирск - Кочки - Павлодар (в пред. РФ)" на участке Новосибирск – Ярково в Новосибирском районе Новосибирской области</t>
  </si>
  <si>
    <t>Капитальный ремонт 1,6 км автодороги</t>
  </si>
  <si>
    <t>Ввод в эксплуатацию 0,2 км автодороги</t>
  </si>
  <si>
    <t>Рз</t>
  </si>
  <si>
    <t>Пр</t>
  </si>
  <si>
    <t>04</t>
  </si>
  <si>
    <t>09</t>
  </si>
  <si>
    <t>х</t>
  </si>
  <si>
    <t>Всего, в том числе:</t>
  </si>
  <si>
    <t>Оплата кредиторской задолжности за работы, выполненные в 2017 году</t>
  </si>
  <si>
    <t>В 2018 году будут исполнены по бюджетные обязательствам по выполненным и принятым работам в 2017 году</t>
  </si>
  <si>
    <t>Стоимость единицы</t>
  </si>
  <si>
    <t>Сумма затрат всего, в том числе</t>
  </si>
  <si>
    <t>федеральный бюджет</t>
  </si>
  <si>
    <t>областной бюджет, в том числе:</t>
  </si>
  <si>
    <t>1.2.1.6.1. Научно-исследовательские и конструкторские работы  в дорожной отрасли</t>
  </si>
  <si>
    <t>1.2.1.6.2. Оплата кредиторской задолженности за работы, выполненные в 2017 году</t>
  </si>
  <si>
    <t xml:space="preserve">1.2.1.7.1.Разработка проектно-сметной документации для автомобильных дорог регионального и межмуниципального значения </t>
  </si>
  <si>
    <t>Выполнение работ по ответственному хранению материальных ценностей мобилизационного резерва</t>
  </si>
  <si>
    <t>Реконструкция автомобильной дороги  "Каргат - Маршанское" на участке км 14+008  - км 34+106 в Каргатском районе Новосибирской области</t>
  </si>
  <si>
    <t>а/д "21 км а/д "К-17р" - Верх-Тула"</t>
  </si>
  <si>
    <t>Реконструкция моста через ручей на 19 км а/д "Мальчиха - Лаптевка" в Колыванском районе Новосибирской области</t>
  </si>
  <si>
    <t>Реконструкция пешеходного моста на 8,61км а/д "Советское шоссе" в Новосибирском районе Новосибирской области</t>
  </si>
  <si>
    <t>Капитальный ремонт моста протяженностью 45,68 п.м.</t>
  </si>
  <si>
    <t>Капитальный ремонт моста протяженностью 28,97 п.м.</t>
  </si>
  <si>
    <t>Для проведения проектно -изыскательских работ.  Мостовой  переход протяженностью 56,5 п.м., подходы 0,343 км</t>
  </si>
  <si>
    <t>Для проведения проектно -изыскательских работ. Протяженность автомобильной дороги 4,0  км</t>
  </si>
  <si>
    <t>Для проведения проектно -изыскательских работ. Протяженность автомобильной дороги 22,0  км</t>
  </si>
  <si>
    <t>Капитальный ремонт автодороги 0,4 км</t>
  </si>
  <si>
    <t xml:space="preserve">Для проведения регистрации права собственности </t>
  </si>
  <si>
    <t>Предусмотрены средства на выполнение подготовительных работ для реконструкции автомобильных дорог, на оказание услуг по осуществлению функций строительного контроля за реконструкцией автомобильных дорог</t>
  </si>
  <si>
    <t xml:space="preserve"> Ремонт 3,8 км автодороги</t>
  </si>
  <si>
    <t>****** Остатки средств  федерального бюджета, неиспользованные на 1 января текущего года</t>
  </si>
  <si>
    <t>Оценка степени достижения целевого индикатора осуществляется по результатам выполненных работ по итогам года</t>
  </si>
  <si>
    <t>1.1.2.4. Непредвиденные работы (в том числе разработка раздела "мероприятия по обеспечению сохранности памятника археологии", выполнение спасательных раскопок на территории выявленного памятника археологии)</t>
  </si>
  <si>
    <t>Сумма затрат всего, в том числе:</t>
  </si>
  <si>
    <t>Значение показателя на 2021 год</t>
  </si>
  <si>
    <t>Ввод в эксплуатацию 12,67 км автодороги</t>
  </si>
  <si>
    <t xml:space="preserve">Ввод в эксплатацию автомобильной дороги 2,6 км </t>
  </si>
  <si>
    <t>Реконструкция автомобильной дороги "38 км а/д "Н-1029"- Шейнфельд - Богословка"  в Карасукском районе Новосибирской области</t>
  </si>
  <si>
    <t>Ввод в эксплуатацию 12,8  км автодороги</t>
  </si>
  <si>
    <t>Строительство автомобильной дороги "2 км автомобильной дороги "Академгородок-Ключи" - Каинская Заимка" на участке км 0+00 - км 3+000 в Новосибирском районе</t>
  </si>
  <si>
    <t>Реконструкция автомобильной дороги  "Инская - Барышево - 39 км а/д "К-19р" (в гр. района)" на участке км 26+000 - км 30+739 в Новосибирском и Тогучинском районах Новосибирской области</t>
  </si>
  <si>
    <t>Реконструкция автомобильной дороги "Чаны - Погорелка" на участке км 11+468 - км 13+200 в Чановском районе Новосибирской области</t>
  </si>
  <si>
    <t>Минтранс НСО,  ГКУ НСО ТУАД</t>
  </si>
  <si>
    <t xml:space="preserve">а/д "992 км а/д "М-51 - Купино - Карасук" </t>
  </si>
  <si>
    <t>а/д "Здвинск-Довольное-17 км а/д "К-09"</t>
  </si>
  <si>
    <t xml:space="preserve"> Ремонт 3,0 км автодороги</t>
  </si>
  <si>
    <t>а/д "127км а/д "К-19р" - Дубровка - Маслянино"</t>
  </si>
  <si>
    <t xml:space="preserve"> Ремонт 5,7 км автодороги</t>
  </si>
  <si>
    <t xml:space="preserve"> Ремонт 2,9 км автодороги </t>
  </si>
  <si>
    <t xml:space="preserve">а/д "Чаны - Погорелка" </t>
  </si>
  <si>
    <t xml:space="preserve"> Ремонт 4,4 км автодороги (в т.ч. поверхностная обработка)</t>
  </si>
  <si>
    <t xml:space="preserve"> Ремонт 1,9 км автодороги</t>
  </si>
  <si>
    <t>В 2019-2021 годах   реализация мероприятия позволит осуществлять заблаговременную подготовку  проектно-сметной документации, проведение процедуры размещения государственного заказа на строительно-монтажные работы до начала строительного сезона,   обеспечить разработку проектной и рабочей документации на первоочередные объекты  дорожной инфраструктуры Новосибирской области</t>
  </si>
  <si>
    <t>В 2019-2021 годах продолжится работа по совершенствованию дорожных технологий, конструкций и материалов, разработка индивидуальных сметных норм и единичных расценок, отсутствующих в сметной нормативной базе</t>
  </si>
  <si>
    <t>61004XXXXX</t>
  </si>
  <si>
    <t>6100ХXXXXX</t>
  </si>
  <si>
    <t>6100XXXXXX</t>
  </si>
  <si>
    <t>Реконструкция автомобильной дороги "67 км а/д "К-21" - Егорьевское" на участке км 0+900 - км 3+000  в Маслянинском районе Новосибирской области</t>
  </si>
  <si>
    <t>Реконструкция автомобильной дороги "Новосибирск-Ленинск-Кузнецкий" на участке км 39- км 42 в Тогучинском районе Новосибирской области</t>
  </si>
  <si>
    <t>1.1.1. Строительство и реконструкция автомобильных дорог регионального и межмуниципального значения и искусственных сооружений на них в целях увеличения их пропускной способности</t>
  </si>
  <si>
    <t xml:space="preserve">1.1.3.  Оснащение объектов транспортной инфраструктуры техническими средствами обеспечения транспортной безопасности искусственных сооружений на автомобильных дорогах общего пользования Новосибирской области </t>
  </si>
  <si>
    <t xml:space="preserve">"Развитие автомобильных дорог регионального, межмуниципального и местного значения в Новосибирской области" </t>
  </si>
  <si>
    <t>Техническая готовность объекта, %</t>
  </si>
  <si>
    <t xml:space="preserve"> Искусственные сооружения, оснащеные средствами обеспечения транспортной безопасности, ед.</t>
  </si>
  <si>
    <t>Реконструкция автомобильной дороги "8 км а/д "Н-1203"-Семеновский"  в Коченевском районе Новосибирской области</t>
  </si>
  <si>
    <t>Ввод в эксплуатацию 0,6 км автодороги</t>
  </si>
  <si>
    <t>Ввод в эксплуатацию 4,0 км автодороги</t>
  </si>
  <si>
    <t>Проведение проектно -изыскательских работ</t>
  </si>
  <si>
    <t>***** Мероприятия регионального  проекта  Новосибирской области "Безопасные и качественные дороги"</t>
  </si>
  <si>
    <t>610R153931</t>
  </si>
  <si>
    <t>Сумма затрат областного бюджета, в том числе</t>
  </si>
  <si>
    <t>Сумма зтрат (тыс.рублей)</t>
  </si>
  <si>
    <t>а/д "52 км а/д "М-52" -  Искитим"</t>
  </si>
  <si>
    <t>Кыштовка-Малокрасноярка</t>
  </si>
  <si>
    <t xml:space="preserve"> а/д "29 км а/д "К-29" - Заковряжино - Шипуново" </t>
  </si>
  <si>
    <t>1196 км а/д "М-51"- Александро-Невское</t>
  </si>
  <si>
    <t xml:space="preserve"> Ремонт 4,0 км автодороги</t>
  </si>
  <si>
    <t>Ремонт 2,0 км автодороги</t>
  </si>
  <si>
    <t>20 км а/д «Н-0104» - Абакумово</t>
  </si>
  <si>
    <t>Ремонт 4,0 км автодороги</t>
  </si>
  <si>
    <t>Бакмасиха - Старый Карапуз</t>
  </si>
  <si>
    <t>Барабинск - Куйбышев</t>
  </si>
  <si>
    <t xml:space="preserve"> Ремонт 2,9 км автодороги</t>
  </si>
  <si>
    <t xml:space="preserve">а/д "Чаны - Венгерово - Кыштовка" </t>
  </si>
  <si>
    <t>52 км а/д "К-02" - Филошенка</t>
  </si>
  <si>
    <t>"Куйбышев - Венгерово - гр. Омской области (старый Московский тракт)"</t>
  </si>
  <si>
    <t>а/д "Здвинск - Довольное - 17 км а/д "К-09""</t>
  </si>
  <si>
    <t xml:space="preserve">296 км а/д "К-17р" - Полойка-Травное-Довольное (в гр. района) </t>
  </si>
  <si>
    <t xml:space="preserve"> Ремонт 1,0 км автодороги</t>
  </si>
  <si>
    <t xml:space="preserve">Мощность, км   </t>
  </si>
  <si>
    <t xml:space="preserve"> Ремонт 7,0 км автодороги </t>
  </si>
  <si>
    <t>27км а/д "К-07" - Верх-Каргат - Берёзовка - Новощербаки</t>
  </si>
  <si>
    <t xml:space="preserve"> "71 км а/д "М-52"-Легостаево-Чемское- 76 км а/д "К-16" (в гр. района)"</t>
  </si>
  <si>
    <t xml:space="preserve"> Ремонт 8,5 км автодороги</t>
  </si>
  <si>
    <t>358 км а/д "К-17р - Кучугур</t>
  </si>
  <si>
    <t>а/д "203 км а/д "К-17р" - Каргат"</t>
  </si>
  <si>
    <t>10 км а/д "Н-0904" - Мусы</t>
  </si>
  <si>
    <t>1282 км а/д "М-51" - Форпост-Каргат - Верх-Каргат - Натальинский</t>
  </si>
  <si>
    <t xml:space="preserve"> Ремонт 4 км автодороги</t>
  </si>
  <si>
    <t>Ремонт 1 км автодороги</t>
  </si>
  <si>
    <t>70 км а/д "К-12" - Пихтовка - Пономаревка</t>
  </si>
  <si>
    <t>57 км а/д "К-12"- Вьюны - Новотроицк - Юрт-Акбалык</t>
  </si>
  <si>
    <t xml:space="preserve"> Ремонт 2,2 км автодороги</t>
  </si>
  <si>
    <t xml:space="preserve">а/д "Новосибирск - Колывань -Томск (в границах НСО)" </t>
  </si>
  <si>
    <t>а/д "296 км а/д "К-17р" - Полойка - Травное - Довольное (в гр. района)"</t>
  </si>
  <si>
    <t>а/д "Новосибирск-Кочки-Павлодар (в пред. РФ) "</t>
  </si>
  <si>
    <t>15 км а/д "К-27" -  Луговой</t>
  </si>
  <si>
    <t>Ремонт 4,2 км автодороги</t>
  </si>
  <si>
    <t xml:space="preserve"> Ремонт 5 км автодороги</t>
  </si>
  <si>
    <t xml:space="preserve">"Абрамово - Старогребенщиково - Осинцево" </t>
  </si>
  <si>
    <t xml:space="preserve">"35 км а/д "К-22" - Новокаменево" </t>
  </si>
  <si>
    <t xml:space="preserve">"66 км а/д "Н-1408"- Ушково - Михайловка" </t>
  </si>
  <si>
    <t xml:space="preserve">"Куйбышев - Кондусла - гр.Убинского района" </t>
  </si>
  <si>
    <t xml:space="preserve">"52 км а/д "Н-1408" - Константиновка - Новоалексеевка" </t>
  </si>
  <si>
    <t xml:space="preserve"> Ремонт 0,3 км автодороги</t>
  </si>
  <si>
    <t xml:space="preserve"> Ремонт 3 км автодороги</t>
  </si>
  <si>
    <t xml:space="preserve"> Ремонт 2 км автодороги</t>
  </si>
  <si>
    <t xml:space="preserve"> Ремонт 8 км автодороги</t>
  </si>
  <si>
    <t>"Чаны-Венгерово-Кыштовка"</t>
  </si>
  <si>
    <t xml:space="preserve"> Ремонт 7,7 км автодороги</t>
  </si>
  <si>
    <t>66 км а/д "К-15"-Елбань</t>
  </si>
  <si>
    <t>31 км а/д "Н-1801" - Елбань - Загора</t>
  </si>
  <si>
    <t>Мошково - Кайлы</t>
  </si>
  <si>
    <t>2 км а/д "Н-1910" - Новый Порос</t>
  </si>
  <si>
    <t xml:space="preserve"> Ремонт 11,9 км автодороги</t>
  </si>
  <si>
    <t xml:space="preserve"> Ремонт 1,5 км автодороги</t>
  </si>
  <si>
    <t>14 км а/д "Н-2107" - Быково</t>
  </si>
  <si>
    <t>а/д "Новосибирск - Колывань -Томск (в границах НСО)"</t>
  </si>
  <si>
    <t xml:space="preserve"> Ремонт 6,5 км автодороги </t>
  </si>
  <si>
    <t>67 км а/д "К-17р" - Верх-Ирмень - Березовка - Верх-Чик - гр.Коченевского района</t>
  </si>
  <si>
    <t xml:space="preserve"> Ремонт 2,0 км автодороги </t>
  </si>
  <si>
    <t>Северное - Чуваши - Кордон</t>
  </si>
  <si>
    <t>"Венгерово - Минино - Верх-Красноярка - Северное (в гр. района)"</t>
  </si>
  <si>
    <t xml:space="preserve"> Ремонт 9,0 км автодороги </t>
  </si>
  <si>
    <t>22 км а/д "К-29" - Бобровка - Шайдурово - Чингис (в гр. района)</t>
  </si>
  <si>
    <t xml:space="preserve"> Ремонт 7,5 км автодороги</t>
  </si>
  <si>
    <t>10 км а/д "Н-2519" - Варваровка</t>
  </si>
  <si>
    <t>18 км а/д "Н-2513" - Константиновка - Орловка</t>
  </si>
  <si>
    <t xml:space="preserve"> Ремонт 10,0 км автодороги</t>
  </si>
  <si>
    <t xml:space="preserve"> Ремонт 0,8 км автодороги</t>
  </si>
  <si>
    <t>а/д "Новосибирск - Ленинск-Кузнецкий (в границах НСО)"</t>
  </si>
  <si>
    <t xml:space="preserve"> Ремонт 5,0 км автодороги</t>
  </si>
  <si>
    <t xml:space="preserve"> Ремонт 7,0 км автодороги</t>
  </si>
  <si>
    <t>13 км а/д "К-14" - Карагужево</t>
  </si>
  <si>
    <t xml:space="preserve"> Ремонт 4,8 км автодороги</t>
  </si>
  <si>
    <t>Ремонт 3,0 км автодороги</t>
  </si>
  <si>
    <t>а/д "65 км а/д "К-30"-Осиновский-Сидоркино"</t>
  </si>
  <si>
    <t>103 км а/д "К-17р" - Петровский - Большеникольское -Чулым (в гр. района)</t>
  </si>
  <si>
    <t xml:space="preserve">Подъезд к г. Чулыму   </t>
  </si>
  <si>
    <t>Ремонт 6,6 км автодороги</t>
  </si>
  <si>
    <t>Шерстобитово - Залесный - 99 км а/д "К-30"</t>
  </si>
  <si>
    <t>Ремонт 1,8 км автодороги</t>
  </si>
  <si>
    <t>Ремонт 1,0 км автодороги</t>
  </si>
  <si>
    <t>Сумма затрат по региональному проекту</t>
  </si>
  <si>
    <t>24Х</t>
  </si>
  <si>
    <t>610R153933</t>
  </si>
  <si>
    <t>610R153932</t>
  </si>
  <si>
    <r>
      <t xml:space="preserve">областной бюджет </t>
    </r>
    <r>
      <rPr>
        <b/>
        <sz val="10"/>
        <rFont val="Calibri"/>
        <family val="2"/>
        <charset val="204"/>
      </rPr>
      <t>¹</t>
    </r>
  </si>
  <si>
    <r>
      <t xml:space="preserve">федеральный бюджет </t>
    </r>
    <r>
      <rPr>
        <b/>
        <sz val="10"/>
        <rFont val="Calibri"/>
        <family val="2"/>
        <charset val="204"/>
      </rPr>
      <t>¹</t>
    </r>
  </si>
  <si>
    <r>
      <t xml:space="preserve">федеральный бюджет </t>
    </r>
    <r>
      <rPr>
        <b/>
        <sz val="10"/>
        <rFont val="Calibri"/>
        <family val="2"/>
        <charset val="204"/>
      </rPr>
      <t>²</t>
    </r>
  </si>
  <si>
    <t>610ХХХХХХХ</t>
  </si>
  <si>
    <t>Отчет по итогам археологических исследований по результату выполнения спасательных полевых археологических работ (раскопок)</t>
  </si>
  <si>
    <t xml:space="preserve">Стоимость единицы, тыс.руб. </t>
  </si>
  <si>
    <t xml:space="preserve">областной бюджет   </t>
  </si>
  <si>
    <t>Количество ⁴</t>
  </si>
  <si>
    <r>
      <t xml:space="preserve">федеральный бюджет </t>
    </r>
    <r>
      <rPr>
        <b/>
        <sz val="10"/>
        <rFont val="Calibri"/>
        <family val="2"/>
        <charset val="204"/>
      </rPr>
      <t>¹</t>
    </r>
    <r>
      <rPr>
        <b/>
        <sz val="10"/>
        <rFont val="Times New Roman"/>
        <family val="1"/>
        <charset val="204"/>
      </rPr>
      <t xml:space="preserve"> </t>
    </r>
  </si>
  <si>
    <t>областной бюджет ¹</t>
  </si>
  <si>
    <t xml:space="preserve">местный  бюджет </t>
  </si>
  <si>
    <r>
      <rPr>
        <sz val="11"/>
        <rFont val="Calibri"/>
        <family val="2"/>
        <charset val="204"/>
      </rPr>
      <t>¹</t>
    </r>
    <r>
      <rPr>
        <sz val="11"/>
        <rFont val="Times New Roman"/>
        <family val="1"/>
        <charset val="204"/>
      </rPr>
      <t xml:space="preserve"> Расчетная протяженность объекта строительства (реконструкции) искусственного сооружения определяется в соответствии с Методикой оценки вклада субъекта Российской Федерации в решение задач по удвоению в 2013-2022 годах объемов строительства автомобильных дорог по сравнению с предыдущим десятилетием (2003-2012 годы), разработанной Минтрансом России.</t>
    </r>
  </si>
  <si>
    <r>
      <t>Ввод в эксплуатацию моста протяженностью  42,85 п.м (подходы 0,3 км)</t>
    </r>
    <r>
      <rPr>
        <sz val="9"/>
        <rFont val="Calibri"/>
        <family val="2"/>
        <charset val="204"/>
      </rPr>
      <t>¹</t>
    </r>
  </si>
  <si>
    <r>
      <t>Ввод  в эксплуатацию моста протяженностью  63,83 п.м (подходы 0,3 км)</t>
    </r>
    <r>
      <rPr>
        <sz val="9"/>
        <rFont val="Calibri"/>
        <family val="2"/>
        <charset val="204"/>
      </rPr>
      <t>¹</t>
    </r>
  </si>
  <si>
    <r>
      <t xml:space="preserve">В 2019 году ввод в эксплуатацию  путепровода протяженностью 121,4 п.м  </t>
    </r>
    <r>
      <rPr>
        <sz val="9"/>
        <rFont val="Calibri"/>
        <family val="2"/>
        <charset val="204"/>
      </rPr>
      <t>¹</t>
    </r>
  </si>
  <si>
    <r>
      <t xml:space="preserve">Ввод в эксплуатацию моста протяженностью 68 п.м (подходы 0,4 км) </t>
    </r>
    <r>
      <rPr>
        <sz val="9"/>
        <rFont val="Calibri"/>
        <family val="2"/>
        <charset val="204"/>
      </rPr>
      <t>¹</t>
    </r>
  </si>
  <si>
    <t xml:space="preserve">24. Общая протяженность автомобильных дорог общего пользования местного значения с покрытием переходного типа на территории  Новосибирской области   </t>
  </si>
  <si>
    <t>соот рекон мест 14-25</t>
  </si>
  <si>
    <t>строит нов мест 15-25</t>
  </si>
  <si>
    <t>стрйк+рекон мест 13-25</t>
  </si>
  <si>
    <t>увел. Мест.15-25</t>
  </si>
  <si>
    <t>опорна сеть</t>
  </si>
  <si>
    <t>18.Удельный вес автодорог регионального значения с твердым покрытием (опорная сеть), не соответствующих нормативным требованиям</t>
  </si>
  <si>
    <t>увел мест 15-25</t>
  </si>
  <si>
    <t>увел рег 15-25</t>
  </si>
  <si>
    <t>доля все соот нопрм 15-25</t>
  </si>
  <si>
    <t>соот мест кап.рем+рем 15-25</t>
  </si>
  <si>
    <t>соот рег кап.рем+рем 15-25</t>
  </si>
  <si>
    <t>увел все после кап.рем+рем 15-25</t>
  </si>
  <si>
    <t>увел прот рег соот 15-25</t>
  </si>
  <si>
    <t>увел все соот.норм треб 15-25</t>
  </si>
  <si>
    <t xml:space="preserve">12. Протяженность автомобильных дорог общего пользования регионального или межмуниципального значения с покрытием переходного типа на территории  Новосибирской области   </t>
  </si>
  <si>
    <t xml:space="preserve">11.Доля протяженности автомобильных дорог общего пользования, относящихся к собственности Новосибирской области, не отвечающих нормативным требованиям, в общей протяженности автомобильных дорог общего пользования, относящихся к собственности Новосибирской области </t>
  </si>
  <si>
    <t>П2. Объем работ, выполненных в ходе строительства мостового перехода через р. Обь в створе ул. Ипподромской       г. Новосибирска на условиях государственно-частного партнерства**</t>
  </si>
  <si>
    <t>П1.Количество изымаемых земельных участков, попадающих в зону строительства в собственность субъекта РФ, с последующей передачей концессионеру</t>
  </si>
  <si>
    <t>10. Непревышение планового значения доли средств федерального бюджета в годовом объеме инвестиций, направленных на строительство (реконструкцию)  объекта, предусмотренного мероприятиями по строительству (реконструкции) автомобильных дорог (участков автомобильных дорог и (или) искусственных сооружений), реализуемых с применением механизмов  государственно-частного партнерства</t>
  </si>
  <si>
    <t>стройка+рекон рег 15-25</t>
  </si>
  <si>
    <t>9. Техническая готовность объекта, предусмотренного мероприятиями по строительству (реконструкции) автомобильных дорог (участков автомобильных дорог и (или) искусственных сооружений), реализуемых с применением механизмов  государственно-частного партнерства</t>
  </si>
  <si>
    <t>увел после рекон все 15-25</t>
  </si>
  <si>
    <t>8.Ввод в эксплуатацию автомобильных дорог общего пользования после строительства или реконструкции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t>
  </si>
  <si>
    <t>реконст.рег 15-25</t>
  </si>
  <si>
    <t>7.Прирост протяженности автомобильных дорог общего пользования регионального и межмуниципального значения на территории Новосибирской области, соответствующих нормативным требованиям к транспортно-эксплуатационным показателям, в результате реконструкции автомобильных дорог</t>
  </si>
  <si>
    <t>строит рег 15-25</t>
  </si>
  <si>
    <t>6.Прирост протяженности сети автомобильных дорог регионального и межмуниципального  значения на территории Новосибирской области в результате строительства новых автомобильных дорог</t>
  </si>
  <si>
    <t>увел после строит все 15-25</t>
  </si>
  <si>
    <t>ввод после строит+реконст все 13-25</t>
  </si>
  <si>
    <t>5. Количество искусственных сооружений оснащаемых средствами обеспечения транспортной безопасности</t>
  </si>
  <si>
    <t>увеличение протяж-ти с 15-25</t>
  </si>
  <si>
    <t>15-25</t>
  </si>
  <si>
    <t>увелич. Плот дор 15-25</t>
  </si>
  <si>
    <t>увелич.удельн.вес 15-25</t>
  </si>
  <si>
    <t>2025 год</t>
  </si>
  <si>
    <t>2024 год</t>
  </si>
  <si>
    <t>2023 год</t>
  </si>
  <si>
    <t>2013-2025 годы</t>
  </si>
  <si>
    <t>Иные межбюджетные трансферты Т3 предоставляются в целях достижения целевых показателей региональных программ, предусматривающих мероприятия по строительству (реконструкции) автомобильных дорог (участков автомобильных дорог (или) искусственных дорожных сооружений) в рамках концессионных соглашений, заключаемых в соответствии с Федеральным законом "О концессионных соглашениях", подлежащих эксплуатации на платной основе</t>
  </si>
  <si>
    <t>Справочно:объем бюджетных ассигнований Федерального дорожного фонда, направленный на реализацию мероприятий государственной программы, всего</t>
  </si>
  <si>
    <t>иные межбюджетные трансферты на реализацию   приоритетного направления стратегического развития Российской Федерации, в целях реализации национального проекта «Безопасные и качественные автомобильные  дороги»</t>
  </si>
  <si>
    <t>7. Прирост протяженности автомобильных дорог общего пользования регионального и межмуниципального значения на территории Новосибирской области, соответствующих нормативным требованиям к транспортно-эксплуатационным показателям в результате реконструкции автомобильных дорог</t>
  </si>
  <si>
    <t>8. Ввод в эксплуатацию автомобильных дорог общего пользования после строительства или реконструкции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t>
  </si>
  <si>
    <t>П1. Количество изъятых земельных участков, попадающих в зону строительства, передаваемых в собственность субъекта РФ, с последующей передачей концессионеру</t>
  </si>
  <si>
    <t>П2. Объем работ, выполненных в ходе строительства мостового перехода через р. Обь в створе ул. Ипподромской г. Новосибирска на условиях государственно-частного партнерства**</t>
  </si>
  <si>
    <t xml:space="preserve">11.Доля протяженности автомобильных дорог общего пользования, относящихся к государственной собственности Новосибирской области, не отвечающих нормативным требованиям, в общей протяженности автомобильных дорог общего пользования, относящихся к государственной собственности Новосибирской области </t>
  </si>
  <si>
    <t xml:space="preserve"> Оценка степени достижения целевого индикатора осуществляется по результатам выполненных работ по итогам строительства</t>
  </si>
  <si>
    <t>5. Количество искусственных сооружений, оснащенных средствами обеспечения транспортной безопасности</t>
  </si>
  <si>
    <t>Ввод в эксплуатацию моста протяженностью 1,9 п.м. (подходы 0,1 км) ¹</t>
  </si>
  <si>
    <t>Строительство моста через р. Карасук на 5 км автодороги"Майское-Чернаки" в Краснозерском районе Новосибирской области</t>
  </si>
  <si>
    <t>Реконструкция автомобильной дороги «2 км а/д «Н-1514» - Октябрьский - Хабаровский»  в Краснозёрском районе Новосибирской области</t>
  </si>
  <si>
    <t>мост ч/р Каргат на 27,285 км а/д "Здвинск-Довольное-17 км а/д "К-09""</t>
  </si>
  <si>
    <t xml:space="preserve">а/д "Убинское - Кундран" </t>
  </si>
  <si>
    <t>1411 км а/д "М-51" - Новокремлевское км 0+000 - км 0+686, км 1+583 - км 18+958</t>
  </si>
  <si>
    <t>Прочие затраты по капитальному ремонту</t>
  </si>
  <si>
    <t>Прочие затраты по ремонту</t>
  </si>
  <si>
    <t>1.2.2. Обеспечение восстановления и развития автодорог местного значения, в том числе мероприятия по созданию, восстановлению и содержанию элементов обустройства автомобильных дорог за счет субсидий местным бюджетам на осуществление дорожной деятельности в отношении автомобильных дорог местного значения</t>
  </si>
  <si>
    <t>Расчет для 4 целевого индикатора</t>
  </si>
  <si>
    <t>Государственная программа Новосибирской области "Развитие автомобильных дорог регионального, межмуниципального и местного значения в Новосибирской области"</t>
  </si>
  <si>
    <t>610R15393Х</t>
  </si>
  <si>
    <t xml:space="preserve">1.2.1.4. Аварийно-восстановительные работы на автомобильных дорогах регионального и межмуниципального значения и искусственных сооружений на них </t>
  </si>
  <si>
    <t xml:space="preserve">1.2.1.7. Планово-предупредительный ремонт автомобильных дорог общего пользования  регионального и межмуниципального значения и сооружений на них </t>
  </si>
  <si>
    <t>Кап. рем.</t>
  </si>
  <si>
    <t>Количество объектов, шт.</t>
  </si>
  <si>
    <t>Капитальный ремонт в 2020 году 1,5 км  автодороги</t>
  </si>
  <si>
    <t>Капитальный ремонт в 2019 году 0,6 км автодороги</t>
  </si>
  <si>
    <t xml:space="preserve">Капитальный ремонт автодороги в 2020 году 2,5 км,                              2021 году 3 км </t>
  </si>
  <si>
    <t>Капитальный ремонт автодороги в 2019 году  2,0 км</t>
  </si>
  <si>
    <t>Капитальный ремонт в 2019 году 3,8 км автодороги</t>
  </si>
  <si>
    <t>Капитальный ремонт в 2019 году  0,4 км автодороги</t>
  </si>
  <si>
    <t>Капитальный ремонт в 2021 году  4,0 км автодороги</t>
  </si>
  <si>
    <t>Капитальный ремонт в 2021 году 3,0 км автодороги</t>
  </si>
  <si>
    <t>Капитальный ремонт 1 водопропускной трубы</t>
  </si>
  <si>
    <t>Окончательный расчет за выполненные работы</t>
  </si>
  <si>
    <t>Окончательная оплата за выполненные работы</t>
  </si>
  <si>
    <t>Капитальный ремонт 2 водопропускных труб</t>
  </si>
  <si>
    <t>П2.Количество объектов на автомобильных дорог регионального, межмуниципального значения , на которых произведен капитальный ремонт</t>
  </si>
  <si>
    <t>1.1.2.1. Строительство объекта капитального строительства "Мостовой переход через р. Обь в створе ул. Ипподромской г. Новосибирска. Этап 0. Подготовительные работы. Этап 1. Строительство мостового перехода через р. Обь. Этап 2. Строительство транспортной развязки в створе ул. Станиславского" в рамках концессионного соглашения, заключенного в соответствии с Федеральным законом от 21.07.2005  № 115-ФЗ "О концессионных соглашениях", подлежащего эксплуатации на платной основе</t>
  </si>
  <si>
    <t>ед.</t>
  </si>
  <si>
    <t>П2.Количество объектов на автомобильных дорогах регионального, межмуниципального значения , на которых произведен капитальный ремонт***</t>
  </si>
  <si>
    <r>
      <t xml:space="preserve">Ввод в эксплуатацию надземного пешеходного перехода  протяженностью 72,2 п.м  </t>
    </r>
    <r>
      <rPr>
        <sz val="9"/>
        <rFont val="Calibri"/>
        <family val="2"/>
        <charset val="204"/>
      </rPr>
      <t>¹</t>
    </r>
    <r>
      <rPr>
        <sz val="9"/>
        <rFont val="Times New Roman"/>
        <family val="1"/>
        <charset val="204"/>
      </rPr>
      <t xml:space="preserve"> </t>
    </r>
  </si>
  <si>
    <r>
      <t xml:space="preserve">Обл.бюджет тыс.руб. </t>
    </r>
    <r>
      <rPr>
        <sz val="10"/>
        <rFont val="Calibri"/>
        <family val="2"/>
        <charset val="204"/>
      </rPr>
      <t>¹</t>
    </r>
  </si>
  <si>
    <r>
      <t xml:space="preserve">Федер.бюджет тыс.руб. </t>
    </r>
    <r>
      <rPr>
        <sz val="10"/>
        <rFont val="Calibri"/>
        <family val="2"/>
        <charset val="204"/>
      </rPr>
      <t>¹</t>
    </r>
  </si>
  <si>
    <r>
      <t>Федер.бюджет тыс.руб.</t>
    </r>
    <r>
      <rPr>
        <sz val="10"/>
        <rFont val="Calibri"/>
        <family val="2"/>
        <charset val="204"/>
      </rPr>
      <t>¹</t>
    </r>
  </si>
  <si>
    <r>
      <t xml:space="preserve">федеральный бюджет </t>
    </r>
    <r>
      <rPr>
        <sz val="10"/>
        <rFont val="Calibri"/>
        <family val="2"/>
        <charset val="204"/>
      </rPr>
      <t>²</t>
    </r>
  </si>
  <si>
    <r>
      <t>областной бюджет</t>
    </r>
    <r>
      <rPr>
        <b/>
        <sz val="10"/>
        <rFont val="Calibri"/>
        <family val="2"/>
        <charset val="204"/>
      </rPr>
      <t>¹</t>
    </r>
  </si>
  <si>
    <r>
      <t>федеральный бюджет</t>
    </r>
    <r>
      <rPr>
        <b/>
        <sz val="10"/>
        <rFont val="Calibri"/>
        <family val="2"/>
        <charset val="204"/>
      </rPr>
      <t>¹</t>
    </r>
  </si>
  <si>
    <r>
      <t xml:space="preserve">Количество </t>
    </r>
    <r>
      <rPr>
        <b/>
        <sz val="10"/>
        <rFont val="Calibri"/>
        <family val="2"/>
        <charset val="204"/>
      </rPr>
      <t>³</t>
    </r>
  </si>
  <si>
    <t>Количество муниципальных образований ⁴</t>
  </si>
  <si>
    <r>
      <rPr>
        <sz val="11"/>
        <rFont val="Calibri"/>
        <family val="2"/>
        <charset val="204"/>
      </rPr>
      <t>³</t>
    </r>
    <r>
      <rPr>
        <sz val="11"/>
        <rFont val="Times New Roman"/>
        <family val="1"/>
        <charset val="204"/>
      </rPr>
      <t xml:space="preserve"> Количественное значение не устанавливается,  объем выполняемых работ по инвентаризации и паспортизации автомобильных дорог и дорожных сооружений на них, аварийно-восстановительных работ, НИОКР в дорожной отрасли, по разработке проектно-сметной документации для автомобильных дорог регионального и межмуниципального значения на них на очередной финансовый год определяется Минтрансом НСО совместно с ГКУ НСО ТУАД, исходя  из существующей потребности дорожной отрасли и имеющихся объемов финансирования на соответствующий год.</t>
    </r>
  </si>
  <si>
    <t>⁴ Количество муниципальных образований, в которых осуществляется независимый контроль состояния автомобильных дорог после ремонта на очередной год,  определяется Минтрансом исходя  из существующей потребности дорожной отрасли и имеющихся объемов финансирования на соответствующий год.</t>
  </si>
  <si>
    <t xml:space="preserve">ПЛАН РЕАЛИЗАЦИИ МЕРОПРИЯТИЙ
</t>
  </si>
  <si>
    <t xml:space="preserve">Приведение в нормативное состояние  автомобильных дорог и исскуственных сооружений на них  (подробный перечень объектов указан в Таблице 3.1 плана реализации)
</t>
  </si>
  <si>
    <r>
      <rPr>
        <sz val="11"/>
        <rFont val="Calibri"/>
        <family val="2"/>
        <charset val="204"/>
      </rPr>
      <t>²</t>
    </r>
    <r>
      <rPr>
        <sz val="11"/>
        <rFont val="Times New Roman"/>
        <family val="1"/>
        <charset val="204"/>
      </rPr>
      <t xml:space="preserve"> Прогнозные значения федерального бюджета, в рамках концессионных соглашений,заключаемых в соответствии с Федеральным законом "О концесионных соглашениях", подлежащих эксплуатации на платной основе</t>
    </r>
  </si>
  <si>
    <t>4.Объемы ввода в эксплуатацию после строительства и реконструкции автомобильных дорог общего пользования регионального и межмуниципального  значения*</t>
  </si>
  <si>
    <t>*Значения целевых индикаторов с учетом расчетной протяженности конкретных объектов строительства и реконструкции искусственных сооружений, введенных в эксплуатацию в отчетном году</t>
  </si>
  <si>
    <t>** Индикатор введен с 2019 года</t>
  </si>
  <si>
    <t xml:space="preserve">государственной программы Новосибирской области "Развитие автомобильных дорог регионального, межмуниципального и местного значения в Новосибирской области"    </t>
  </si>
  <si>
    <t>Значение целевого индикатора</t>
  </si>
  <si>
    <t>1.1.2.Мероприятия по строительству (реконструкции) автомобильных дорог (участков автомобильных дорог (или) искусственных дорожных сооружений) в рамках концессионных соглашений, заключаемых в соответствии с Федеральным законом «О концессионных соглашениях», подлежащих эксплуатации на платной основе. Строительство объекта капитального строительства «Мостовой переход через р. Обь в створе ул. Ипподромской г. Новосибирска. Этап 0. Подготовительные работы. Этап 1. Строительство мостового перехода через р. Обь. Этап 2. Строительство транспортной развязки в створе ул. Станиславского» в рамках концессионного соглашения, заключенного в соответствии с Федеральным законом от 21.07.2005  № 115-ФЗ «О концессионных соглашениях», подлежащего эксплуатации на платной основе»</t>
  </si>
  <si>
    <t>Минтранс НСО, Минстрой НСО, ГКУ НСО "Арена"</t>
  </si>
  <si>
    <t>Пешеходный мост на  8,61 км  а/д "Советское шоссе"</t>
  </si>
  <si>
    <t xml:space="preserve"> Ремонт 0,5 км автодороги (в т.ч. поверхностная обработка)</t>
  </si>
  <si>
    <t xml:space="preserve">а/д "Новосибирск - Ленинск-Кузнецкий (в границах НСО)" </t>
  </si>
  <si>
    <t>а/д "Советсткое шоссе"</t>
  </si>
  <si>
    <t xml:space="preserve"> Ремонт 0,5 км автодороги</t>
  </si>
  <si>
    <t xml:space="preserve">федеральный бюджет, тыс.руб. </t>
  </si>
  <si>
    <t>федеральный  бюджет, тыс.руб.</t>
  </si>
  <si>
    <t>Устранение выявленных нарушений по ремонту автомобильной дороги</t>
  </si>
  <si>
    <t>Применяемые сокращения: 
ГКУ НСО ТУАД – государственное казенное учреждение Новосибирской области «Территориальное управление автомобильных дорог Новосибирской области»;                                                                                                                                                                                                                                                                   ГКУ НСО "Мост" – государственное казенное учреждение Новосибирской области "Мост";                                                                                                                                                                                                                                                                                                                                                                                 ГКУ НСО "Арена" – государственное казенное учреждение Новосибирской области "Арена";
км – километр;
Минтранс НСО – министерство транспорта и дорожного хозяйства Новосибирской области;                                                                                                                                                                                                                                                                                                                                                 Минстрой НСО – министерство строительства Новосибирской области;
НСО – Новосибирская область;                                                                                                                                                                                                                                                                                                                                                                                                                                                                                            п.м – погонные метры;                                                                                                                                                                                                                                                                                                                                                                                                                                                                                                         РФ  – Российская Федерация;                                                                                                                                                                                                                                                                                                                                                                                                                                                                                           тыс. руб. – тысяча рублей;                                                                                                                                                                                                                                                                                                                                                                                                                                                                                                                                                                                                                                                                                                                                                                                                                                                                                                                                                                      шт. –  штука.</t>
  </si>
  <si>
    <t>Капитальный ремонт моста (72,246 п.м.) 0,1 км</t>
  </si>
  <si>
    <t>субсидии из федерального бюджета областному бюджету Новосибирской области на строительство и реконструкцию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в рамках реализации подпрограммы «Устойчивое развитие сельских территорий на 2014-2017 годы и на период до 2020 года» государственной программы развития сельского хозяйства и регулирования рынков сельскохозяйственной продукции, сырья и продовольствия, утвержденной постановлением Правительства Российской Федерации от 14.07.2012 № 717</t>
  </si>
  <si>
    <t>Капитальный ремонт автодороги в 2019 году 5,0 км</t>
  </si>
  <si>
    <t>Ввод в эксплуатацию 1,3 км автодороги</t>
  </si>
  <si>
    <t>Министерство строительства Новосибирской области</t>
  </si>
  <si>
    <t>федерального бюджета</t>
  </si>
  <si>
    <t>местных бюджетов</t>
  </si>
  <si>
    <t>внебюджетных источников</t>
  </si>
  <si>
    <t xml:space="preserve">1.2.1.7.1. Планово-предупредительный ремонт автомобильных дорог общего пользования  регионального и межмуниципального значения и сооружений на них </t>
  </si>
  <si>
    <t>1.2.1.7.2. Оплата кредиторской задолженности за работы, выполненные в 2018 году</t>
  </si>
  <si>
    <t xml:space="preserve"> «Региональный проект «Дорожная сеть» (Новосибирская область)» </t>
  </si>
  <si>
    <t xml:space="preserve">Подробный перечень объектов общепрограммного  мероприятия </t>
  </si>
  <si>
    <t xml:space="preserve">Строительство автомобильных дорог общего пользования с вводом в эксплуатацию в 2022 году </t>
  </si>
  <si>
    <r>
      <rPr>
        <sz val="11"/>
        <rFont val="Calibri"/>
        <family val="2"/>
        <charset val="204"/>
      </rPr>
      <t xml:space="preserve">¹ </t>
    </r>
    <r>
      <rPr>
        <sz val="11"/>
        <rFont val="Times New Roman"/>
        <family val="1"/>
        <charset val="204"/>
      </rPr>
      <t xml:space="preserve">Мероприятия в рамках реализации подпрограммы «Устойчивое развитие сельских территорий на 2014-2017 годы и на период до 2020 года»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Протяженность в рамках данного мероприятия учитывается для достижения регионального проекта "Дорожная сеть (Новосибирская область)". </t>
    </r>
  </si>
  <si>
    <t>Количество контрактов, шт.</t>
  </si>
  <si>
    <t>О1.1. Строительство и реконструкция автомобильных дорог регионального и межмуниципального значения и искусственных сооружений на них</t>
  </si>
  <si>
    <t>О1.1.1. Строительство и реконструкция автомобильных дорог регионального и межмуниципального значения и искусственных сооружений на них</t>
  </si>
  <si>
    <t>О1.2. Капитальный ремонт автомобильных дорог регионального и межмуниципального значения и искусственных сооружений на них</t>
  </si>
  <si>
    <t xml:space="preserve">О1.3. Ремонт   автомобильных дорог регионального и межмуниципального значения и искусственных сооружений на них </t>
  </si>
  <si>
    <t>О1.4. Обеспечение восстановления и развития автодорог местного значения за счет субсидий местным бюджетам на осуществление дорожной деятельности в отношении автомобильных дорог местного значения</t>
  </si>
  <si>
    <t xml:space="preserve">О2. Общепрограммное мероприятие  «Региональный проект «Общесистемные меры развития дорожного хозяйства  (Новосибирская область)»                                   </t>
  </si>
  <si>
    <t>О2.1. Заключение контрактов, предусматривающих использование новых технологий и материалов, включенных в Рееестр новых и наилучших технологий, материалов и технологических решений повторного применения</t>
  </si>
  <si>
    <t>О2.2. Заключение контрактов, предусматривающих выполнение работ на принципах контрактов жизненного цикла</t>
  </si>
  <si>
    <t>Минтранс НСО, органы местного самоуправления НСО</t>
  </si>
  <si>
    <t>В 2019 году будут исполнены  бюджетные обязательствам по выполненным и принятым работам в 2018 году</t>
  </si>
  <si>
    <t>Долгосрочная реализация в будущих периодах. Протяженность автомобильной дороги 10,0  км</t>
  </si>
  <si>
    <t>Усть-Таркский район:</t>
  </si>
  <si>
    <t xml:space="preserve">Мероприятия по строительству (реконструкции) автомобильных дорог (участков автомобильных дорог (или) искусственных сооружений), реализуемых с применением механизмов государственно-частного партнерства
</t>
  </si>
  <si>
    <t>Таблица 3.2</t>
  </si>
  <si>
    <t xml:space="preserve">Подробный перечень объектов  строительства, реконструкции, капитального ремонта и ремонта автомобильных дорог общего пользования регионального и межмуниципального значения </t>
  </si>
  <si>
    <t xml:space="preserve">Баганский район.                                              </t>
  </si>
  <si>
    <r>
      <rPr>
        <b/>
        <sz val="10"/>
        <rFont val="Times New Roman"/>
        <family val="1"/>
        <charset val="204"/>
      </rPr>
      <t>Венгеровский район.</t>
    </r>
    <r>
      <rPr>
        <sz val="10"/>
        <rFont val="Times New Roman"/>
        <family val="1"/>
        <charset val="204"/>
      </rPr>
      <t xml:space="preserve">                                 </t>
    </r>
  </si>
  <si>
    <r>
      <rPr>
        <b/>
        <sz val="10"/>
        <rFont val="Times New Roman"/>
        <family val="1"/>
        <charset val="204"/>
      </rPr>
      <t xml:space="preserve">Карасукский район.                                             </t>
    </r>
    <r>
      <rPr>
        <sz val="10"/>
        <rFont val="Times New Roman"/>
        <family val="1"/>
        <charset val="204"/>
      </rPr>
      <t xml:space="preserve"> </t>
    </r>
  </si>
  <si>
    <t xml:space="preserve">О1. Общепрограммное мероприятие «Региональный проект «Дорожная сеть (Новосибирская область)»  (подробный перечень объектов указан в Таблице 3.1 плана реализации)                                  </t>
  </si>
  <si>
    <t>1.1.1. Строительство и реконструкция автомобильных дорог регионального и межмуниципального значения и искусственных сооружений на них в целях увеличения их пропускной способности (подробный перечень объектов указан в Таблице 3.2 плана реализации)</t>
  </si>
  <si>
    <t>Капитальный ремонт автодороги в 2019 году  3,2 км</t>
  </si>
  <si>
    <t>Будет осуществлен независимый контроль за капитальным ремонтом  автомобильных дорог</t>
  </si>
  <si>
    <t>а/д "Сокур - Смоленский - Орск"</t>
  </si>
  <si>
    <t xml:space="preserve"> Ремонт 0,5 км автодороги </t>
  </si>
  <si>
    <t>а/д "Новосибирск  - аэропорт Толмачево"</t>
  </si>
  <si>
    <t>а/д "Новосибирск-Садовый"</t>
  </si>
  <si>
    <t>П2. Техническая готовность объекта "Строительство автомобильной дороги от пляжа "Наутилус" вдоль территории "Многофункциональной ледовой арены" с заездом на дамбу Октябрьского моста в Кировском и Лениском районах"</t>
  </si>
  <si>
    <t>П3. Техническая готовность объекта "Строительство автомобильной дороги от ул. Немировича- Данченко до территории "Многофункциональной ледовой арены" в Кировском районе"</t>
  </si>
  <si>
    <t xml:space="preserve">12. Общая протяженность грунтовых автомобильных дорог общего пользования регионального или межмуниципального значения  на территории  Новосибирской области   </t>
  </si>
  <si>
    <t>13.Общая протяженность автомобильных дорог общего пользования регионального, межмуниципального и местного значения, соответствующих нормативным требованиям к транспортно-эксплуатационным показателям на 31 декабря отчетного года, в том числе:</t>
  </si>
  <si>
    <t xml:space="preserve">14.Прирост протяженности автомобильных дорог регионального, межмуниципального и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 в том числе: </t>
  </si>
  <si>
    <t xml:space="preserve">15. Объемы ввода в эксплуатацию в результате планово-предупредительного ремонта автомобильных дорог общего пользования  регионального и межмуниципального значения и сооружений на них </t>
  </si>
  <si>
    <t xml:space="preserve">12. Общая протяженность грунтовых автомобильных дорог общего пользования регионального и межмуниципального значения  на территории  Новосибирской области   </t>
  </si>
  <si>
    <t xml:space="preserve">14. Прирост протяженности автомобильных дорог регионального, межмуниципального и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 в том числе: </t>
  </si>
  <si>
    <t xml:space="preserve">15. Объемы ввода в результате планово-предупредительного ремонта автомобильных дорог общего пользования  регионального и межмуниципального значения и сооружений на них </t>
  </si>
  <si>
    <t xml:space="preserve">22. Общая протяженность автомобильных дорог общего пользования местного значения с покрытием переходного типа на территории  Новосибирской области   </t>
  </si>
  <si>
    <t>П2. Техническая готовность объекта "Строительство автомобильной дороги от пляжа "Наутилус" вдоль территории "Многофункциональной ледовой арены" с заездом на дамбу Октябрьского моста в Кировском и Ленинском районах"</t>
  </si>
  <si>
    <t>1.2.1.1.2. Ремонт автомобильных дорог регионального и межмуниципального значения и искусственных сооружений на них</t>
  </si>
  <si>
    <t>Реконструкция автомобильной дороги "Кушаги-Мураши" в Усть-Таркском районе Новосибирской области</t>
  </si>
  <si>
    <t>Оплата выполненных работ в соответствии с заключенным котрактом</t>
  </si>
  <si>
    <t>Реконструкция автомобильной дороги "Подъезд к г. Куйбышев /5 км/" в Куйбышевском районе Новосибирской области</t>
  </si>
  <si>
    <t>Строительство моста через Протоку на а/д "11 км а/д "Н-1612"-Шаитик" в Купинском районе Новосибирской области</t>
  </si>
  <si>
    <t>Строительство автомобильной дороги "Подъездные автомобильные дороги в промышленно-логистическом парке Новосибирской области" в Новосибирском районе</t>
  </si>
  <si>
    <t>Реконструкция автомобильной дороги "Советское  шоссе" в Новосибирском районе Новосибирской области</t>
  </si>
  <si>
    <t>Строительство автомобильной дороги "Барышево - Орловка - Кольцово" с автодорожным тоннелем под железной дорогой (II очередь)</t>
  </si>
  <si>
    <t xml:space="preserve">Оснащение моста через р.Издревая на 22+493 км автомобильной дороге "Новосибирск - Ленинск-Кузнецкий (в границах НСО)" в Новосибирском районе техническими средствами обеспечения транспортной безопасности </t>
  </si>
  <si>
    <t>Строительство магистральной дороги непрерывного движения на продолжении магистрали М-51 «Байкал» от городской черты Новосибирска до примыкания к магистрали М-52 «Чуйский тракт» с мостовым переходом через реку Обь в г.Новосибирске (Юго-западный транзит с мостовым переходом через р.Обь в городе Новосибирске)</t>
  </si>
  <si>
    <t xml:space="preserve">Оснащение моста через ж/д "Инская-Сокур" на 22+215 км автомобильной дороге "Новосибирск - Ленинск-Кузнецкий (в границах НСО)" в Новосибирском районе техническими средствами обеспечения транспортной безопасности </t>
  </si>
  <si>
    <t xml:space="preserve">Оснащение моста через  р. Быструха на км 3+464 автомобильной дороге "120 км а/д "К-17р" - Камень-на-Оби (в границах НСО)" в Ордынском районе техническими средствами обеспечения транспортной безопасности </t>
  </si>
  <si>
    <t xml:space="preserve">Оснащение моста через р. Кирзушка на км 11+667 автомобильной дороге "120 км а/д "К-17р" - Камень-на-Оби (в границах НСО)" в Ордынском районе техническими средствами обеспечения транспортной безопасности </t>
  </si>
  <si>
    <t xml:space="preserve">Оснащение моста через р. Орда на км 129+805  автомобильной дороге "Новосибирск -Кочки - Павлодар (в пред. РФ)" в Ордынском районе техническими средствами обеспечения транспортной безопасности </t>
  </si>
  <si>
    <t>Реконструкция автомобильной дороги "Северное - Биаза - гр. Кыштовского района" в Северном районе Новосибирской области</t>
  </si>
  <si>
    <t xml:space="preserve">Оснащение моста через ж/д  "Обь-Проектная"  на 35+958 км автомобильной дороге "Новосибирск - Ленинск-Кузнецкий (в границах НСО)" в Тогучинском районе техническими средствами обеспечения транспортной безопасности </t>
  </si>
  <si>
    <t>Реконструкция автомобильной дороги "Яркуль-Матюшкино - Майский" в Усть-Таркском районе Новосибирской области</t>
  </si>
  <si>
    <t>Областной бюджет</t>
  </si>
  <si>
    <t>6100ХХХХХХ</t>
  </si>
  <si>
    <t>областной бюджет по софинансированию</t>
  </si>
  <si>
    <t>1.1.3.  Оснащение объектов транспортной инфраструктуры техническими средствами обеспечения транспортной безопасности искусственных сооружений на автомобильных дорогах общего пользования Новосибирской области  (подробный перечень объектов указан в Таблице 3.2 плана реализации)</t>
  </si>
  <si>
    <t>Количество, шт.</t>
  </si>
  <si>
    <t>Оснащение моста средствами транспортной безопасности</t>
  </si>
  <si>
    <t>Оснащение трех  мостов средствами транспортной безопасности</t>
  </si>
  <si>
    <t xml:space="preserve">Прочие: оснащение объектов транспортной инфраструктуры техническими средствами обеспечения транспортной безопасности искусственных сооружений на автомобильных дорогах общего пользования Новосибирской области </t>
  </si>
  <si>
    <t>Искусственные сооружения, оснащеные средствами обеспечения транспортной безопасности, ед.</t>
  </si>
  <si>
    <t>Привеведение автомобильных мостов длиной более 25 м к требованиям транспортной безопасности в соответствии с Федеральным законом от 09.02.2007 № 16-ФЗ «О транспортной безопасности»</t>
  </si>
  <si>
    <t xml:space="preserve">Капитальный ремонт автодороги в 2019 - 5 км                                              </t>
  </si>
  <si>
    <t>Капитальный ремонт в 2020 году 0,8 км автодороги</t>
  </si>
  <si>
    <t>а/д Кыштовка-Малокрасноярка</t>
  </si>
  <si>
    <t>Ремонт 4,3 км автодороги</t>
  </si>
  <si>
    <t xml:space="preserve"> Ремонт 6,0 км автодороги (в т.ч. поверхностная обработка)</t>
  </si>
  <si>
    <t xml:space="preserve"> Ремонт 11,5 км автодороги </t>
  </si>
  <si>
    <t>Ремонт автомобильных дорог и мостовых сооружений (планово-предупредительный ремонт)</t>
  </si>
  <si>
    <t xml:space="preserve"> Ремонт 2,5 км автодороги</t>
  </si>
  <si>
    <t xml:space="preserve"> Оплата в соответствии с заключенным контрактом</t>
  </si>
  <si>
    <t>Оплата в соответствии с заключенным контрактом</t>
  </si>
  <si>
    <t>В 2019 году реализация данного мероприятия позволит устранить деформации и повреждения покрытия проезжей части автомобильных дорог и элементов искусственных дорожных сооружений, восстановить продольный и поперечный профиль проезжей части автомобильных дорог с щебеночным покрытием, в том числе путем добавления нового материала</t>
  </si>
  <si>
    <t>Перенос ввода в эксплуатацию моста протяженностью  42,85 п.м (подходы 0,3 км)¹ на 2020 год в связи с расторжением контракта</t>
  </si>
  <si>
    <t>18.Утранил силу</t>
  </si>
  <si>
    <t>Строительство автомобильной дороги от ул. Немировича-Данченко до территории  «Многофункциональной ледовой арены»  в Кировском районе г. Новосибирска</t>
  </si>
  <si>
    <t>Строительство автомобильной дороги от пляжа «Наутилус» вдоль территории «Многофункциональной ледовой арены» с заездом на дамбу Октябрьского моста в Кировском и Ленинском районах г. Новосибирска</t>
  </si>
  <si>
    <t>Строительство объектов дорожной инфраструктуры для многофункциональной ледовой арены по улице Немировича-Данченко в г. Новосибирске</t>
  </si>
  <si>
    <r>
      <t>федеральный бюджет</t>
    </r>
    <r>
      <rPr>
        <b/>
        <sz val="10"/>
        <rFont val="Calibri"/>
        <family val="2"/>
        <charset val="204"/>
      </rPr>
      <t>⁵</t>
    </r>
    <r>
      <rPr>
        <b/>
        <sz val="10"/>
        <rFont val="Times New Roman"/>
        <family val="1"/>
        <charset val="204"/>
      </rPr>
      <t xml:space="preserve"> </t>
    </r>
  </si>
  <si>
    <r>
      <rPr>
        <sz val="11"/>
        <rFont val="Calibri"/>
        <family val="2"/>
        <charset val="204"/>
      </rPr>
      <t>⁵</t>
    </r>
    <r>
      <rPr>
        <sz val="11"/>
        <rFont val="Times New Roman"/>
        <family val="1"/>
        <charset val="204"/>
      </rPr>
      <t xml:space="preserve"> Реализация мероприятий  регионального проекта "Дорожная сеть (Новосибирская область)" Минстроем НСО совместно с ГКУ НСО "Арена"</t>
    </r>
  </si>
  <si>
    <t xml:space="preserve">Строительство автомобильной дороги "Гусельниково-Линево" в Искитимском районе
</t>
  </si>
  <si>
    <t>61001ХХХХХ</t>
  </si>
  <si>
    <t>1.2.1.1.1.Капитальный ремонт  автомобильных дорог регионального и межмуниципального значения и искусственных сооружений на них, в том числе:</t>
  </si>
  <si>
    <t xml:space="preserve"> Ремонт 14,0 км автодороги</t>
  </si>
  <si>
    <t>Минтранс НСО, ГКУ НСО ТУАД, Минстрой НСО, ГКУ НСО "Арена", органы местного самоуправления НСО</t>
  </si>
  <si>
    <t>Минтранс НСО, ГКУ НСО ТУАД, Минстрой НСО, ГКУ НСО "Арена"</t>
  </si>
  <si>
    <t>В 2019 году предусмотрено устройство земельного полотна, укрепление откосов, устройство ливневой канализация и дорожное покрытие в щебневом исполнении.  В 2021 году продолжение строительства автомобильной дороги (после окончания строительства ледовой арены), будет произведено устройство  асфальто-бетонного полотна протяженностью 0,645 км.  Лимиты областного бюджета периода 2020-2021 годов будут определены при внесении очередных изменений в бюджет 2019-2021 годов. Ввод в эксплуатацию в 2022 году.</t>
  </si>
  <si>
    <t xml:space="preserve"> В 2019 году предусмотрены подготовительные работы (устройство земельного полотна, гидроизоляция и засыпка фундаментов опор моста, устройство армогрунтовой стенки), строительство ливневой канализации.  В 2021 году продолжение строительства автомобильной дороги (после окончания строительства ледовой арены), будет произведено устройство  асфальто-бетонного полотна протяженностью 2,25 км. Лимиты областного бюджета периода 2020-2021 годов будут определены при внесении очередных изменений в бюджет 2019-2021 годов. Ввод в эксплуатацию в 2022 году.</t>
  </si>
  <si>
    <t>Кадастровые работы 20 т.р. + ПСД 2480 т.р.</t>
  </si>
  <si>
    <t>В 2020 году ПСД  4 112,8 т.р., выкуп земель 400 т.р. В 2021 году ПСД 6 431,1 т.р., выкуп земель 600 т.р.</t>
  </si>
  <si>
    <t xml:space="preserve">ввод 2022 году </t>
  </si>
  <si>
    <t>Корректировка ПСД  в 2020 г. 15 000 т.р.</t>
  </si>
  <si>
    <t>псд</t>
  </si>
  <si>
    <t>Осуществление технологического присоединеия энерго-принимающих устройств заявителя</t>
  </si>
  <si>
    <t>Разработка проектно-сметной документации в 2020-2021 годах, выкуп земель в 2021 году,  ввод 12,6 км в  2022 году</t>
  </si>
  <si>
    <t>В 2019-2021 годах обоснование инвестиций. В 2022 году  разработка рабочей документации</t>
  </si>
  <si>
    <t>В 2019-2021 годах обоснование инвестиций. В 2022 году рабочая документация</t>
  </si>
  <si>
    <t>Проведение проектно-изыскательских работ</t>
  </si>
  <si>
    <t>Ввод в эксплуатацию 12,486 км автодороги</t>
  </si>
  <si>
    <r>
      <t>Строительство моста протяженностью  63,83 п.м (подходы 0,3 км)</t>
    </r>
    <r>
      <rPr>
        <sz val="9"/>
        <rFont val="Calibri"/>
        <family val="2"/>
        <charset val="204"/>
      </rPr>
      <t>¹</t>
    </r>
  </si>
  <si>
    <t>Разработка проектно-сметной документации в 2020-2021 годах, выкуп земель в 2021 году</t>
  </si>
  <si>
    <t xml:space="preserve">Выкуп земель под объект </t>
  </si>
  <si>
    <t>Разработка проектно-сметной документации</t>
  </si>
  <si>
    <t>Оплата работ в соответствии с заключенным контрактом</t>
  </si>
  <si>
    <t xml:space="preserve">                                                                       Приложение к приказу Минтранса НСО  от   .   .2020  № </t>
  </si>
  <si>
    <t xml:space="preserve">государственной программы Новосибирской области "Развитие автомобильных дорог регионального, межмуниципального и местного значения в Новосибирской области"                                                                                                                 на очередной 2020 год и плановый период 2021 и 2022 годов                                                                                                                                                                                                                                                 (на основании государственной программы в редакции постановления Правительства Новосибирской области от ..2020 № )
</t>
  </si>
  <si>
    <t>На очередной финансовый 2020 год</t>
  </si>
  <si>
    <t>На 2020 год, в том числе поквартально</t>
  </si>
  <si>
    <t xml:space="preserve">Приложение к приказу Минтранса НСО   от   .  .2020 № </t>
  </si>
  <si>
    <t>на очередной 2020 год и плановый период 2021 и 2022 годов</t>
  </si>
  <si>
    <t>Значение показателя на 2020 год (поквартально)</t>
  </si>
  <si>
    <t>Значение показателя на 2022 год</t>
  </si>
  <si>
    <t>О1.1.2. Оплата кредиторской задолженности за работы, выполненные в 2019 году</t>
  </si>
  <si>
    <t>В 2020 году будут исполнены бюджетные обязательства по выполненным и принятым работам в 2019 году</t>
  </si>
  <si>
    <t>Ввод в эксплуатацию 3,0 км автодороги</t>
  </si>
  <si>
    <t>Ввод в эксплуатацию 5,3  км автодороги</t>
  </si>
  <si>
    <t>Ввод в эксплуатацию 1,0 км автодороги</t>
  </si>
  <si>
    <t>Ввод в  2021 году в эксплуатацию  автодороги протяженностью 8,7 км. Ввод в  2022 году в эксплуатацию  автодороги протяженностью 4,5 км.</t>
  </si>
  <si>
    <t>Ввод 2021 году в эксплуатацию протяженностью 1,9 км автодороги. В 2022 году выполняется основание под укладку асфальтобетона, ввод в 2023 году 3,2 км а/д.</t>
  </si>
  <si>
    <t>В 2020 году оплата работ в соответствии с заключенным контактом.</t>
  </si>
  <si>
    <r>
      <t xml:space="preserve">В 2020 году  ввод эксплуатацию  путепровода протяженностью 121,4 п.м  </t>
    </r>
    <r>
      <rPr>
        <sz val="9"/>
        <rFont val="Calibri"/>
        <family val="2"/>
        <charset val="204"/>
      </rPr>
      <t xml:space="preserve">¹ </t>
    </r>
  </si>
  <si>
    <t>Строительство автомобильной дороги "2 км автомобильной дороги "Академгородок-Ключи" - Каинская Заимка" на участке км 0+000 - км 2+200 в Новосибирском районе Новосибирской области</t>
  </si>
  <si>
    <t>Реконструкция автомобильной дороги "Новосибирск-Кочки-Павлодар (в пред. РФ)" на участке обход с. Ярково  в Новосибирском районе Новосибирской области</t>
  </si>
  <si>
    <t>Долгосрочная реализация в будущих периодах. Протяженность автомобильной дороги 10,0  км. В 2021 году выполнение земляных работ. В 2022  строительство моста и путепровода.</t>
  </si>
  <si>
    <t>61001R3720</t>
  </si>
  <si>
    <t>Обл.бюджет тыс.руб. ¹</t>
  </si>
  <si>
    <t>Федер.бюджет тыс.руб.¹</t>
  </si>
  <si>
    <t xml:space="preserve">Капитальный ремонт 3,1 км автодороги  </t>
  </si>
  <si>
    <t>а/д "203 км а/д"К-17р"-Каргат"</t>
  </si>
  <si>
    <t>а/д "1282 км а/д "М-51" - Форпост-Каргат - Верх-Каргат - Натальинский"</t>
  </si>
  <si>
    <t>Капитальный ремонт                                       в  2020 - 0,4 км автодороги</t>
  </si>
  <si>
    <t>а/д "Сузун - Битки - Преображенка - 18 км а/д "К-13" (в гр. района)"</t>
  </si>
  <si>
    <t>а/д "Мошково - Кайлы"</t>
  </si>
  <si>
    <t>Капитальный ремонт в 2021 году 2,0 км автодороги</t>
  </si>
  <si>
    <t>а/д "Барабинск - Куйбышев"</t>
  </si>
  <si>
    <t>Капитальный ремонт автодороги 0,2 км</t>
  </si>
  <si>
    <t>Капитальный ремонт 4,1 км автодороги</t>
  </si>
  <si>
    <t>а/д "1 км а/д "Н-2123" - Верх-Тула -  Ленинское - ОБЬГЭС"</t>
  </si>
  <si>
    <t>а/д "Инская - Барышево - 39 км а/д "К-19р" (в гр. района)"</t>
  </si>
  <si>
    <t>а/д "Чаны - Венгерово - Кыштовка"</t>
  </si>
  <si>
    <t>Капитальный ремонт 0,2 км  автодороги</t>
  </si>
  <si>
    <t>Капитальный ремонт автодороги в 2020-3 км, в 2022-3,7 км</t>
  </si>
  <si>
    <t>Капитальный ремонт 1  водопропускной трубы</t>
  </si>
  <si>
    <t>Ремонт 8,2 км автодороги</t>
  </si>
  <si>
    <t xml:space="preserve"> Ремонт 12,0 км автодороги</t>
  </si>
  <si>
    <t xml:space="preserve"> Ремонт 2,5 км автодороги </t>
  </si>
  <si>
    <t>Ремонт 6 км автодороги</t>
  </si>
  <si>
    <t>63 км а/д "К-09" - Сумы</t>
  </si>
  <si>
    <t>Ремонт 4,8 км автодороги</t>
  </si>
  <si>
    <t xml:space="preserve"> Ремонт 4,0 км автодороги (в т.ч. поверхностная обработка)</t>
  </si>
  <si>
    <t xml:space="preserve">Ремонт 2,5 км автодороги </t>
  </si>
  <si>
    <t xml:space="preserve">Ремонт 4,0 км автодороги </t>
  </si>
  <si>
    <t xml:space="preserve"> Ремонт 3,1 км автодороги</t>
  </si>
  <si>
    <t>1 км а/д "Н-1212"-1 км а/д "Н-1206"(объездная р.п. Коченево)</t>
  </si>
  <si>
    <t xml:space="preserve"> Ремонт 12,5 км автодороги </t>
  </si>
  <si>
    <t>а/д "182 км а/д "К-17р" -  Республиканский"</t>
  </si>
  <si>
    <t>242 км а/д "К-17р"-Черновка-Троицкий</t>
  </si>
  <si>
    <t>Ремонт 8,0 км автодороги</t>
  </si>
  <si>
    <t>а/д "37 км а/д "К-22" - Булатово - аул Омь"</t>
  </si>
  <si>
    <t xml:space="preserve"> Ремонт 1,1 км автодороги</t>
  </si>
  <si>
    <t xml:space="preserve"> Ремонт 5,9 км автодороги</t>
  </si>
  <si>
    <t>49 км а/д "К-15"-Березово</t>
  </si>
  <si>
    <t xml:space="preserve"> Ремонт 3,9 км автодороги</t>
  </si>
  <si>
    <t xml:space="preserve"> Ремонт 19,5 км автодороги </t>
  </si>
  <si>
    <t>Оплата бюджетных обязательств по выполненным и принятым аварийно-восстановительным работам в 2019 году</t>
  </si>
  <si>
    <t>1.2.1.1.2.2. Оплата кредиторской задолженности за аварийно-восстановительные работы, выполненные в 2019 году</t>
  </si>
  <si>
    <t>1.2.1.1.2.3. Оплата кредиторской задолженности за ремонтные работы, выполненные в 2019 году</t>
  </si>
  <si>
    <t>Оплата бюджетных обязательств по выполненным и принятым ремонтным работам в 2019 году</t>
  </si>
  <si>
    <t xml:space="preserve">Разработка проектно-сметной документации </t>
  </si>
  <si>
    <t>Реконструкция автомобильной дороги  "Инская - Барышево - 39 км а/д "К-19р" (в гр. района)" на участке км 5+555 - км 11+555 в Новосибирском районе Новосибирской области</t>
  </si>
  <si>
    <t>Реконструкция автомобильной дороги "53 км а/д "К-17р" - Новошилово - Шилово" в Новосибирском районе Новосибирской области</t>
  </si>
  <si>
    <t>О1.2.2. Оплата кредиторской задолженности за работы, выполненные в 2019 году</t>
  </si>
  <si>
    <t xml:space="preserve">Капитальный ремонт                            в 2020 - 3,1 км автодороги  </t>
  </si>
  <si>
    <t>Капитальный ремонт автодороги                                2021 - 3 км, 2022  - перевод объекта из кап. ремонта в реконструкцию в связи с переводом дороги из IV категории во вторую категорию по интенсивности движения. (Мнение госэкспертизы)</t>
  </si>
  <si>
    <t>Значение показателя на  очередной финансовый 2020 год (поквартально)</t>
  </si>
  <si>
    <t>Путепровод через ж/д пути на 387 км а/д "Новосибирск-Кочки-Павлодар (в пред. РФ) "</t>
  </si>
  <si>
    <t>Мост через р. Орда на км 104+000 "автодороги Новосибирск -Кочки - Павлодар (в пред. РФ)" (транспортная безопасность)</t>
  </si>
  <si>
    <t>Мост через р. Быструха на км 3+464 автодороги "120 км а/д "К-17р" - Камень-на-Оби (в границах НСО )" (транспортная безопасность)</t>
  </si>
  <si>
    <t>Мост через р. Алеус на км 32+345 автодороги "120 км а/д "К-17р" - Камень-на-Оби (в границах НСО)"  (транспортная безопасность)</t>
  </si>
  <si>
    <t>Мост через р. Орда на км 129+805 автодороги "Новосибирск -Кочки - Павлодар (в пред. РФ)"  (транспортная безопасность)</t>
  </si>
  <si>
    <t xml:space="preserve">Оснащение моста техническими средствами обеспечения транспортной безопасности </t>
  </si>
  <si>
    <t>1.2.1.1.1. Капитальный автомобильных дорог регионального и межмуниципального значения и искусственных сооружений на них</t>
  </si>
  <si>
    <t>1.2.1.1.1.1. Оплата кредиторской задолженности за работы, выполненные в 2019 году</t>
  </si>
  <si>
    <t>О1.2.1. Капитальный ремонт автомобильных дорог регионального и межмуниципального значения и искусственных сооружений на них</t>
  </si>
  <si>
    <t>1.2.1.1.Капитальный ремонт автомобильных дорог регионального и межмуниципального значения и искусственных сооружений на них</t>
  </si>
  <si>
    <t>1.2.1.1.Капитальный ремонт автомобильных дорог регионального и межмуниципального значения и искусственных сооружений на них (подробный перечень объектов указан в Таблице 3.2 плана реализации)</t>
  </si>
  <si>
    <t xml:space="preserve"> Ремонт 5,0 км автодороги </t>
  </si>
  <si>
    <t xml:space="preserve"> Ремонт 11,0 км автодороги </t>
  </si>
  <si>
    <t xml:space="preserve"> Ремонт 16,0 км автодороги </t>
  </si>
  <si>
    <t xml:space="preserve"> Ремонт 20,0 км автодороги</t>
  </si>
  <si>
    <t xml:space="preserve"> Ремонт 18,0 км автодороги </t>
  </si>
  <si>
    <t xml:space="preserve"> Ремонт 8,0 км автодороги</t>
  </si>
  <si>
    <t xml:space="preserve"> Ремонт 15 км автодороги</t>
  </si>
  <si>
    <t xml:space="preserve"> Ремонт 19,1 км автодороги</t>
  </si>
  <si>
    <t xml:space="preserve"> Ремонт 13,0 км автодороги</t>
  </si>
  <si>
    <t>Ремонт 5,7 км автодороги</t>
  </si>
  <si>
    <t>а/д "17 км а/д "Н-3105" - Чаячье - Елизаветинка"</t>
  </si>
  <si>
    <t>Ремонт 2,3 км автодороги</t>
  </si>
  <si>
    <t>27 км а/д "Н-3108"-Павловка-Мироновка-Мухино</t>
  </si>
  <si>
    <t>Ремонт 5,5 км автодороги</t>
  </si>
  <si>
    <t>Ремонт 10,9 км автодороги</t>
  </si>
  <si>
    <t>"Здвинск-Барабинск"</t>
  </si>
  <si>
    <t>Ремонт 7,0 км автодороги</t>
  </si>
  <si>
    <t>а/д "Корнилово - Кармановка"</t>
  </si>
  <si>
    <t>а/д "296 км а/д "К-17р" - Полойка-Травное-Довольное (в гр. района) "</t>
  </si>
  <si>
    <t>а/д "Здвинск-Верх-Урюм-Лянино-Мамон"</t>
  </si>
  <si>
    <t xml:space="preserve"> Ремонт 6 км автодороги</t>
  </si>
  <si>
    <t>а/д "358 км а/д "К-17р" - Кучугур"</t>
  </si>
  <si>
    <t>а/д "57 км а/д "К-12"- Вьюны - Новотроицк - Юрт-Акбалык"</t>
  </si>
  <si>
    <t>а/д "Коченево - Поваренка"</t>
  </si>
  <si>
    <t>а/д "Здвинск-157 км а/д "К-01"</t>
  </si>
  <si>
    <t>Ремонт 11 км автодороги</t>
  </si>
  <si>
    <t>а/д  "Кыштовка-Орловка"</t>
  </si>
  <si>
    <t>Ремонт 2,5 км автодорог, мостовых сооружений</t>
  </si>
  <si>
    <t>а/2 км а/д "Н-1910" - Новый Порос</t>
  </si>
  <si>
    <t>а/д "Чингис - Нижнекаменка - Завъялово"</t>
  </si>
  <si>
    <t>Ремонт в 2020 году 6,2 км автодорог, в 2022 году -  оплата в соответствии с заключенным контрактом</t>
  </si>
  <si>
    <t>Ремонт в 2020 году 3,0 км автодорог, в 2022 году -  оплата в соответствии с заключенным контрактом</t>
  </si>
  <si>
    <t>Аварийно-восстановительные работы в местах ликвидации последствий чрезвычайных ситуаций</t>
  </si>
  <si>
    <t>Предусмотрены средства для ликвидации последствий в местаз ликвидации чрезвычаных ситуаций</t>
  </si>
  <si>
    <t>1.2.1.1.2.1. Ремонт автомобильных дорог регионального и межмуниципального значения и искусственных сооружений на них</t>
  </si>
  <si>
    <t>в 2020 году выплаты размера возмещения правообладателям при изъятии земельных участков и имущества, расположенного на них, изъятие 38 участков с последующей передачей коцессионеру, согласно утвержденному графику предоставления земельных участков (подлежит корректировке в случае внесения изменений в проект межевания и проект планировки территории). Разработка рабочей документации (концессионер). В период с 2020 по 2022 годы выполнение строительно- монтажных работ по подготовке территории строительства, учитывая комплекс мероприятий по охране окружающей среды, сносу строений, переустройству инженерных коммуникаций, а также строительство объекта.</t>
  </si>
  <si>
    <t>Оплата бюджетных обязательств по выполненным и принятым работам в 2019 году</t>
  </si>
  <si>
    <t>За период 2020-2022 годов будет заключено 55 контракта.</t>
  </si>
  <si>
    <t>За период 2020-2022 годов будет заключено 59 контрактов</t>
  </si>
  <si>
    <t>налоговые расходы</t>
  </si>
  <si>
    <t>субсидии из федерального бюджета областному бюджету Новосибирской области на   строительство и реконструкцию автомобильных дорог общего пользования  с твердым покрытием, ведущим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 в рамках подпрограммы "Создание и развитие инфраструктуры на сельских территориях" государственной программы Российской Федерации "Комплексное развитие сельских территорий", утвержденной постановления Правительства Российской Федерации от 31.05.2019 № 696</t>
  </si>
  <si>
    <t>иные межбюджетные трансферты, имеющие целевое назначение в целях внедрения автоматизированных и роботизированных технологий организации дорожного движения и контроля за соблюдением правил дорожного движения в рамках реализации федерального проекта "Общесистемные меры развития дорожного хозяйства" национального проекта «Безопасные и качественные автомобильные  дороги»</t>
  </si>
  <si>
    <t xml:space="preserve">Строительство объекта капитального строительства «Мостовой переход через р. Обь в створе ул. Ипподромской 
г. Новосибирска. Этап 0. Подготовительные работы. Этап 1. Строительство мостового перехода через р. Обь. Этап 2. Строительство транспортной развязки в створе ул. Станиславского» в рамках концессионного соглашения, заключенного в соответствии с Федеральным законом от 21 июля 2005 г. № 115-ФЗ «О концессионных соглашениях», подлежащего эксплуатации на платной основе
</t>
  </si>
  <si>
    <t xml:space="preserve">Строительство объекта капитального строительства «Мостовой переход через р. Обь в створе ул. Ипподромской г. Новосибирска. Этап 0. Подготовительные работы. Этап 1. Строительство мостового перехода через р. Обь. Этап 2. Строительство транспортной развязки в створе ул. Станиславского» в рамках концессионного соглашения, заключенного в соответствии с Федеральным законом от 21 июля 2005 г. № 115-ФЗ «О концессионных соглашениях», подлежащего эксплуатации на платной основе.
Этап 1. Строительство мостового перехода через р. Обь. 
Этап 2. Строительство транспортной развязки в створе ул. Станиславского
</t>
  </si>
  <si>
    <t xml:space="preserve"> Ремонт 2,1 км автодороги</t>
  </si>
  <si>
    <t>Ремонт 1,8 км автодороги, мостовых сооружений</t>
  </si>
  <si>
    <t>В 2020- ремонт 2,1 км автодороги, в 2022 - оплата в соответствии с заключенным контрактом</t>
  </si>
  <si>
    <t xml:space="preserve"> Ремонт 2,2 км автодороги, мостовых сооружений</t>
  </si>
  <si>
    <t>Ремонт 4,3 км автодороги, мостовых сооружений</t>
  </si>
  <si>
    <t>Ремонт 2,2 км автодороги, мостовых сооружений</t>
  </si>
  <si>
    <t>Ремонт 2,3 км автодороги, мостовых сооружений</t>
  </si>
  <si>
    <t>Ремонт 1,8 км автодорог, мостовых сооружений</t>
  </si>
  <si>
    <t>Ремонт 2,4 км автодорог, мостовых сооружений</t>
  </si>
  <si>
    <t>Ремонт 2,2 км автодорог, мостовых сооружений</t>
  </si>
  <si>
    <t>Ремонт 2,6 км автодорог, мостовых сооружений</t>
  </si>
  <si>
    <t>Ремонт 2,0 км автодорог, мостовых сооружений</t>
  </si>
  <si>
    <t xml:space="preserve"> Ремонт 3,0 км автодорог, мостовых сооружений</t>
  </si>
  <si>
    <t xml:space="preserve"> Ремонт 2,6 км автодорог, мостовых сооружений</t>
  </si>
  <si>
    <t xml:space="preserve"> Ремонт 2,1 км автодорог, мостовых сооружений</t>
  </si>
  <si>
    <t xml:space="preserve"> Ремонт 2,4 км автодорог, мостовых сооружений</t>
  </si>
  <si>
    <t xml:space="preserve"> Ремонт 2,9 км автодорог, мостовых сооружений</t>
  </si>
  <si>
    <t xml:space="preserve"> Ремонт 2,3 км автодорог, мостовых сооружений</t>
  </si>
  <si>
    <t xml:space="preserve">  Ремонт 2,0 км автодорог, мостовых сооружений</t>
  </si>
  <si>
    <t>Ремонт 2,1 км автодорог, мостовых сооружений</t>
  </si>
  <si>
    <t>1.1.4. Строительство объектов дорожной инфраструктуры для многофункциональной ледовой арены по улице Немировича-Данченко в г. Новосибирске</t>
  </si>
  <si>
    <t>1.1.4.1. Строительство автомобильной дороги от пляжа "Наутилус" вдоль территории "Многофункциональной ледовой арены" с заездом на дамбу Октябрьского моста в Кировском и Ленинском районах г.Новосибирска</t>
  </si>
  <si>
    <t>1.1.4.2. Строительство автомобильной дороги от ул.Немировича-Данченко до территории "Многофункциональной ледовой арены" в Кировском районе г.Новосибирска</t>
  </si>
  <si>
    <t>Итогона решение задачи 1.2. цели 1. государственной программы</t>
  </si>
  <si>
    <t>Итого на решение  задачи 1.1 цели 1. государственной программы</t>
  </si>
  <si>
    <t>Итого по государственной программе</t>
  </si>
  <si>
    <t xml:space="preserve"> В 2020 году предусмотрены по устройству ливневой канализации и отсыпке песка в полном объеме.  В 2021 году продолжение строительства автомобильной дороги (после окончания строительства ледовой арены), будет произведено устройство  асфальто-бетонного полотна протяженностью 2,25 км. Ввод в эксплуатацию в 2022 году.</t>
  </si>
  <si>
    <t>В 2020 году планируются работы по устройству  ливневой канализации,окончанию работ по отсыпке земляного полотна, отсыпке первого слоя щебня.  В 2021 году ввод в эксплуатацию в 2022 году  протяженностью 0,645 км.</t>
  </si>
  <si>
    <t>Строительство автомобильных дорог общего пользования с вводом в эксплуатацию в 2021 году 0,645 км, в 2022 году 2,25 км</t>
  </si>
  <si>
    <t>15. Доля протяженности автомобильных дорог регионального, межмуниципального и местного значения, соответствующих нормативным требованиям к транспортно-эксплуатационным показателям на 31 декабря отчетного периода, в том числе:</t>
  </si>
  <si>
    <t>15.Доля протяженности автомобильных дорог регионального, межмуниципального и местного значения, соответствующих нормативным требованиям к транспортно-эксплуатационным показателям на 31 декабря отчетного периода, в том числе:</t>
  </si>
  <si>
    <t>16.Удельный вес мостовых сооружений на автодорогах регионального и межмуниципального значения, находящихся в неудовлетворительном техническом состоянии и не соответствующих нормативным требованиям</t>
  </si>
  <si>
    <t>17.Протяженность сети автомобильных дорог общего пользования местного значения на территории Новосибирской области</t>
  </si>
  <si>
    <t>18.Объемы ввода в эксплуатацию после строительства и реконструкции автомобильных дорог общего пользования местного значения</t>
  </si>
  <si>
    <t>19.Прирост протяженности сети автомобильных дорог местного значения на территории Новосибирской области в результате строительства новых автомобильных дорог</t>
  </si>
  <si>
    <t>20.Прирост протяженности автомобильных дорог общего пользования местного значения на территории Новосибирской области, соответствующих нормативным требованиям к транспортно-эксплуатационным показателям, в результате реконструкции автомобильных дорог</t>
  </si>
  <si>
    <t xml:space="preserve">21. Протяженность грунтовых автомобильных дорог общего пользования местного значения  на территории  Новосибирской области   </t>
  </si>
  <si>
    <t xml:space="preserve">22. Доля протяженности дорожной сети Новосибирской агломерации, соответствующей нормативным требованиям   </t>
  </si>
  <si>
    <t>23.Доля автомобильных дорог регионального и межмуниципального значения Новосибирской области, обслуживающих движение в режиме перегрузки</t>
  </si>
  <si>
    <t xml:space="preserve">24.Снижение количества мест концентрации дорожно-транспортных происшествий (аварийно-опасных участков) 
на дорожной сети Новосибирской области
</t>
  </si>
  <si>
    <t xml:space="preserve">25.Доля контрактов на осуществление дорожной деятельности в рамках реализации регионального проекта, предусматривающих использование новых технологий и материалов, включенных в Реестр новых и наилучших технологий, материалов и технологических решений повторного применения, от общего количества новых государственных контрактов на выполнение работ по капитальному ремонту, ремонту и содержанию автомобильных дорог
</t>
  </si>
  <si>
    <t xml:space="preserve">26.Доля контрактов на осуществление дорожной деятельности в рамках реализации регионального проекта, предусматривающих выполнение работ на принципах контракта жизненного цикла, от общего количества новых государственных контрактов на выполнение работ по капитальному ремонту, ремонту и содержанию автомобильных дорог
</t>
  </si>
  <si>
    <t xml:space="preserve">27.Доля соответствующих нормативным требованиям автомобильных дорог регионального значения и автомобильных дорог в городских агломерациях с учетом загруженности </t>
  </si>
  <si>
    <t>22. Доля протяженности дорожной сети Новосибирской агломерации, соответствующей нормативным требованиям**</t>
  </si>
  <si>
    <t>23.Доля автомобильных дорог регионального и межмуниципального значения Новосибирской области, обслуживающих движение в режиме перегрузки**</t>
  </si>
  <si>
    <t xml:space="preserve">24.Снижение количества мест концентрации дорожно-транспортных происшествий (аварийно-опасных участков) 
на дорожной сети Новосибирской области**
</t>
  </si>
  <si>
    <t xml:space="preserve">25. Доля контрактов
на осуществление дорожной деятельности
в рамках реализации регионального проекта «Общесистемные меры развития дорожного хозяйства (Новосибирская область)», предусматривающих использование новых технологий и материалов, включенных в Реестр новых и наилучших технологий, материалов и технологических решений повторного применения,
от общего количества новых государственных контрактов на выполнение работ по капитальному ремонту, ремонту и содержанию автомобильных дорог
**
</t>
  </si>
  <si>
    <t xml:space="preserve">26. Доля контрактов на осуществление дорожной деятельности в рамках реализации регионального проекта «Общесистемные меры развития дорожного хозяйства (Новосибирская область)», предусматривающих выполнение работ на принципах контракта жизненного цикла, от общего количества новых государственных контрактов на выполнение работ по капитальному ремонту, ремонту и содержанию автомобильных дорог**
</t>
  </si>
  <si>
    <t>27.Доля соответствующих нормативным требованиям автомобильных дорог регионального значения и автомобильных дорог в городских агломерациях с учетом загруженности ***</t>
  </si>
  <si>
    <t>*** Индикатор введен с 2020 года</t>
  </si>
  <si>
    <t xml:space="preserve"> Ремонт 1,8 км автодороги</t>
  </si>
  <si>
    <t>Путепровод ж/д "Инская-Сокур" на 23 км автодороги "Новосибирск - Ленинск-Кузнецкий (в границах НСО)"</t>
  </si>
  <si>
    <t>Мост ч/р Шарап на 96 км а/д  "Новосибирск - Кочки – Павлодар (в пред. РФ)"</t>
  </si>
  <si>
    <t>Капитальный ремонт путепровода   46,8 пог.м со сроком сдачи  в 2021 году</t>
  </si>
  <si>
    <t>Строительство моста через ручей на 37 км автомобильной дороги "Искитим - Верх-Коен - Михайловка" в Искитимском районе Новосибирской области</t>
  </si>
  <si>
    <t>Строительство моста через р. Травинка на 1 км автомобильной дороги "15 км а/д "К-27"- Луговой" в Краснозерском районе Новосибирской области</t>
  </si>
  <si>
    <t>Разработка проектно-сметной документации, выкуп земель под объект</t>
  </si>
  <si>
    <t>Ввод в эксплуатацию 1 км автодороги</t>
  </si>
  <si>
    <t xml:space="preserve">Строительство моста через р. Жабара на 87 км автомобильной дороги "Венгерово - Минино - Верх-Красноярка - Северное (в гр. района)" в Северном районе Новосибирской области </t>
  </si>
  <si>
    <t>Реконструкция путепровода через ж/д  "Обь-Проектная"  на 36 км автомобильной дороги "Новосибирск - Ленинск-Кузнецкий (в границах НСО)" в Тогучинском районе Новосибирской области</t>
  </si>
  <si>
    <t xml:space="preserve">Ввод в эксплуатацию законченных строительством и реконструкцией автодорог общего пользования регионального и межмуниципального значения и искусственных сооружений на них:                                                   в 2020 году - 17,9 км;                                         в 2021 году -13,3 км;                                            в 2022 году - 19,0 км.                 </t>
  </si>
  <si>
    <t>Капитальный ремонт путепровода   68,17 пог.м  со сроком сдачи  в 2021 году</t>
  </si>
  <si>
    <t>Путепровод ж/д "Инская-Сокур" на 22+215 км автодороги "Новосибирск - Ленинск-Кузнецкий (в границах НСО)" (транспортная безопасность)</t>
  </si>
  <si>
    <t>Мост р.Издревая на 22+493 км автодороги "Новосибирск - Ленинск-Кузнецкий(в границах НСО) " (транспортная безопасность)</t>
  </si>
  <si>
    <t>Мост ч/р Шарап на км 95+140 автодороги  "Новосибирск - Кочки – Павлодар (в пред. РФ)" (транспортная безопасность)</t>
  </si>
  <si>
    <t>Мост ч/р Ирмень на км 67,889 км а/д "Новосибирск -Кочки - Павлодар (в пред. РФ) "</t>
  </si>
  <si>
    <t>Капитальный ремонт моста 45,64 пог.м</t>
  </si>
  <si>
    <t>Мост через Шеничный лог на км 133+730 автодороги "Новосибирск - Кочки – Павлодар (в пред. РФ)" (транспортная безопасность)</t>
  </si>
  <si>
    <t>Мост через р. Ирмень на км 67+889 автодороги "Новосибирск -Кочки - Павлодар (в пред. РФ) " (транспортная безопасность)</t>
  </si>
  <si>
    <t>Мост через р. М. Изылы на км 110+216 автодороги "Новосибирск – Ленинск-Кузнецкий (в границах НСО)" (транспортная безопасность)</t>
  </si>
  <si>
    <t>Мост через р. Колтырак на км 141+105 автодороги "Новосибирск – Ленинск-Кузнецкий (в границах НСО)" (транспортная безопасность)</t>
  </si>
  <si>
    <t>Мост через р. Тарсьма на км 138+862 автодороги "Новосибирск – Ленинск-Кузнецкий (в границах НСО)" (транспортная безопасность)</t>
  </si>
  <si>
    <t>Мост ж/д "Обь-Проектная"  на 35+958 км автодороги "Новосибирск - Ленинск-Кузнецкий (в границах НСО)" (транспортная безопасность)</t>
  </si>
  <si>
    <t>а/д "105 км а/д "М-52" - Сузун"</t>
  </si>
  <si>
    <t>Капитальный ремонт в 2022 году 0,5 км автодороги</t>
  </si>
  <si>
    <t>Реконструкция автомобильной дороги 992 км а/д "Р-254" - Купино - Карасук в Чистоозерном районе Новосибирской области</t>
  </si>
  <si>
    <t>Реконструкция автомобильной дороги 992 км а/д "Р-254" - Купино - Карасук в Татарском районе Новосибирской области</t>
  </si>
  <si>
    <t>Реконструкция автомобильной дороги 992 км а/д "Р-254" - Купино - Карасук в Карасукском районе Новосибирской области</t>
  </si>
  <si>
    <t>Реконструкция автомобильной дороги 1196 км а/д "Р-254"- Александро-Невское в Убинском районе Новосибирской области</t>
  </si>
  <si>
    <t>а/д  54 км а/д "Р-256"  - Завьялово - Факел Революции</t>
  </si>
  <si>
    <t>а/д 52 км а/д "Р-256" -  Искитим</t>
  </si>
  <si>
    <t>а/д 1282 км а/д "Р-254" - Форпост-Каргат - Верх-Каргат - Натальинский</t>
  </si>
  <si>
    <t>Мост через р. Кирзушка на км 11+667 автодороги "120 км а/д "К-17р" - Камень-на-Оби (в границах НСО) " (транспортная безопасность)</t>
  </si>
  <si>
    <t>а/д "104 км а/д "Р-256" - Сузун"</t>
  </si>
  <si>
    <t>а/д "104 км а/д "Р-256" - Черепаново -  Маслянино"</t>
  </si>
  <si>
    <t>129 км а/д "Р-255" - Тогучин - Карпысак</t>
  </si>
  <si>
    <t xml:space="preserve"> а/д 72 км а/д "Р-256" - Легостаево - Чемское - 76 км а/д "К-16"(в гр. района)  </t>
  </si>
  <si>
    <t>1282 км а/д "Р-254" - Форпост-Каргат - Верх-Каргат - Натальинский</t>
  </si>
  <si>
    <t xml:space="preserve">1286 км а/д "Р-254" - Каргат (восточный)       </t>
  </si>
  <si>
    <t>а/д 992 км а/д "Р-254" - Купино - Карасук</t>
  </si>
  <si>
    <t>а/д 61 км а/д "Р-255" - Мошково - Белоярка</t>
  </si>
  <si>
    <t>а/д 104 км а/д "Р-256" - Сузун</t>
  </si>
  <si>
    <t>а/д  992 км а/д "Р-254" - Купино - Карасук</t>
  </si>
  <si>
    <t>а/д 129 км а/д "Р-255" - Тогучин - Карпысак</t>
  </si>
  <si>
    <t xml:space="preserve">а/д 72 км а/д "Р-256" - Легостаево - Чемское - 76 км а/д "К-16"(в гр. района)  </t>
  </si>
  <si>
    <t>1237 км а/д "Р-254" - Крещенское</t>
  </si>
  <si>
    <t>104 км а/д "Р-256" - Сузун</t>
  </si>
  <si>
    <t>а/д Корнилово - Кармановка</t>
  </si>
  <si>
    <t>а/д "Коченево - Целинное"</t>
  </si>
  <si>
    <t>а/д "Кыштовка-Орловка"</t>
  </si>
  <si>
    <t xml:space="preserve"> Ремонт 3,5 км автодороги</t>
  </si>
  <si>
    <t>а/д "Убинское - Кундран"</t>
  </si>
  <si>
    <t>а/д 104 км а/д "Р-256" - Черепаново -  Маслянино</t>
  </si>
  <si>
    <t>Ремонт   автомобильных дорог регионального и межмуниципального значения и искусственных сооружений на них  в 2020 г -89,4 км; 2021- 230,2 км; 2022-147,9 км</t>
  </si>
  <si>
    <t>Прирост протяженности автомобильных дорог регионального и межмуниципального  значения, соответствующих нормативным требованиям, к транспортно-эксплуатационным показателям в результате ремонта автомобильных дорогв 2020 г - 89,4 км;      2021- 230,2 км;                        2022- 147,9 км</t>
  </si>
  <si>
    <t>Реконструкция автомобильной дороги "79 км а/д "К-04" - Федоровка" на участке 17+900 - км 21+900 в Северном районе</t>
  </si>
  <si>
    <t xml:space="preserve">Ввод в эксплатацию автомобильной дороги 3,9 км </t>
  </si>
  <si>
    <t>Капитальный ремонт автодороги 2020-5 км, 2021- 3 км, 2022-1,5 км</t>
  </si>
  <si>
    <t xml:space="preserve"> Ремонт 2,6 км автодороги </t>
  </si>
  <si>
    <t>а/д "Подъезд к  ж/д вокзалу  ст. Убинское" в Убинском районе</t>
  </si>
  <si>
    <t xml:space="preserve"> Ремонт 0,2 км автодороги </t>
  </si>
  <si>
    <t>Капитальный ремонт автодороги в  2022- 0,5 км</t>
  </si>
  <si>
    <t xml:space="preserve">Ввод в эксплуатацию законченных строительством и реконструкцией автодорог общего пользования регионального и межмуниципального значения и искусственных сооружений на них:                                                   в 2020 году -17,9 км;                                         в 2021 году -13,3 км;                                            в 2022 году - 19,0 км.                                          </t>
  </si>
  <si>
    <t>Ввод в эксплуатацию законченных строительством и реконструкцией в период 2020-2022 годов автодорог общего пользования регионального и межмуниципального значения; ввод в эксплуатацию искусственных сооружений (рассчитанных в соответствии с методикой):   в 2020-17,9 км; в 2021-13,3 км; 2022-19,0 км</t>
  </si>
  <si>
    <t>Капитальный ремонт   автомобильных дорог регионального и межмуниципального значения и искусственных сооружений на них в 2020-5,4 км, 2021-2 км, 2022- 9,3 км;  капитальный ремонт водопропускных труб - в 2020-6 шт.; оснащение  мостов  средствами технической безопасности в 2020 -5 шт., 2021- 3 шт., 2022- 4 шт.</t>
  </si>
  <si>
    <t>Ремонт   автомобильных дорог регионального и межмуниципального значения и искусственных сооружений на них  в 2020 г - 58,1 км; 2022- 74,3 км</t>
  </si>
  <si>
    <t>Ремонт   автомобильных дорог регионального и межмуниципального значения и искусственных сооружений на них  в 2020 г -58,1 км; 2022-74,3 км</t>
  </si>
  <si>
    <t>Капитальный ремонт моста в 2020 году   45,8 п.м.</t>
  </si>
  <si>
    <t>Прирост протяженности автомобильных дорог регионального и межмуниципального  значения, соответствующих нормативным требованиям, к транспортно-эксплуатационным показателям в результате капитального ремонта автомобильных дорог в 2020 -9,3 км,               2021- 12,0  км,           2022-1,5 км</t>
  </si>
  <si>
    <t>Прирост протяженности автомобильных дорог регионального и межмуниципального  значения, соответствующих нормативным требованиям, к транспортно-эксплуатационным показателям в результате капитального ремонта автомобильных дорог в 2020 -9,3 км,               2021- 12,0  км,      2022-1,5 км</t>
  </si>
  <si>
    <t>О2.3. Выполнение работ по созданию и внедрению интеллектуальной транспортной системы</t>
  </si>
  <si>
    <t>За период 2020-2022 годов будет выполняться проектные работы, закупка технических средств. Ввод в эксплуатацию в 2024 году одной интеллектуальной транспортной системы.</t>
  </si>
  <si>
    <t>За период 2020-2022 годов будет заключено 114 контракта с целью повышения качества выполняемых дорожных работ. В 2020-2022 годах  работы по созданию одной интеллектуальной транспортной системы.</t>
  </si>
  <si>
    <t>610R254180</t>
  </si>
  <si>
    <r>
      <t>Ввод в эксплуатацию моста протяженностью 11,57 пог.м</t>
    </r>
    <r>
      <rPr>
        <sz val="9"/>
        <rFont val="Calibri"/>
        <family val="2"/>
        <charset val="204"/>
      </rPr>
      <t>¹</t>
    </r>
  </si>
  <si>
    <t xml:space="preserve">Ввод в эксплуатацию автомобильных дорог общего пользования после строительства или реконструкции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(рассчитанных в соответствии с методикой):                                                                                                                                                                                                                                                                                                                                                                                                в 2020 году -16,586 км;                                            в 2021 году - 16,0 км                     в 2021 году - 16,0 км     </t>
  </si>
  <si>
    <t xml:space="preserve">Ввод в эксплуатацию автомобильных дорог общего пользования после строительства или реконструкции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(рассчитанных в соответствии с методикой):                                                                                                                                                                                                                                                                                                                                                                                                в 2020 году - 16,586 км;                                            в 2021 году - 16,0 км                     в 2022 году - 16,0 км                     </t>
  </si>
  <si>
    <t xml:space="preserve">Всего по мероприятию,
в том числе:
</t>
  </si>
  <si>
    <t>Всего по мероприятию, в том числе:</t>
  </si>
  <si>
    <t xml:space="preserve">Всего, в том числе:
</t>
  </si>
  <si>
    <t>Увеличить долю протяженности дорожной сети Новосибирской агломерации, соответствующей нормативным требованиям,  к 2022 году до 73,8%</t>
  </si>
  <si>
    <t>Прирост протяженности автомобильных дорог регионального и межмуниципального  значения, соответствующих нормативным требованиям, к транспортно-эксплуатационным показателям в результате ремонта автомобильных дорог в 2020 г - 58,1 км;  2022- 74,3 км. В 2021 году оплата работ в соответствии с заключенными контрактами.</t>
  </si>
  <si>
    <t>Реализация мероприятия позволит в 2020-2022 годах  обеспечить поддержание транспортно-эксплуатационных характеристик автомобильных дорог и искусственных сооружений в состоянии, соответствующем требованиям действующих отраслевых нормативов</t>
  </si>
  <si>
    <t>Капитальный ремонт   автомобильных дорог регионального и межмуниципального значения и искусственных сооружений на них  в 2020 -9,3 км, 2021- 12,0  км, 2022-1,5 км</t>
  </si>
  <si>
    <t>Капитальный ремонт   автомобильных дорог регионального и межмуниципального значения и искусственных сооружений на них  в 2020 -9,3 км, 2021- 12,0  км., 2022-1,5 км</t>
  </si>
  <si>
    <t xml:space="preserve">Капитальный ремонт   автомобильных дорог регионального и межмуниципального значения и искусственных сооружений на них в 2020-5,4 км, 2021-2 км, 2022- 9,3 км;  капитальный ремонт водопропускных труб - в 2020-6 шт.; оснащение средствами технической безопасности мостов в 2020 году-5 шт., 2021-5 шт., 2022-5 шт.  </t>
  </si>
  <si>
    <t>П4. Техническая готовность интеллектуальной транспортной системы</t>
  </si>
  <si>
    <t>ви</t>
  </si>
  <si>
    <t>1.2.1.1.2. Оплата кредиторской задолженности за работы, выполненные в 2019 году</t>
  </si>
  <si>
    <t>1.2.1.2. Ремонт автомобильных дорог регионального и межмуниципального значения и искусственных сооружений на них</t>
  </si>
  <si>
    <t>1.2.1.2.1. Ремонт автомобильных дорог регионального и межмуниципального значения и искусственных сооружений на них, в том числе:</t>
  </si>
  <si>
    <t>1.2.1.2.2. Оплата кредиторской задолженности за аварийно-восстановительные работы, выполненные в 2019 году</t>
  </si>
  <si>
    <t>1.2.1.3.Содержание автомобильных дорог регионального и межмуниципального значения и искусственных сооружений на них</t>
  </si>
  <si>
    <t>1.2.1.3.1. Содержание автомобильных дорог регионального и межмуниципального значения и искусственных сооружений на них</t>
  </si>
  <si>
    <t xml:space="preserve">1.2.1.4. Выполнение работ по инвентаризации и паспортизации автомобильных дорог регионального и межмуниципального значения и искусственных сооружений на них  </t>
  </si>
  <si>
    <t>1.2.1.5. Научно-исследовательские и конструкторские работы  в дорожной отрасли</t>
  </si>
  <si>
    <t xml:space="preserve">1.2.1.6. Разработка проектно-сметной документации для автомобильных дорог регионального и межмуниципального значения </t>
  </si>
  <si>
    <t>1.2.1.3.2. Оплата кредиторской задолженности за работы, выполненные в 2019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</si>
</sst>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quot;р.&quot;_-;\-* #,##0.00&quot;р.&quot;_-;_-* &quot;-&quot;??&quot;р.&quot;_-;_-@_-"/>
    <numFmt numFmtId="165" formatCode="_-* #,##0.00_р_._-;\-* #,##0.00_р_._-;_-* &quot;-&quot;??_р_._-;_-@_-"/>
    <numFmt numFmtId="166" formatCode="_-* #,##0.0_р_._-;\-* #,##0.0_р_._-;_-* &quot;-&quot;??_р_._-;_-@_-"/>
    <numFmt numFmtId="167" formatCode="_-* #,##0.0_р_._-;\-* #,##0.0_р_._-;_-* &quot;-&quot;?_р_._-;_-@_-"/>
    <numFmt numFmtId="168" formatCode="#,##0.0"/>
    <numFmt numFmtId="169" formatCode="0.0"/>
    <numFmt numFmtId="170" formatCode="_-* #,##0.000_р_._-;\-* #,##0.000_р_._-;_-* &quot;-&quot;??_р_._-;_-@_-"/>
    <numFmt numFmtId="171" formatCode="#,##0.0_ ;\-#,##0.0\ "/>
    <numFmt numFmtId="172" formatCode="#,##0.00_ ;\-#,##0.00\ "/>
    <numFmt numFmtId="173" formatCode="0.000"/>
    <numFmt numFmtId="174" formatCode="0.0%"/>
    <numFmt numFmtId="175" formatCode="#,##0.0_р_."/>
    <numFmt numFmtId="176" formatCode="#,##0.000"/>
    <numFmt numFmtId="177" formatCode="_-* #,##0.0\ _₽_-;\-* #,##0.0\ _₽_-;_-* &quot;-&quot;?\ _₽_-;_-@_-"/>
    <numFmt numFmtId="178" formatCode="#,##0.000000000000000"/>
    <numFmt numFmtId="179" formatCode="#,##0.000_ ;\-#,##0.000\ "/>
  </numFmts>
  <fonts count="87">
    <font>
      <sz val="11"/>
      <color theme="1"/>
      <name val="Calibri"/>
      <family val="2"/>
      <charset val="204"/>
      <scheme val="minor"/>
    </font>
    <font>
      <sz val="14"/>
      <color theme="1"/>
      <name val="Calibri"/>
      <family val="2"/>
      <charset val="204"/>
      <scheme val="minor"/>
    </font>
    <font>
      <sz val="14"/>
      <color theme="1"/>
      <name val="Calibri"/>
      <family val="2"/>
      <charset val="204"/>
      <scheme val="minor"/>
    </font>
    <font>
      <sz val="10"/>
      <name val="Times New Roman"/>
      <family val="1"/>
      <charset val="204"/>
    </font>
    <font>
      <sz val="9"/>
      <name val="Times New Roman"/>
      <family val="1"/>
    </font>
    <font>
      <sz val="10"/>
      <name val="Helv"/>
    </font>
    <font>
      <sz val="11"/>
      <name val="Times New Roman"/>
      <family val="1"/>
      <charset val="204"/>
    </font>
    <font>
      <sz val="10"/>
      <name val="Arial"/>
      <family val="2"/>
      <charset val="204"/>
    </font>
    <font>
      <b/>
      <sz val="10"/>
      <name val="Times New Roman"/>
      <family val="1"/>
      <charset val="204"/>
    </font>
    <font>
      <b/>
      <sz val="9"/>
      <name val="Times New Roman"/>
      <family val="1"/>
      <charset val="204"/>
    </font>
    <font>
      <i/>
      <sz val="11"/>
      <name val="Times New Roman"/>
      <family val="1"/>
      <charset val="204"/>
    </font>
    <font>
      <b/>
      <sz val="9"/>
      <name val="Times New Roman"/>
      <family val="1"/>
    </font>
    <font>
      <b/>
      <sz val="10"/>
      <name val="Times New Roman"/>
      <family val="1"/>
    </font>
    <font>
      <b/>
      <sz val="14"/>
      <name val="Times New Roman"/>
      <family val="1"/>
      <charset val="204"/>
    </font>
    <font>
      <sz val="10"/>
      <color indexed="8"/>
      <name val="Times New Roman"/>
      <family val="1"/>
      <charset val="204"/>
    </font>
    <font>
      <sz val="11"/>
      <color theme="1"/>
      <name val="Calibri"/>
      <family val="2"/>
      <charset val="204"/>
      <scheme val="minor"/>
    </font>
    <font>
      <sz val="11"/>
      <color theme="1"/>
      <name val="Times New Roman"/>
      <family val="1"/>
      <charset val="204"/>
    </font>
    <font>
      <sz val="10"/>
      <color theme="1"/>
      <name val="Times New Roman"/>
      <family val="1"/>
      <charset val="204"/>
    </font>
    <font>
      <b/>
      <sz val="10"/>
      <color theme="1"/>
      <name val="Times New Roman"/>
      <family val="1"/>
      <charset val="204"/>
    </font>
    <font>
      <b/>
      <sz val="11"/>
      <color theme="1"/>
      <name val="Times New Roman"/>
      <family val="1"/>
      <charset val="204"/>
    </font>
    <font>
      <b/>
      <i/>
      <sz val="11"/>
      <color rgb="FFFF0000"/>
      <name val="Times New Roman"/>
      <family val="1"/>
      <charset val="204"/>
    </font>
    <font>
      <sz val="9"/>
      <name val="Times New Roman"/>
      <family val="1"/>
      <charset val="204"/>
    </font>
    <font>
      <b/>
      <sz val="10"/>
      <color theme="0"/>
      <name val="Times New Roman"/>
      <family val="1"/>
      <charset val="204"/>
    </font>
    <font>
      <b/>
      <sz val="9"/>
      <color indexed="81"/>
      <name val="Tahoma"/>
      <family val="2"/>
      <charset val="204"/>
    </font>
    <font>
      <sz val="9"/>
      <color indexed="81"/>
      <name val="Tahoma"/>
      <family val="2"/>
      <charset val="204"/>
    </font>
    <font>
      <sz val="9"/>
      <name val="Times New Roman CE"/>
      <family val="1"/>
      <charset val="238"/>
    </font>
    <font>
      <b/>
      <sz val="9"/>
      <name val="Times New Roman CE"/>
      <family val="1"/>
      <charset val="238"/>
    </font>
    <font>
      <sz val="9"/>
      <name val="Times New Roman Cyr"/>
      <family val="1"/>
      <charset val="204"/>
    </font>
    <font>
      <sz val="9"/>
      <color indexed="8"/>
      <name val="Times New Roman"/>
      <family val="1"/>
      <charset val="204"/>
    </font>
    <font>
      <sz val="9"/>
      <color rgb="FFFF0000"/>
      <name val="Times New Roman"/>
      <family val="1"/>
    </font>
    <font>
      <sz val="11"/>
      <color rgb="FFFF0000"/>
      <name val="Times New Roman"/>
      <family val="1"/>
    </font>
    <font>
      <sz val="9"/>
      <color theme="1"/>
      <name val="Times New Roman"/>
      <family val="1"/>
    </font>
    <font>
      <sz val="9"/>
      <name val="Times New Roman CE"/>
      <charset val="204"/>
    </font>
    <font>
      <sz val="9"/>
      <color theme="1"/>
      <name val="Times New Roman"/>
      <family val="1"/>
      <charset val="204"/>
    </font>
    <font>
      <b/>
      <sz val="9"/>
      <color theme="1"/>
      <name val="Times New Roman"/>
      <family val="1"/>
      <charset val="204"/>
    </font>
    <font>
      <sz val="12"/>
      <name val="Times New Roman"/>
      <family val="1"/>
      <charset val="204"/>
    </font>
    <font>
      <sz val="10"/>
      <color rgb="FF000000"/>
      <name val="Times New Roman"/>
      <family val="1"/>
      <charset val="204"/>
    </font>
    <font>
      <i/>
      <sz val="12"/>
      <name val="Times New Roman"/>
      <family val="1"/>
      <charset val="204"/>
    </font>
    <font>
      <b/>
      <sz val="12"/>
      <name val="Times New Roman"/>
      <family val="1"/>
      <charset val="204"/>
    </font>
    <font>
      <sz val="14"/>
      <color theme="1"/>
      <name val="Times New Roman"/>
      <family val="1"/>
      <charset val="204"/>
    </font>
    <font>
      <sz val="14"/>
      <color rgb="FF000000"/>
      <name val="Times New Roman"/>
      <family val="1"/>
      <charset val="204"/>
    </font>
    <font>
      <b/>
      <sz val="14"/>
      <color rgb="FF000000"/>
      <name val="Times New Roman"/>
      <family val="1"/>
      <charset val="204"/>
    </font>
    <font>
      <sz val="19"/>
      <color theme="1"/>
      <name val="Calibri"/>
      <family val="2"/>
      <charset val="204"/>
      <scheme val="minor"/>
    </font>
    <font>
      <sz val="19"/>
      <name val="Calibri"/>
      <family val="2"/>
      <charset val="204"/>
      <scheme val="minor"/>
    </font>
    <font>
      <sz val="19"/>
      <color rgb="FF00B050"/>
      <name val="Calibri"/>
      <family val="2"/>
      <charset val="204"/>
      <scheme val="minor"/>
    </font>
    <font>
      <sz val="19"/>
      <color theme="5"/>
      <name val="Calibri"/>
      <family val="2"/>
      <charset val="204"/>
      <scheme val="minor"/>
    </font>
    <font>
      <sz val="19"/>
      <color theme="6" tint="-0.499984740745262"/>
      <name val="Calibri"/>
      <family val="2"/>
      <charset val="204"/>
      <scheme val="minor"/>
    </font>
    <font>
      <sz val="19"/>
      <color theme="1"/>
      <name val="Times New Roman"/>
      <family val="1"/>
      <charset val="204"/>
    </font>
    <font>
      <sz val="19"/>
      <color rgb="FFFF0000"/>
      <name val="Calibri"/>
      <family val="2"/>
      <charset val="204"/>
      <scheme val="minor"/>
    </font>
    <font>
      <sz val="10"/>
      <name val="Helv"/>
      <charset val="204"/>
    </font>
    <font>
      <sz val="8"/>
      <color theme="1"/>
      <name val="Arial"/>
      <family val="2"/>
      <charset val="204"/>
    </font>
    <font>
      <b/>
      <i/>
      <sz val="8"/>
      <color theme="1"/>
      <name val="Arial"/>
      <family val="2"/>
      <charset val="204"/>
    </font>
    <font>
      <u/>
      <sz val="11"/>
      <color theme="10"/>
      <name val="Calibri"/>
      <family val="2"/>
      <charset val="204"/>
      <scheme val="minor"/>
    </font>
    <font>
      <u/>
      <sz val="8"/>
      <color theme="10"/>
      <name val="Calibri"/>
      <family val="2"/>
      <charset val="204"/>
      <scheme val="minor"/>
    </font>
    <font>
      <b/>
      <sz val="8"/>
      <color theme="1"/>
      <name val="Times New Roman"/>
      <family val="1"/>
      <charset val="204"/>
    </font>
    <font>
      <u/>
      <sz val="8"/>
      <color theme="10"/>
      <name val="Times New Roman"/>
      <family val="1"/>
      <charset val="204"/>
    </font>
    <font>
      <b/>
      <sz val="11"/>
      <color theme="1"/>
      <name val="Calibri"/>
      <family val="2"/>
      <charset val="204"/>
      <scheme val="minor"/>
    </font>
    <font>
      <sz val="10"/>
      <color theme="1"/>
      <name val="Calibri"/>
      <family val="2"/>
      <charset val="204"/>
      <scheme val="minor"/>
    </font>
    <font>
      <b/>
      <sz val="11"/>
      <name val="Times New Roman"/>
      <family val="1"/>
      <charset val="204"/>
    </font>
    <font>
      <b/>
      <sz val="10"/>
      <color theme="1"/>
      <name val="Calibri"/>
      <family val="2"/>
      <charset val="204"/>
      <scheme val="minor"/>
    </font>
    <font>
      <b/>
      <sz val="11"/>
      <color rgb="FFFF0000"/>
      <name val="Calibri"/>
      <family val="2"/>
      <charset val="204"/>
      <scheme val="minor"/>
    </font>
    <font>
      <b/>
      <i/>
      <sz val="10"/>
      <color theme="1"/>
      <name val="Arial"/>
      <family val="2"/>
      <charset val="204"/>
    </font>
    <font>
      <sz val="14"/>
      <color indexed="81"/>
      <name val="Tahoma"/>
      <family val="2"/>
      <charset val="204"/>
    </font>
    <font>
      <sz val="12"/>
      <color indexed="81"/>
      <name val="Tahoma"/>
      <family val="2"/>
      <charset val="204"/>
    </font>
    <font>
      <sz val="8"/>
      <color theme="1"/>
      <name val="Times New Roman"/>
      <family val="1"/>
      <charset val="204"/>
    </font>
    <font>
      <sz val="8"/>
      <color theme="0"/>
      <name val="Times New Roman"/>
      <family val="1"/>
      <charset val="204"/>
    </font>
    <font>
      <b/>
      <sz val="9"/>
      <name val="Times New Roman Cyr"/>
      <charset val="204"/>
    </font>
    <font>
      <sz val="14"/>
      <name val="Times New Roman"/>
      <family val="1"/>
      <charset val="204"/>
    </font>
    <font>
      <sz val="11"/>
      <color theme="0"/>
      <name val="Times New Roman"/>
      <family val="1"/>
      <charset val="204"/>
    </font>
    <font>
      <sz val="10"/>
      <name val="Arial Cyr"/>
      <charset val="204"/>
    </font>
    <font>
      <b/>
      <sz val="9"/>
      <color indexed="8"/>
      <name val="Times New Roman"/>
      <family val="1"/>
      <charset val="204"/>
    </font>
    <font>
      <sz val="10"/>
      <color indexed="8"/>
      <name val="Times New Roman CE"/>
      <family val="1"/>
      <charset val="238"/>
    </font>
    <font>
      <b/>
      <sz val="10"/>
      <name val="Calibri"/>
      <family val="2"/>
      <charset val="204"/>
    </font>
    <font>
      <sz val="11"/>
      <name val="Calibri"/>
      <family val="2"/>
      <charset val="204"/>
    </font>
    <font>
      <sz val="10"/>
      <name val="Calibri"/>
      <family val="2"/>
      <charset val="204"/>
    </font>
    <font>
      <sz val="9"/>
      <name val="Calibri"/>
      <family val="2"/>
      <charset val="204"/>
    </font>
    <font>
      <b/>
      <sz val="19"/>
      <color rgb="FFFF0000"/>
      <name val="Calibri"/>
      <family val="2"/>
      <charset val="204"/>
      <scheme val="minor"/>
    </font>
    <font>
      <b/>
      <sz val="19"/>
      <name val="Calibri"/>
      <family val="2"/>
      <charset val="204"/>
      <scheme val="minor"/>
    </font>
    <font>
      <b/>
      <sz val="19"/>
      <color theme="1"/>
      <name val="Calibri"/>
      <family val="2"/>
      <charset val="204"/>
      <scheme val="minor"/>
    </font>
    <font>
      <b/>
      <sz val="20"/>
      <color rgb="FFFF0000"/>
      <name val="Calibri"/>
      <family val="2"/>
      <charset val="204"/>
      <scheme val="minor"/>
    </font>
    <font>
      <sz val="12"/>
      <color rgb="FFFF0000"/>
      <name val="Times New Roman"/>
      <family val="1"/>
      <charset val="204"/>
    </font>
    <font>
      <b/>
      <sz val="8"/>
      <color theme="1"/>
      <name val="Calibri"/>
      <family val="2"/>
      <charset val="204"/>
      <scheme val="minor"/>
    </font>
    <font>
      <sz val="9"/>
      <color rgb="FFFF0000"/>
      <name val="Times New Roman"/>
      <family val="1"/>
      <charset val="204"/>
    </font>
    <font>
      <b/>
      <sz val="9"/>
      <color rgb="FFFF0000"/>
      <name val="Times New Roman"/>
      <family val="1"/>
      <charset val="204"/>
    </font>
    <font>
      <b/>
      <sz val="10"/>
      <color indexed="8"/>
      <name val="Times New Roman CE"/>
      <charset val="204"/>
    </font>
    <font>
      <sz val="8"/>
      <color theme="1"/>
      <name val="Calibri"/>
      <family val="2"/>
      <charset val="204"/>
      <scheme val="minor"/>
    </font>
    <font>
      <b/>
      <sz val="8"/>
      <color theme="1"/>
      <name val="Arial"/>
      <family val="2"/>
      <charset val="204"/>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thin">
        <color indexed="64"/>
      </left>
      <right style="hair">
        <color indexed="64"/>
      </right>
      <top/>
      <bottom style="hair">
        <color indexed="64"/>
      </bottom>
      <diagonal/>
    </border>
  </borders>
  <cellStyleXfs count="23">
    <xf numFmtId="0" fontId="0" fillId="0" borderId="0"/>
    <xf numFmtId="0" fontId="7" fillId="0" borderId="0"/>
    <xf numFmtId="0" fontId="7" fillId="0" borderId="0"/>
    <xf numFmtId="0" fontId="5" fillId="0" borderId="0"/>
    <xf numFmtId="165" fontId="15"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0" fontId="2"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49" fillId="0" borderId="0"/>
    <xf numFmtId="0" fontId="52" fillId="0" borderId="0" applyNumberFormat="0" applyFill="0" applyBorder="0" applyAlignment="0" applyProtection="0"/>
    <xf numFmtId="0" fontId="69" fillId="0" borderId="0"/>
    <xf numFmtId="0" fontId="7" fillId="0" borderId="0"/>
    <xf numFmtId="0" fontId="7" fillId="0" borderId="0"/>
    <xf numFmtId="9" fontId="69" fillId="0" borderId="0" applyFont="0" applyFill="0" applyBorder="0" applyAlignment="0" applyProtection="0"/>
    <xf numFmtId="9" fontId="69" fillId="0" borderId="0" applyFont="0" applyFill="0" applyBorder="0" applyAlignment="0" applyProtection="0"/>
    <xf numFmtId="0" fontId="5" fillId="0" borderId="0"/>
    <xf numFmtId="165" fontId="69" fillId="0" borderId="0" applyFont="0" applyFill="0" applyBorder="0" applyAlignment="0" applyProtection="0"/>
    <xf numFmtId="165" fontId="69" fillId="0" borderId="0" applyFont="0" applyFill="0" applyBorder="0" applyAlignment="0" applyProtection="0"/>
  </cellStyleXfs>
  <cellXfs count="1109">
    <xf numFmtId="0" fontId="0" fillId="0" borderId="0" xfId="0"/>
    <xf numFmtId="0" fontId="3" fillId="2" borderId="1" xfId="1" applyNumberFormat="1" applyFont="1" applyFill="1" applyBorder="1" applyAlignment="1" applyProtection="1">
      <alignment horizontal="center" vertical="top" wrapText="1"/>
      <protection hidden="1"/>
    </xf>
    <xf numFmtId="0" fontId="3" fillId="2" borderId="1" xfId="4" applyNumberFormat="1" applyFont="1" applyFill="1" applyBorder="1" applyAlignment="1" applyProtection="1">
      <alignment horizontal="center" vertical="center" wrapText="1"/>
      <protection hidden="1"/>
    </xf>
    <xf numFmtId="0" fontId="3" fillId="2" borderId="1" xfId="1" applyNumberFormat="1" applyFont="1" applyFill="1" applyBorder="1" applyAlignment="1" applyProtection="1">
      <alignment horizontal="center" vertical="center" wrapText="1"/>
      <protection hidden="1"/>
    </xf>
    <xf numFmtId="0" fontId="3" fillId="2" borderId="1" xfId="4" applyNumberFormat="1" applyFont="1" applyFill="1" applyBorder="1" applyAlignment="1" applyProtection="1">
      <alignment horizontal="center" vertical="top" wrapText="1"/>
      <protection hidden="1"/>
    </xf>
    <xf numFmtId="166" fontId="3" fillId="2" borderId="1" xfId="4" applyNumberFormat="1" applyFont="1" applyFill="1" applyBorder="1" applyAlignment="1" applyProtection="1">
      <alignment horizontal="center" vertical="top" wrapText="1"/>
      <protection hidden="1"/>
    </xf>
    <xf numFmtId="166" fontId="8" fillId="2" borderId="1" xfId="4" applyNumberFormat="1" applyFont="1" applyFill="1" applyBorder="1" applyAlignment="1" applyProtection="1">
      <alignment horizontal="center" vertical="center" wrapText="1"/>
      <protection hidden="1"/>
    </xf>
    <xf numFmtId="0" fontId="8" fillId="2" borderId="1" xfId="1" applyNumberFormat="1" applyFont="1" applyFill="1" applyBorder="1" applyAlignment="1" applyProtection="1">
      <alignment horizontal="center" vertical="center" wrapText="1"/>
      <protection hidden="1"/>
    </xf>
    <xf numFmtId="165" fontId="8" fillId="2" borderId="1" xfId="4" applyFont="1" applyFill="1" applyBorder="1" applyAlignment="1" applyProtection="1">
      <alignment horizontal="center" vertical="center" wrapText="1"/>
      <protection hidden="1"/>
    </xf>
    <xf numFmtId="166" fontId="3" fillId="2" borderId="1" xfId="4" applyNumberFormat="1" applyFont="1" applyFill="1" applyBorder="1" applyAlignment="1" applyProtection="1">
      <alignment horizontal="center" vertical="center" wrapText="1"/>
      <protection hidden="1"/>
    </xf>
    <xf numFmtId="0" fontId="6" fillId="2" borderId="0" xfId="0" applyNumberFormat="1" applyFont="1" applyFill="1" applyAlignment="1">
      <alignment vertical="center" wrapText="1"/>
    </xf>
    <xf numFmtId="166" fontId="8" fillId="2" borderId="1" xfId="4" applyNumberFormat="1" applyFont="1" applyFill="1" applyBorder="1" applyAlignment="1">
      <alignment horizontal="center" vertical="center" wrapText="1"/>
    </xf>
    <xf numFmtId="0" fontId="3" fillId="2" borderId="1" xfId="1" applyNumberFormat="1" applyFont="1" applyFill="1" applyBorder="1" applyAlignment="1" applyProtection="1">
      <alignment vertical="center" wrapText="1"/>
      <protection hidden="1"/>
    </xf>
    <xf numFmtId="0" fontId="8" fillId="2" borderId="3" xfId="1" applyNumberFormat="1" applyFont="1" applyFill="1" applyBorder="1" applyAlignment="1" applyProtection="1">
      <alignment vertical="top" wrapText="1"/>
      <protection hidden="1"/>
    </xf>
    <xf numFmtId="0" fontId="8" fillId="2" borderId="4" xfId="1" applyNumberFormat="1" applyFont="1" applyFill="1" applyBorder="1" applyAlignment="1" applyProtection="1">
      <alignment vertical="top" wrapText="1"/>
      <protection hidden="1"/>
    </xf>
    <xf numFmtId="0" fontId="3" fillId="2" borderId="1" xfId="1" applyNumberFormat="1" applyFont="1" applyFill="1" applyBorder="1" applyAlignment="1" applyProtection="1">
      <alignment vertical="top" wrapText="1"/>
      <protection hidden="1"/>
    </xf>
    <xf numFmtId="166" fontId="3" fillId="2" borderId="1" xfId="4" applyNumberFormat="1" applyFont="1" applyFill="1" applyBorder="1" applyAlignment="1">
      <alignment horizontal="center" vertical="top" wrapText="1"/>
    </xf>
    <xf numFmtId="0" fontId="3" fillId="2" borderId="1" xfId="1" applyNumberFormat="1" applyFont="1" applyFill="1" applyBorder="1" applyAlignment="1" applyProtection="1">
      <alignment horizontal="left" vertical="center" wrapText="1"/>
      <protection hidden="1"/>
    </xf>
    <xf numFmtId="166" fontId="3" fillId="2" borderId="1" xfId="4" applyNumberFormat="1" applyFont="1" applyFill="1" applyBorder="1" applyAlignment="1" applyProtection="1">
      <alignment horizontal="right" vertical="center"/>
      <protection hidden="1"/>
    </xf>
    <xf numFmtId="166" fontId="3" fillId="2" borderId="1" xfId="4" applyNumberFormat="1" applyFont="1" applyFill="1" applyBorder="1"/>
    <xf numFmtId="0" fontId="10" fillId="2" borderId="0" xfId="0" applyNumberFormat="1" applyFont="1" applyFill="1" applyAlignment="1">
      <alignment horizontal="right" vertical="center" wrapText="1"/>
    </xf>
    <xf numFmtId="0" fontId="3" fillId="2" borderId="0" xfId="0" applyNumberFormat="1" applyFont="1" applyFill="1" applyAlignment="1">
      <alignment horizontal="center" vertical="center" wrapText="1"/>
    </xf>
    <xf numFmtId="166" fontId="3" fillId="2" borderId="1" xfId="4" applyNumberFormat="1" applyFont="1" applyFill="1" applyBorder="1" applyAlignment="1">
      <alignment horizontal="center" vertical="center" wrapText="1"/>
    </xf>
    <xf numFmtId="0" fontId="8" fillId="2" borderId="1" xfId="0" applyNumberFormat="1" applyFont="1" applyFill="1" applyBorder="1" applyAlignment="1">
      <alignment vertical="center" wrapText="1"/>
    </xf>
    <xf numFmtId="0" fontId="3" fillId="2" borderId="1" xfId="4" applyNumberFormat="1" applyFont="1" applyFill="1" applyBorder="1" applyAlignment="1">
      <alignment horizontal="center" vertical="center" wrapText="1"/>
    </xf>
    <xf numFmtId="0" fontId="3" fillId="2" borderId="1" xfId="0" applyNumberFormat="1" applyFont="1" applyFill="1" applyBorder="1" applyAlignment="1">
      <alignment vertical="center"/>
    </xf>
    <xf numFmtId="169" fontId="8" fillId="2" borderId="1" xfId="4" applyNumberFormat="1" applyFont="1" applyFill="1" applyBorder="1" applyAlignment="1">
      <alignment horizontal="center" vertical="center" wrapText="1"/>
    </xf>
    <xf numFmtId="169" fontId="8" fillId="2" borderId="1" xfId="0" applyNumberFormat="1" applyFont="1" applyFill="1" applyBorder="1" applyAlignment="1">
      <alignment horizontal="center" vertical="center" wrapText="1"/>
    </xf>
    <xf numFmtId="166" fontId="8" fillId="2" borderId="2" xfId="4" applyNumberFormat="1" applyFont="1" applyFill="1" applyBorder="1" applyAlignment="1" applyProtection="1">
      <alignment horizontal="center" vertical="center" wrapText="1"/>
      <protection hidden="1"/>
    </xf>
    <xf numFmtId="166" fontId="8" fillId="2" borderId="4" xfId="4" applyNumberFormat="1" applyFont="1" applyFill="1" applyBorder="1" applyAlignment="1" applyProtection="1">
      <alignment horizontal="center" vertical="center" wrapText="1"/>
      <protection hidden="1"/>
    </xf>
    <xf numFmtId="0" fontId="3" fillId="2" borderId="3" xfId="0" applyNumberFormat="1" applyFont="1" applyFill="1" applyBorder="1" applyAlignment="1">
      <alignment vertical="top" wrapText="1"/>
    </xf>
    <xf numFmtId="167" fontId="6" fillId="2" borderId="0" xfId="0" applyNumberFormat="1" applyFont="1" applyFill="1" applyAlignment="1">
      <alignment vertical="center" wrapText="1"/>
    </xf>
    <xf numFmtId="0" fontId="8" fillId="2" borderId="3" xfId="0" applyNumberFormat="1" applyFont="1" applyFill="1" applyBorder="1" applyAlignment="1">
      <alignment vertical="top" wrapText="1"/>
    </xf>
    <xf numFmtId="165" fontId="8" fillId="2" borderId="1" xfId="4" applyFont="1" applyFill="1" applyBorder="1" applyAlignment="1">
      <alignment horizontal="center" vertical="center" wrapText="1"/>
    </xf>
    <xf numFmtId="0" fontId="3" fillId="2" borderId="3" xfId="0" applyNumberFormat="1" applyFont="1" applyFill="1" applyBorder="1" applyAlignment="1">
      <alignment vertical="center" wrapText="1"/>
    </xf>
    <xf numFmtId="0" fontId="3" fillId="2" borderId="4" xfId="0" applyNumberFormat="1" applyFont="1" applyFill="1" applyBorder="1" applyAlignment="1">
      <alignment vertical="center" wrapText="1"/>
    </xf>
    <xf numFmtId="170" fontId="3" fillId="2" borderId="1" xfId="4" applyNumberFormat="1" applyFont="1" applyFill="1" applyBorder="1" applyAlignment="1">
      <alignment horizontal="center" vertical="center" wrapText="1"/>
    </xf>
    <xf numFmtId="0" fontId="3" fillId="2" borderId="4" xfId="0" applyNumberFormat="1" applyFont="1" applyFill="1" applyBorder="1" applyAlignment="1">
      <alignment vertical="top" wrapText="1"/>
    </xf>
    <xf numFmtId="0" fontId="8" fillId="2" borderId="4" xfId="0" applyNumberFormat="1" applyFont="1" applyFill="1" applyBorder="1" applyAlignment="1">
      <alignment vertical="top" wrapText="1"/>
    </xf>
    <xf numFmtId="0" fontId="3" fillId="2" borderId="1" xfId="0" applyNumberFormat="1" applyFont="1" applyFill="1" applyBorder="1" applyAlignment="1">
      <alignment vertical="top" wrapText="1"/>
    </xf>
    <xf numFmtId="168" fontId="14" fillId="2" borderId="1" xfId="0" applyNumberFormat="1" applyFont="1" applyFill="1" applyBorder="1" applyAlignment="1">
      <alignment vertical="center"/>
    </xf>
    <xf numFmtId="0" fontId="6" fillId="2" borderId="1" xfId="0" applyNumberFormat="1" applyFont="1" applyFill="1" applyBorder="1" applyAlignment="1">
      <alignment vertical="center" wrapText="1"/>
    </xf>
    <xf numFmtId="4" fontId="6" fillId="2" borderId="0" xfId="0" applyNumberFormat="1" applyFont="1" applyFill="1" applyAlignment="1">
      <alignment vertical="center" wrapText="1"/>
    </xf>
    <xf numFmtId="0" fontId="16" fillId="0" borderId="0" xfId="0" applyNumberFormat="1" applyFont="1" applyFill="1" applyAlignment="1">
      <alignment vertical="top" wrapText="1"/>
    </xf>
    <xf numFmtId="0" fontId="19" fillId="0" borderId="0" xfId="0" applyNumberFormat="1" applyFont="1" applyFill="1" applyAlignment="1">
      <alignment vertical="top" wrapText="1"/>
    </xf>
    <xf numFmtId="166" fontId="16" fillId="0" borderId="0" xfId="0" applyNumberFormat="1" applyFont="1" applyFill="1" applyAlignment="1">
      <alignment vertical="top" wrapText="1"/>
    </xf>
    <xf numFmtId="2" fontId="16" fillId="0" borderId="0" xfId="0" applyNumberFormat="1" applyFont="1" applyFill="1" applyAlignment="1">
      <alignment vertical="top" wrapText="1"/>
    </xf>
    <xf numFmtId="167" fontId="16" fillId="0" borderId="0" xfId="0" applyNumberFormat="1" applyFont="1" applyFill="1" applyAlignment="1">
      <alignment vertical="top" wrapText="1"/>
    </xf>
    <xf numFmtId="168" fontId="8" fillId="2" borderId="1" xfId="4"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vertical="top" wrapText="1"/>
    </xf>
    <xf numFmtId="169" fontId="20" fillId="0" borderId="1" xfId="0" applyNumberFormat="1" applyFont="1" applyFill="1" applyBorder="1" applyAlignment="1">
      <alignment horizontal="center" vertical="center" wrapText="1"/>
    </xf>
    <xf numFmtId="169" fontId="16" fillId="0" borderId="1" xfId="0" applyNumberFormat="1" applyFont="1" applyFill="1" applyBorder="1" applyAlignment="1">
      <alignment vertical="top" wrapText="1"/>
    </xf>
    <xf numFmtId="169" fontId="3" fillId="2" borderId="1" xfId="4" applyNumberFormat="1" applyFont="1" applyFill="1" applyBorder="1" applyAlignment="1">
      <alignment horizontal="center" vertical="center" wrapText="1"/>
    </xf>
    <xf numFmtId="169" fontId="3" fillId="2" borderId="1" xfId="1" applyNumberFormat="1" applyFont="1" applyFill="1" applyBorder="1" applyAlignment="1" applyProtection="1">
      <alignment horizontal="center" vertical="top" wrapText="1"/>
      <protection hidden="1"/>
    </xf>
    <xf numFmtId="169" fontId="22" fillId="2" borderId="1" xfId="4" applyNumberFormat="1" applyFont="1" applyFill="1" applyBorder="1" applyAlignment="1">
      <alignment horizontal="center" vertical="center" wrapText="1"/>
    </xf>
    <xf numFmtId="169" fontId="22" fillId="2" borderId="1" xfId="4" applyNumberFormat="1" applyFont="1" applyFill="1" applyBorder="1" applyAlignment="1" applyProtection="1">
      <alignment horizontal="center" vertical="center" wrapText="1"/>
      <protection hidden="1"/>
    </xf>
    <xf numFmtId="0" fontId="9" fillId="2" borderId="1" xfId="0" applyNumberFormat="1" applyFont="1" applyFill="1" applyBorder="1" applyAlignment="1">
      <alignment horizontal="center" vertical="center" wrapText="1"/>
    </xf>
    <xf numFmtId="168" fontId="8" fillId="2" borderId="1" xfId="0" applyNumberFormat="1" applyFont="1" applyFill="1" applyBorder="1" applyAlignment="1">
      <alignment horizontal="center" vertical="center" wrapText="1"/>
    </xf>
    <xf numFmtId="168" fontId="8" fillId="2" borderId="4" xfId="4" applyNumberFormat="1" applyFont="1" applyFill="1" applyBorder="1" applyAlignment="1">
      <alignment horizontal="center" vertical="center" wrapText="1"/>
    </xf>
    <xf numFmtId="168" fontId="3" fillId="2" borderId="1" xfId="4" applyNumberFormat="1" applyFont="1" applyFill="1" applyBorder="1" applyAlignment="1">
      <alignment horizontal="center" vertical="center" wrapText="1"/>
    </xf>
    <xf numFmtId="168" fontId="3" fillId="2" borderId="4" xfId="4" applyNumberFormat="1" applyFont="1" applyFill="1" applyBorder="1" applyAlignment="1">
      <alignment horizontal="center" vertical="center" wrapText="1"/>
    </xf>
    <xf numFmtId="168" fontId="3" fillId="2" borderId="1" xfId="4" applyNumberFormat="1" applyFont="1" applyFill="1" applyBorder="1" applyAlignment="1" applyProtection="1">
      <alignment horizontal="center" vertical="center" wrapText="1"/>
      <protection hidden="1"/>
    </xf>
    <xf numFmtId="168" fontId="8" fillId="2" borderId="1" xfId="4" applyNumberFormat="1" applyFont="1" applyFill="1" applyBorder="1" applyAlignment="1" applyProtection="1">
      <alignment horizontal="center" vertical="center" wrapText="1"/>
      <protection hidden="1"/>
    </xf>
    <xf numFmtId="168" fontId="22" fillId="2" borderId="1" xfId="4" applyNumberFormat="1" applyFont="1" applyFill="1" applyBorder="1" applyAlignment="1">
      <alignment horizontal="center" vertical="center" wrapText="1"/>
    </xf>
    <xf numFmtId="168" fontId="3" fillId="2" borderId="1" xfId="4" applyNumberFormat="1" applyFont="1" applyFill="1" applyBorder="1" applyAlignment="1" applyProtection="1">
      <alignment horizontal="center" vertical="top" wrapText="1"/>
      <protection hidden="1"/>
    </xf>
    <xf numFmtId="168" fontId="3" fillId="2" borderId="1" xfId="4" applyNumberFormat="1" applyFont="1" applyFill="1" applyBorder="1" applyAlignment="1">
      <alignment horizontal="center" vertical="top" wrapText="1"/>
    </xf>
    <xf numFmtId="168" fontId="8" fillId="2" borderId="1" xfId="1" applyNumberFormat="1" applyFont="1" applyFill="1" applyBorder="1" applyAlignment="1" applyProtection="1">
      <alignment horizontal="center" vertical="center" wrapText="1"/>
      <protection hidden="1"/>
    </xf>
    <xf numFmtId="168" fontId="8" fillId="2" borderId="2" xfId="4" applyNumberFormat="1" applyFont="1" applyFill="1" applyBorder="1" applyAlignment="1" applyProtection="1">
      <alignment horizontal="center" vertical="center" wrapText="1"/>
      <protection hidden="1"/>
    </xf>
    <xf numFmtId="168" fontId="8" fillId="2" borderId="4" xfId="4" applyNumberFormat="1" applyFont="1" applyFill="1" applyBorder="1" applyAlignment="1" applyProtection="1">
      <alignment horizontal="center" vertical="center" wrapText="1"/>
      <protection hidden="1"/>
    </xf>
    <xf numFmtId="168" fontId="3" fillId="2" borderId="1" xfId="4" applyNumberFormat="1" applyFont="1" applyFill="1" applyBorder="1" applyAlignment="1" applyProtection="1">
      <alignment horizontal="right" vertical="center"/>
      <protection hidden="1"/>
    </xf>
    <xf numFmtId="168" fontId="6" fillId="2" borderId="0" xfId="0" applyNumberFormat="1" applyFont="1" applyFill="1" applyAlignment="1">
      <alignment vertical="center" wrapText="1"/>
    </xf>
    <xf numFmtId="0" fontId="21" fillId="2" borderId="4" xfId="0" applyNumberFormat="1" applyFont="1" applyFill="1" applyBorder="1" applyAlignment="1">
      <alignment vertical="top" wrapText="1"/>
    </xf>
    <xf numFmtId="0" fontId="21" fillId="2" borderId="1" xfId="0" applyNumberFormat="1" applyFont="1" applyFill="1" applyBorder="1" applyAlignment="1">
      <alignment vertical="top"/>
    </xf>
    <xf numFmtId="0" fontId="6" fillId="2" borderId="0" xfId="0" applyNumberFormat="1" applyFont="1" applyFill="1" applyAlignment="1">
      <alignment vertical="top" wrapText="1"/>
    </xf>
    <xf numFmtId="0" fontId="3" fillId="2" borderId="0" xfId="0" applyNumberFormat="1" applyFont="1" applyFill="1" applyAlignment="1">
      <alignment horizontal="center" vertical="top" wrapText="1"/>
    </xf>
    <xf numFmtId="0" fontId="6" fillId="0" borderId="0" xfId="0" applyNumberFormat="1" applyFont="1" applyFill="1" applyAlignment="1">
      <alignment vertical="center" wrapText="1"/>
    </xf>
    <xf numFmtId="0" fontId="10" fillId="2" borderId="0" xfId="0" applyNumberFormat="1" applyFont="1" applyFill="1" applyAlignment="1">
      <alignment horizontal="center" vertical="center" wrapText="1"/>
    </xf>
    <xf numFmtId="0" fontId="9" fillId="2" borderId="4" xfId="0" applyNumberFormat="1" applyFont="1" applyFill="1" applyBorder="1" applyAlignment="1">
      <alignment horizontal="center" vertical="center" wrapText="1"/>
    </xf>
    <xf numFmtId="168" fontId="9" fillId="2" borderId="1" xfId="0" applyNumberFormat="1" applyFont="1" applyFill="1" applyBorder="1" applyAlignment="1">
      <alignment horizontal="center" vertical="center" wrapText="1"/>
    </xf>
    <xf numFmtId="168" fontId="9" fillId="2" borderId="1" xfId="4" applyNumberFormat="1" applyFont="1" applyFill="1" applyBorder="1" applyAlignment="1">
      <alignment horizontal="center" vertical="center" wrapText="1"/>
    </xf>
    <xf numFmtId="168" fontId="21" fillId="2" borderId="1" xfId="4" applyNumberFormat="1" applyFont="1" applyFill="1" applyBorder="1" applyAlignment="1">
      <alignment horizontal="center" vertical="center" wrapText="1"/>
    </xf>
    <xf numFmtId="168" fontId="4" fillId="2" borderId="1" xfId="4" applyNumberFormat="1" applyFont="1" applyFill="1" applyBorder="1" applyAlignment="1">
      <alignment horizontal="center" vertical="center" wrapText="1"/>
    </xf>
    <xf numFmtId="168" fontId="21" fillId="2" borderId="1" xfId="4" applyNumberFormat="1" applyFont="1" applyFill="1" applyBorder="1" applyAlignment="1">
      <alignment horizontal="center" vertical="center"/>
    </xf>
    <xf numFmtId="0" fontId="16" fillId="0" borderId="0" xfId="0" applyNumberFormat="1" applyFont="1" applyFill="1" applyAlignment="1">
      <alignment vertical="top"/>
    </xf>
    <xf numFmtId="168" fontId="21" fillId="2" borderId="2" xfId="4" applyNumberFormat="1" applyFont="1" applyFill="1" applyBorder="1" applyAlignment="1">
      <alignment horizontal="center" vertical="center" wrapText="1"/>
    </xf>
    <xf numFmtId="168" fontId="9" fillId="2" borderId="4" xfId="4" applyNumberFormat="1" applyFont="1" applyFill="1" applyBorder="1" applyAlignment="1">
      <alignment horizontal="center" vertical="center" wrapText="1"/>
    </xf>
    <xf numFmtId="168" fontId="21" fillId="2" borderId="2" xfId="4" applyNumberFormat="1" applyFont="1" applyFill="1" applyBorder="1" applyAlignment="1">
      <alignment horizontal="center" vertical="center"/>
    </xf>
    <xf numFmtId="0" fontId="19" fillId="0" borderId="1" xfId="0" applyNumberFormat="1" applyFont="1" applyFill="1" applyBorder="1" applyAlignment="1">
      <alignment vertical="top" wrapText="1"/>
    </xf>
    <xf numFmtId="0" fontId="21" fillId="2" borderId="1" xfId="0" applyNumberFormat="1" applyFont="1" applyFill="1" applyBorder="1" applyAlignment="1">
      <alignment vertical="center" wrapText="1"/>
    </xf>
    <xf numFmtId="0" fontId="19" fillId="0" borderId="14" xfId="0" applyNumberFormat="1" applyFont="1" applyFill="1" applyBorder="1" applyAlignment="1">
      <alignment vertical="top" wrapText="1"/>
    </xf>
    <xf numFmtId="0" fontId="19" fillId="0" borderId="0" xfId="0" applyNumberFormat="1" applyFont="1" applyFill="1" applyBorder="1" applyAlignment="1">
      <alignment vertical="top" wrapText="1"/>
    </xf>
    <xf numFmtId="4" fontId="21" fillId="2" borderId="1" xfId="4" applyNumberFormat="1" applyFont="1" applyFill="1" applyBorder="1" applyAlignment="1">
      <alignment horizontal="center" vertical="center" wrapText="1"/>
    </xf>
    <xf numFmtId="4" fontId="9" fillId="2" borderId="1" xfId="4" applyNumberFormat="1" applyFont="1" applyFill="1" applyBorder="1" applyAlignment="1">
      <alignment horizontal="center" vertical="center" wrapText="1"/>
    </xf>
    <xf numFmtId="0" fontId="29" fillId="2" borderId="2" xfId="0" applyNumberFormat="1" applyFont="1" applyFill="1" applyBorder="1" applyAlignment="1">
      <alignment horizontal="center" vertical="center"/>
    </xf>
    <xf numFmtId="0" fontId="30" fillId="0" borderId="0" xfId="0" applyNumberFormat="1" applyFont="1" applyFill="1" applyAlignment="1">
      <alignment vertical="top"/>
    </xf>
    <xf numFmtId="0" fontId="31" fillId="2" borderId="2" xfId="0" applyNumberFormat="1" applyFont="1" applyFill="1" applyBorder="1" applyAlignment="1">
      <alignment horizontal="center" vertical="center"/>
    </xf>
    <xf numFmtId="168" fontId="21" fillId="2" borderId="2" xfId="4" applyNumberFormat="1" applyFont="1" applyFill="1" applyBorder="1" applyAlignment="1">
      <alignment horizontal="left" vertical="top" wrapText="1"/>
    </xf>
    <xf numFmtId="168" fontId="16" fillId="0" borderId="0" xfId="0" applyNumberFormat="1" applyFont="1" applyFill="1" applyAlignment="1">
      <alignment vertical="top" wrapText="1"/>
    </xf>
    <xf numFmtId="168" fontId="6" fillId="2" borderId="1" xfId="0" applyNumberFormat="1" applyFont="1" applyFill="1" applyBorder="1" applyAlignment="1">
      <alignment horizontal="center" vertical="center" wrapText="1"/>
    </xf>
    <xf numFmtId="4" fontId="21" fillId="2" borderId="1" xfId="4" applyNumberFormat="1" applyFont="1" applyFill="1" applyBorder="1" applyAlignment="1">
      <alignment horizontal="center" vertical="center"/>
    </xf>
    <xf numFmtId="172" fontId="16"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164" fontId="3" fillId="2" borderId="1" xfId="6" applyFont="1" applyFill="1" applyBorder="1" applyAlignment="1">
      <alignment horizontal="center" vertical="center" wrapText="1"/>
    </xf>
    <xf numFmtId="168" fontId="14" fillId="2" borderId="1" xfId="0" applyNumberFormat="1" applyFont="1" applyFill="1" applyBorder="1" applyAlignment="1">
      <alignment horizontal="right"/>
    </xf>
    <xf numFmtId="4" fontId="21" fillId="2" borderId="2" xfId="4" applyNumberFormat="1" applyFont="1" applyFill="1" applyBorder="1" applyAlignment="1">
      <alignment horizontal="center" vertical="center" wrapText="1"/>
    </xf>
    <xf numFmtId="171" fontId="21" fillId="2" borderId="16" xfId="4" applyNumberFormat="1" applyFont="1" applyFill="1" applyBorder="1" applyAlignment="1" applyProtection="1">
      <alignment horizontal="center" vertical="center" wrapText="1"/>
    </xf>
    <xf numFmtId="171" fontId="21" fillId="2" borderId="15" xfId="4" applyNumberFormat="1" applyFont="1" applyFill="1" applyBorder="1" applyAlignment="1" applyProtection="1">
      <alignment horizontal="center" vertical="center" wrapText="1"/>
    </xf>
    <xf numFmtId="0" fontId="21" fillId="2" borderId="2" xfId="0" applyNumberFormat="1" applyFont="1" applyFill="1" applyBorder="1" applyAlignment="1">
      <alignment vertical="top"/>
    </xf>
    <xf numFmtId="0" fontId="21" fillId="2" borderId="3" xfId="0" applyNumberFormat="1" applyFont="1" applyFill="1" applyBorder="1" applyAlignment="1">
      <alignment vertical="top"/>
    </xf>
    <xf numFmtId="0" fontId="21" fillId="2" borderId="4" xfId="0" applyNumberFormat="1" applyFont="1" applyFill="1" applyBorder="1" applyAlignment="1">
      <alignment vertical="top"/>
    </xf>
    <xf numFmtId="169" fontId="9" fillId="2" borderId="1" xfId="4" applyNumberFormat="1" applyFont="1" applyFill="1" applyBorder="1" applyAlignment="1">
      <alignment horizontal="center" vertical="center" wrapText="1"/>
    </xf>
    <xf numFmtId="168" fontId="21" fillId="2" borderId="3" xfId="4" applyNumberFormat="1" applyFont="1" applyFill="1" applyBorder="1" applyAlignment="1">
      <alignment horizontal="center" vertical="center" wrapText="1"/>
    </xf>
    <xf numFmtId="0" fontId="35" fillId="2" borderId="0" xfId="0" applyFont="1" applyFill="1"/>
    <xf numFmtId="168"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6" fillId="2" borderId="9" xfId="0" applyFont="1" applyFill="1" applyBorder="1" applyAlignment="1">
      <alignment horizontal="left" vertical="center" wrapText="1"/>
    </xf>
    <xf numFmtId="0" fontId="3" fillId="2" borderId="1" xfId="0" applyFont="1" applyFill="1" applyBorder="1" applyAlignment="1">
      <alignment vertical="top" wrapText="1"/>
    </xf>
    <xf numFmtId="168" fontId="36" fillId="2" borderId="1" xfId="12"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wrapText="1"/>
    </xf>
    <xf numFmtId="166" fontId="36" fillId="2" borderId="1" xfId="4"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xf>
    <xf numFmtId="0" fontId="36" fillId="2" borderId="14" xfId="0" applyFont="1" applyFill="1" applyBorder="1" applyAlignment="1">
      <alignment horizontal="left" vertical="center" wrapText="1"/>
    </xf>
    <xf numFmtId="169" fontId="36" fillId="2" borderId="1" xfId="12"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6" fillId="2" borderId="14" xfId="0" applyFont="1" applyFill="1" applyBorder="1" applyAlignment="1">
      <alignment vertical="center" wrapText="1"/>
    </xf>
    <xf numFmtId="0" fontId="3" fillId="2" borderId="14" xfId="0" applyFont="1" applyFill="1" applyBorder="1" applyAlignment="1">
      <alignment vertical="top" wrapText="1"/>
    </xf>
    <xf numFmtId="2" fontId="36" fillId="2" borderId="1" xfId="12" applyNumberFormat="1" applyFont="1" applyFill="1" applyBorder="1" applyAlignment="1">
      <alignment horizontal="center" vertical="center" wrapText="1"/>
    </xf>
    <xf numFmtId="169" fontId="3" fillId="2" borderId="1" xfId="0" applyNumberFormat="1" applyFont="1" applyFill="1" applyBorder="1" applyAlignment="1">
      <alignment horizontal="center" vertical="center" wrapText="1"/>
    </xf>
    <xf numFmtId="0" fontId="35" fillId="2" borderId="0" xfId="0" applyFont="1" applyFill="1" applyAlignment="1">
      <alignment vertical="center" wrapText="1"/>
    </xf>
    <xf numFmtId="174" fontId="36" fillId="2" borderId="1" xfId="12"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166" fontId="36" fillId="2" borderId="1" xfId="4" applyNumberFormat="1" applyFont="1" applyFill="1" applyBorder="1" applyAlignment="1">
      <alignment vertical="center" wrapText="1"/>
    </xf>
    <xf numFmtId="0" fontId="3" fillId="2" borderId="1" xfId="0" applyFont="1" applyFill="1" applyBorder="1" applyAlignment="1">
      <alignment horizontal="center" vertical="center"/>
    </xf>
    <xf numFmtId="0" fontId="17" fillId="2" borderId="17" xfId="0" applyFont="1" applyFill="1" applyBorder="1" applyAlignment="1">
      <alignment horizontal="left" vertical="center" wrapText="1"/>
    </xf>
    <xf numFmtId="0" fontId="36" fillId="2" borderId="17" xfId="0" applyFont="1" applyFill="1" applyBorder="1" applyAlignment="1">
      <alignment horizontal="left" vertical="center" wrapText="1"/>
    </xf>
    <xf numFmtId="0" fontId="36" fillId="2" borderId="18"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6" fillId="2" borderId="1" xfId="0" applyFont="1" applyFill="1" applyBorder="1" applyAlignment="1">
      <alignment horizontal="left" vertical="center" wrapText="1"/>
    </xf>
    <xf numFmtId="0" fontId="36" fillId="2" borderId="1" xfId="0" applyFont="1" applyFill="1" applyBorder="1" applyAlignment="1">
      <alignment vertical="center" wrapText="1"/>
    </xf>
    <xf numFmtId="0" fontId="3" fillId="2" borderId="2" xfId="0" applyFont="1" applyFill="1" applyBorder="1" applyAlignment="1">
      <alignment vertical="top" wrapText="1"/>
    </xf>
    <xf numFmtId="2" fontId="17"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xf>
    <xf numFmtId="0" fontId="38" fillId="2" borderId="0" xfId="0" applyFont="1" applyFill="1"/>
    <xf numFmtId="0" fontId="0" fillId="2" borderId="0" xfId="0" applyFill="1"/>
    <xf numFmtId="0" fontId="0" fillId="2" borderId="0" xfId="0" applyFill="1" applyAlignment="1">
      <alignment horizontal="center" vertical="center"/>
    </xf>
    <xf numFmtId="0" fontId="0" fillId="3" borderId="0" xfId="0" applyFill="1"/>
    <xf numFmtId="0" fontId="1" fillId="2" borderId="0" xfId="0" applyFont="1" applyFill="1" applyAlignment="1">
      <alignment horizontal="center" vertical="center"/>
    </xf>
    <xf numFmtId="0" fontId="39" fillId="2" borderId="0" xfId="0" applyFont="1" applyFill="1"/>
    <xf numFmtId="0" fontId="39" fillId="3" borderId="0" xfId="0" applyFont="1" applyFill="1"/>
    <xf numFmtId="0" fontId="39" fillId="2" borderId="0" xfId="0" applyFont="1" applyFill="1" applyAlignment="1">
      <alignment vertical="center"/>
    </xf>
    <xf numFmtId="0" fontId="40" fillId="2" borderId="0" xfId="0" applyFont="1" applyFill="1" applyAlignment="1">
      <alignment horizontal="justify" vertical="center"/>
    </xf>
    <xf numFmtId="0" fontId="41" fillId="2" borderId="0" xfId="0" applyFont="1" applyFill="1" applyAlignment="1">
      <alignment horizontal="center" vertical="center"/>
    </xf>
    <xf numFmtId="169" fontId="0" fillId="2" borderId="0" xfId="0" applyNumberFormat="1" applyFill="1"/>
    <xf numFmtId="0" fontId="42" fillId="2" borderId="0" xfId="0" applyFont="1" applyFill="1" applyAlignment="1">
      <alignment horizontal="center" vertical="center"/>
    </xf>
    <xf numFmtId="0" fontId="42" fillId="2" borderId="0" xfId="0" applyFont="1" applyFill="1"/>
    <xf numFmtId="169" fontId="45" fillId="2" borderId="0" xfId="0" applyNumberFormat="1" applyFont="1" applyFill="1"/>
    <xf numFmtId="169" fontId="46" fillId="2" borderId="0" xfId="0" applyNumberFormat="1" applyFont="1" applyFill="1"/>
    <xf numFmtId="0" fontId="39" fillId="2" borderId="1" xfId="0" applyFont="1" applyFill="1" applyBorder="1" applyAlignment="1">
      <alignment horizontal="left" vertical="center" wrapText="1"/>
    </xf>
    <xf numFmtId="2" fontId="39" fillId="2" borderId="1" xfId="0" applyNumberFormat="1" applyFont="1" applyFill="1" applyBorder="1" applyAlignment="1">
      <alignment horizontal="center" vertical="center" wrapText="1"/>
    </xf>
    <xf numFmtId="2" fontId="39" fillId="2" borderId="12" xfId="0" applyNumberFormat="1" applyFont="1" applyFill="1" applyBorder="1" applyAlignment="1">
      <alignment horizontal="center" vertical="center" wrapText="1"/>
    </xf>
    <xf numFmtId="2" fontId="39" fillId="2" borderId="2" xfId="0" applyNumberFormat="1" applyFont="1" applyFill="1" applyBorder="1" applyAlignment="1">
      <alignment horizontal="center" vertical="center"/>
    </xf>
    <xf numFmtId="2" fontId="39" fillId="2" borderId="2" xfId="0" applyNumberFormat="1" applyFont="1" applyFill="1" applyBorder="1" applyAlignment="1">
      <alignment horizontal="center" vertical="center" wrapText="1"/>
    </xf>
    <xf numFmtId="173" fontId="42" fillId="2" borderId="0" xfId="0" applyNumberFormat="1" applyFont="1" applyFill="1" applyAlignment="1">
      <alignment horizontal="center" vertical="center"/>
    </xf>
    <xf numFmtId="0" fontId="39" fillId="2" borderId="2" xfId="0" applyFont="1" applyFill="1" applyBorder="1" applyAlignment="1">
      <alignment horizontal="left" vertical="center" wrapText="1"/>
    </xf>
    <xf numFmtId="2" fontId="39" fillId="2" borderId="6" xfId="0" applyNumberFormat="1" applyFont="1" applyFill="1" applyBorder="1" applyAlignment="1">
      <alignment horizontal="center" vertical="center" wrapText="1"/>
    </xf>
    <xf numFmtId="2" fontId="39" fillId="2" borderId="1" xfId="0" applyNumberFormat="1" applyFont="1" applyFill="1" applyBorder="1" applyAlignment="1">
      <alignment horizontal="center" vertical="center"/>
    </xf>
    <xf numFmtId="2" fontId="42" fillId="2" borderId="0" xfId="0" applyNumberFormat="1" applyFont="1" applyFill="1" applyAlignment="1">
      <alignment horizontal="center" vertical="center"/>
    </xf>
    <xf numFmtId="0" fontId="39" fillId="2" borderId="18" xfId="0" applyFont="1" applyFill="1" applyBorder="1" applyAlignment="1">
      <alignment vertical="center" wrapText="1"/>
    </xf>
    <xf numFmtId="0" fontId="39" fillId="2" borderId="18" xfId="0" applyFont="1" applyFill="1" applyBorder="1" applyAlignment="1">
      <alignment horizontal="center" vertical="center" wrapText="1"/>
    </xf>
    <xf numFmtId="169" fontId="39" fillId="2" borderId="19" xfId="4" applyNumberFormat="1" applyFont="1" applyFill="1" applyBorder="1" applyAlignment="1">
      <alignment horizontal="center" vertical="center" wrapText="1"/>
    </xf>
    <xf numFmtId="0" fontId="39" fillId="2" borderId="18" xfId="0" applyFont="1" applyFill="1" applyBorder="1" applyAlignment="1">
      <alignment horizontal="left" vertical="center" wrapText="1"/>
    </xf>
    <xf numFmtId="0" fontId="39" fillId="2" borderId="20" xfId="0" applyFont="1" applyFill="1" applyBorder="1" applyAlignment="1">
      <alignment horizontal="center" vertical="center" wrapText="1"/>
    </xf>
    <xf numFmtId="169" fontId="39" fillId="2" borderId="20" xfId="4" applyNumberFormat="1" applyFont="1" applyFill="1" applyBorder="1" applyAlignment="1">
      <alignment horizontal="center" vertical="center" wrapText="1"/>
    </xf>
    <xf numFmtId="2" fontId="39" fillId="2" borderId="20" xfId="4" applyNumberFormat="1" applyFont="1" applyFill="1" applyBorder="1" applyAlignment="1">
      <alignment horizontal="center" vertical="center" wrapText="1"/>
    </xf>
    <xf numFmtId="166" fontId="0" fillId="2" borderId="0" xfId="0" applyNumberFormat="1" applyFill="1"/>
    <xf numFmtId="167" fontId="42" fillId="2" borderId="0" xfId="0" applyNumberFormat="1" applyFont="1" applyFill="1"/>
    <xf numFmtId="169" fontId="39" fillId="2" borderId="18" xfId="4" applyNumberFormat="1" applyFont="1" applyFill="1" applyBorder="1" applyAlignment="1">
      <alignment horizontal="center" vertical="center" wrapText="1"/>
    </xf>
    <xf numFmtId="169" fontId="45" fillId="2" borderId="0" xfId="0" applyNumberFormat="1" applyFont="1" applyFill="1" applyAlignment="1">
      <alignment horizontal="center" vertical="center"/>
    </xf>
    <xf numFmtId="169" fontId="42" fillId="2" borderId="0" xfId="0" applyNumberFormat="1" applyFont="1" applyFill="1"/>
    <xf numFmtId="166" fontId="42" fillId="2" borderId="0" xfId="0" applyNumberFormat="1" applyFont="1" applyFill="1"/>
    <xf numFmtId="169" fontId="46" fillId="2" borderId="0" xfId="0" applyNumberFormat="1" applyFont="1" applyFill="1" applyAlignment="1">
      <alignment horizontal="center" vertical="center"/>
    </xf>
    <xf numFmtId="167" fontId="0" fillId="2" borderId="0" xfId="0" applyNumberFormat="1" applyFill="1"/>
    <xf numFmtId="0" fontId="39" fillId="2" borderId="15" xfId="0" applyFont="1" applyFill="1" applyBorder="1" applyAlignment="1">
      <alignment vertical="center" wrapText="1"/>
    </xf>
    <xf numFmtId="0" fontId="39" fillId="2" borderId="3" xfId="0" applyFont="1" applyFill="1" applyBorder="1" applyAlignment="1">
      <alignment horizontal="center" vertical="center" wrapText="1"/>
    </xf>
    <xf numFmtId="0" fontId="39" fillId="2" borderId="15" xfId="0" applyFont="1" applyFill="1" applyBorder="1" applyAlignment="1">
      <alignment horizontal="left" vertical="center" wrapText="1"/>
    </xf>
    <xf numFmtId="0" fontId="39" fillId="2" borderId="15" xfId="0" applyFont="1" applyFill="1" applyBorder="1" applyAlignment="1">
      <alignment horizontal="center" vertical="center" wrapText="1"/>
    </xf>
    <xf numFmtId="169" fontId="39" fillId="2" borderId="3" xfId="4" applyNumberFormat="1" applyFont="1" applyFill="1" applyBorder="1" applyAlignment="1">
      <alignment horizontal="center" vertical="center" wrapText="1"/>
    </xf>
    <xf numFmtId="169" fontId="42" fillId="2" borderId="0" xfId="0" applyNumberFormat="1" applyFont="1" applyFill="1" applyAlignment="1">
      <alignment horizontal="center" vertical="center"/>
    </xf>
    <xf numFmtId="169" fontId="39" fillId="2" borderId="1" xfId="4" applyNumberFormat="1" applyFont="1" applyFill="1" applyBorder="1" applyAlignment="1">
      <alignment horizontal="center" vertical="center" wrapText="1"/>
    </xf>
    <xf numFmtId="174" fontId="39" fillId="2" borderId="1" xfId="12" applyNumberFormat="1" applyFont="1" applyFill="1" applyBorder="1" applyAlignment="1">
      <alignment horizontal="center" vertical="center" wrapText="1"/>
    </xf>
    <xf numFmtId="2" fontId="39" fillId="2" borderId="1" xfId="4" applyNumberFormat="1" applyFont="1" applyFill="1" applyBorder="1" applyAlignment="1">
      <alignment horizontal="center" vertical="center" wrapText="1"/>
    </xf>
    <xf numFmtId="169" fontId="39" fillId="2" borderId="1" xfId="0" applyNumberFormat="1" applyFont="1" applyFill="1" applyBorder="1" applyAlignment="1">
      <alignment horizontal="center" vertical="center" wrapText="1"/>
    </xf>
    <xf numFmtId="169" fontId="39" fillId="2" borderId="4" xfId="4" applyNumberFormat="1" applyFont="1" applyFill="1" applyBorder="1" applyAlignment="1">
      <alignment horizontal="center" vertical="center" wrapText="1"/>
    </xf>
    <xf numFmtId="169" fontId="44" fillId="2" borderId="0" xfId="0" applyNumberFormat="1" applyFont="1" applyFill="1" applyAlignment="1">
      <alignment horizontal="center" vertical="center"/>
    </xf>
    <xf numFmtId="0" fontId="39" fillId="2" borderId="21" xfId="0" applyFont="1" applyFill="1" applyBorder="1" applyAlignment="1">
      <alignment horizontal="center" vertical="center" wrapText="1"/>
    </xf>
    <xf numFmtId="169" fontId="39" fillId="2" borderId="21" xfId="4" applyNumberFormat="1" applyFont="1" applyFill="1" applyBorder="1" applyAlignment="1">
      <alignment horizontal="center" vertical="center" wrapText="1"/>
    </xf>
    <xf numFmtId="169" fontId="48" fillId="2" borderId="0" xfId="0" applyNumberFormat="1" applyFont="1" applyFill="1" applyAlignment="1">
      <alignment horizontal="center" vertical="center"/>
    </xf>
    <xf numFmtId="0" fontId="40" fillId="2" borderId="0" xfId="0" applyFont="1" applyFill="1" applyBorder="1" applyAlignment="1">
      <alignment horizontal="center" vertical="top" wrapText="1"/>
    </xf>
    <xf numFmtId="0" fontId="40" fillId="2" borderId="0" xfId="0" applyFont="1" applyFill="1" applyBorder="1" applyAlignment="1">
      <alignment horizontal="left" vertical="center" wrapText="1"/>
    </xf>
    <xf numFmtId="0" fontId="40" fillId="2" borderId="0" xfId="0" applyFont="1" applyFill="1" applyBorder="1" applyAlignment="1">
      <alignment horizontal="center" vertical="center" wrapText="1"/>
    </xf>
    <xf numFmtId="166" fontId="40" fillId="2" borderId="0" xfId="4" applyNumberFormat="1" applyFont="1" applyFill="1" applyBorder="1" applyAlignment="1">
      <alignment horizontal="center" vertical="center" wrapText="1"/>
    </xf>
    <xf numFmtId="0" fontId="0" fillId="0" borderId="0" xfId="0" applyAlignment="1">
      <alignment horizontal="center" vertical="center"/>
    </xf>
    <xf numFmtId="167" fontId="50" fillId="0" borderId="0" xfId="0" applyNumberFormat="1" applyFont="1" applyFill="1" applyBorder="1" applyAlignment="1">
      <alignment horizontal="center" vertical="center" wrapText="1"/>
    </xf>
    <xf numFmtId="0" fontId="50" fillId="0" borderId="24" xfId="0" applyFont="1" applyFill="1" applyBorder="1" applyAlignment="1">
      <alignment vertical="center" wrapText="1"/>
    </xf>
    <xf numFmtId="167" fontId="0" fillId="0" borderId="0" xfId="0" applyNumberFormat="1"/>
    <xf numFmtId="0" fontId="53" fillId="0" borderId="24" xfId="14" applyFont="1" applyFill="1" applyBorder="1" applyAlignment="1">
      <alignment vertical="center" wrapText="1"/>
    </xf>
    <xf numFmtId="0" fontId="0" fillId="5" borderId="0" xfId="0" applyFill="1"/>
    <xf numFmtId="167" fontId="0" fillId="0" borderId="0" xfId="0" applyNumberFormat="1" applyAlignment="1">
      <alignment vertical="center"/>
    </xf>
    <xf numFmtId="0" fontId="0" fillId="0" borderId="26" xfId="0" applyBorder="1" applyAlignment="1">
      <alignment vertical="center"/>
    </xf>
    <xf numFmtId="167" fontId="50" fillId="6" borderId="26" xfId="0" applyNumberFormat="1" applyFont="1" applyFill="1" applyBorder="1" applyAlignment="1">
      <alignment horizontal="center" vertical="center" wrapText="1"/>
    </xf>
    <xf numFmtId="175" fontId="0" fillId="0" borderId="0" xfId="0" applyNumberFormat="1" applyAlignment="1">
      <alignment horizontal="center" vertical="center"/>
    </xf>
    <xf numFmtId="10" fontId="0" fillId="0" borderId="0" xfId="0" applyNumberFormat="1" applyAlignment="1">
      <alignment horizontal="center" vertical="center"/>
    </xf>
    <xf numFmtId="174" fontId="0" fillId="0" borderId="0" xfId="0" applyNumberFormat="1" applyAlignment="1">
      <alignment horizontal="center" vertical="center"/>
    </xf>
    <xf numFmtId="167" fontId="56" fillId="0" borderId="0" xfId="0" applyNumberFormat="1" applyFont="1"/>
    <xf numFmtId="167" fontId="57" fillId="0" borderId="0" xfId="0" applyNumberFormat="1" applyFont="1"/>
    <xf numFmtId="169" fontId="58" fillId="4" borderId="27" xfId="13" applyNumberFormat="1" applyFont="1" applyFill="1" applyBorder="1" applyAlignment="1">
      <alignment horizontal="center" vertical="center"/>
    </xf>
    <xf numFmtId="169" fontId="58" fillId="4" borderId="28" xfId="13" applyNumberFormat="1" applyFont="1" applyFill="1" applyBorder="1" applyAlignment="1">
      <alignment horizontal="center" vertical="center"/>
    </xf>
    <xf numFmtId="169" fontId="58" fillId="4" borderId="29" xfId="13" applyNumberFormat="1" applyFont="1" applyFill="1" applyBorder="1" applyAlignment="1">
      <alignment horizontal="center" vertical="center"/>
    </xf>
    <xf numFmtId="169" fontId="58" fillId="4" borderId="3" xfId="13" applyNumberFormat="1" applyFont="1" applyFill="1" applyBorder="1" applyAlignment="1">
      <alignment horizontal="center" vertical="center"/>
    </xf>
    <xf numFmtId="0" fontId="56" fillId="0" borderId="0" xfId="0" applyFont="1" applyAlignment="1">
      <alignment horizontal="left" vertical="center" wrapText="1"/>
    </xf>
    <xf numFmtId="173" fontId="0" fillId="0" borderId="0" xfId="0" applyNumberFormat="1" applyAlignment="1">
      <alignment horizontal="center" vertical="center"/>
    </xf>
    <xf numFmtId="0" fontId="0" fillId="0" borderId="0" xfId="0" applyAlignment="1">
      <alignment horizontal="center" vertical="center" wrapText="1"/>
    </xf>
    <xf numFmtId="165" fontId="57" fillId="0" borderId="0" xfId="0" applyNumberFormat="1" applyFont="1" applyAlignment="1">
      <alignment horizontal="center" vertical="center"/>
    </xf>
    <xf numFmtId="165" fontId="59" fillId="0" borderId="0" xfId="0" applyNumberFormat="1" applyFont="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xf>
    <xf numFmtId="165" fontId="57" fillId="0" borderId="1" xfId="0" applyNumberFormat="1" applyFont="1" applyBorder="1" applyAlignment="1">
      <alignment horizontal="center" vertical="center"/>
    </xf>
    <xf numFmtId="165" fontId="59" fillId="0" borderId="1" xfId="0" applyNumberFormat="1" applyFont="1" applyBorder="1" applyAlignment="1">
      <alignment horizontal="center" vertical="center"/>
    </xf>
    <xf numFmtId="165" fontId="0" fillId="0" borderId="0" xfId="0" applyNumberFormat="1"/>
    <xf numFmtId="0" fontId="0" fillId="0" borderId="1" xfId="0" applyBorder="1"/>
    <xf numFmtId="165" fontId="0" fillId="0" borderId="1" xfId="0" applyNumberFormat="1" applyBorder="1"/>
    <xf numFmtId="165" fontId="0" fillId="0" borderId="1" xfId="0" applyNumberFormat="1" applyBorder="1" applyAlignment="1">
      <alignment horizontal="center" vertical="center"/>
    </xf>
    <xf numFmtId="174" fontId="0" fillId="0" borderId="1" xfId="0" applyNumberFormat="1" applyBorder="1" applyAlignment="1">
      <alignment horizontal="center"/>
    </xf>
    <xf numFmtId="0" fontId="56" fillId="0" borderId="0" xfId="0" applyFont="1" applyBorder="1" applyAlignment="1">
      <alignment horizontal="left" vertical="center" wrapText="1"/>
    </xf>
    <xf numFmtId="0" fontId="0" fillId="0" borderId="13" xfId="0" applyBorder="1" applyAlignment="1">
      <alignment horizontal="center" vertical="center"/>
    </xf>
    <xf numFmtId="3" fontId="0" fillId="0" borderId="26" xfId="0" applyNumberFormat="1" applyBorder="1" applyAlignment="1">
      <alignment vertical="top" wrapText="1"/>
    </xf>
    <xf numFmtId="3" fontId="0" fillId="0" borderId="24" xfId="0" applyNumberFormat="1" applyBorder="1" applyAlignment="1">
      <alignment vertical="top" wrapText="1"/>
    </xf>
    <xf numFmtId="9" fontId="60" fillId="0" borderId="1" xfId="0" applyNumberFormat="1" applyFont="1" applyFill="1" applyBorder="1" applyAlignment="1">
      <alignment horizontal="center" vertical="center"/>
    </xf>
    <xf numFmtId="0" fontId="60" fillId="0" borderId="1" xfId="0" applyFont="1" applyFill="1" applyBorder="1" applyAlignment="1">
      <alignment horizontal="center" vertical="center"/>
    </xf>
    <xf numFmtId="165" fontId="60" fillId="0" borderId="1" xfId="0" applyNumberFormat="1" applyFont="1" applyFill="1" applyBorder="1"/>
    <xf numFmtId="0" fontId="56" fillId="0" borderId="0" xfId="0" applyFont="1" applyAlignment="1">
      <alignment vertical="center"/>
    </xf>
    <xf numFmtId="174" fontId="0" fillId="0" borderId="8" xfId="0" applyNumberFormat="1" applyBorder="1" applyAlignment="1">
      <alignment horizontal="center" vertical="center"/>
    </xf>
    <xf numFmtId="9" fontId="0" fillId="3" borderId="1" xfId="0" applyNumberFormat="1" applyFill="1" applyBorder="1" applyAlignment="1">
      <alignment horizontal="center" vertical="center"/>
    </xf>
    <xf numFmtId="0" fontId="0" fillId="3" borderId="1" xfId="0" applyFill="1" applyBorder="1" applyAlignment="1">
      <alignment horizontal="center" vertical="center"/>
    </xf>
    <xf numFmtId="165" fontId="0" fillId="3" borderId="1" xfId="0" applyNumberFormat="1" applyFill="1" applyBorder="1" applyAlignment="1">
      <alignment horizontal="center" vertical="center"/>
    </xf>
    <xf numFmtId="165" fontId="0" fillId="3" borderId="1" xfId="0" applyNumberFormat="1" applyFill="1" applyBorder="1"/>
    <xf numFmtId="165" fontId="59" fillId="3" borderId="1" xfId="0" applyNumberFormat="1" applyFont="1" applyFill="1" applyBorder="1" applyAlignment="1">
      <alignment horizontal="center" vertical="center"/>
    </xf>
    <xf numFmtId="9" fontId="60" fillId="3" borderId="1" xfId="0" applyNumberFormat="1" applyFont="1" applyFill="1" applyBorder="1" applyAlignment="1">
      <alignment horizontal="center" vertical="center"/>
    </xf>
    <xf numFmtId="165" fontId="60" fillId="3" borderId="1" xfId="0" applyNumberFormat="1" applyFont="1" applyFill="1" applyBorder="1"/>
    <xf numFmtId="165" fontId="56" fillId="0" borderId="0" xfId="0" applyNumberFormat="1" applyFont="1"/>
    <xf numFmtId="174" fontId="0" fillId="3" borderId="8" xfId="0" applyNumberFormat="1" applyFill="1" applyBorder="1" applyAlignment="1">
      <alignment horizontal="center" vertical="center"/>
    </xf>
    <xf numFmtId="174" fontId="0" fillId="0" borderId="0" xfId="0" applyNumberFormat="1"/>
    <xf numFmtId="0" fontId="56" fillId="0" borderId="0" xfId="0" applyFont="1" applyAlignment="1">
      <alignment horizontal="center"/>
    </xf>
    <xf numFmtId="0" fontId="61" fillId="0" borderId="1" xfId="0" applyFont="1" applyBorder="1" applyAlignment="1">
      <alignment horizontal="center" vertical="center" wrapText="1"/>
    </xf>
    <xf numFmtId="165" fontId="0" fillId="0" borderId="4" xfId="0" applyNumberFormat="1" applyBorder="1" applyAlignment="1">
      <alignment horizontal="center" vertical="center"/>
    </xf>
    <xf numFmtId="169" fontId="0" fillId="0" borderId="1" xfId="0" applyNumberFormat="1" applyFont="1" applyBorder="1" applyAlignment="1">
      <alignment horizontal="center" vertical="center"/>
    </xf>
    <xf numFmtId="167" fontId="56" fillId="0" borderId="0" xfId="0" applyNumberFormat="1" applyFont="1" applyAlignment="1">
      <alignment horizontal="center" vertical="center"/>
    </xf>
    <xf numFmtId="0" fontId="64" fillId="0" borderId="1" xfId="0" applyFont="1" applyFill="1" applyBorder="1" applyAlignment="1">
      <alignment horizontal="center" vertical="center" wrapText="1"/>
    </xf>
    <xf numFmtId="0" fontId="64" fillId="0" borderId="1" xfId="0" applyFont="1" applyFill="1" applyBorder="1" applyAlignment="1">
      <alignment vertical="center" wrapText="1"/>
    </xf>
    <xf numFmtId="169" fontId="64" fillId="0" borderId="1" xfId="0" applyNumberFormat="1" applyFont="1" applyFill="1" applyBorder="1" applyAlignment="1">
      <alignment horizontal="center" vertical="center" wrapText="1"/>
    </xf>
    <xf numFmtId="169" fontId="65" fillId="0" borderId="1" xfId="0" applyNumberFormat="1" applyFont="1" applyFill="1" applyBorder="1" applyAlignment="1">
      <alignment horizontal="center" vertical="center" wrapText="1"/>
    </xf>
    <xf numFmtId="171" fontId="21" fillId="2" borderId="5" xfId="4" applyNumberFormat="1" applyFont="1" applyFill="1" applyBorder="1" applyAlignment="1" applyProtection="1">
      <alignment horizontal="center" vertical="center" wrapText="1"/>
    </xf>
    <xf numFmtId="168" fontId="9" fillId="2" borderId="2" xfId="4" applyNumberFormat="1" applyFont="1" applyFill="1" applyBorder="1" applyAlignment="1">
      <alignment horizontal="center" vertical="center" wrapText="1"/>
    </xf>
    <xf numFmtId="168" fontId="21" fillId="2" borderId="4" xfId="4" applyNumberFormat="1" applyFont="1" applyFill="1" applyBorder="1" applyAlignment="1">
      <alignment horizontal="center" vertical="center" wrapText="1"/>
    </xf>
    <xf numFmtId="168" fontId="28" fillId="2" borderId="1" xfId="0" applyNumberFormat="1" applyFont="1" applyFill="1" applyBorder="1" applyAlignment="1" applyProtection="1">
      <alignment horizontal="center" vertical="center"/>
    </xf>
    <xf numFmtId="0" fontId="16" fillId="0" borderId="14" xfId="0" applyNumberFormat="1" applyFont="1" applyFill="1" applyBorder="1" applyAlignment="1">
      <alignment vertical="top" wrapText="1"/>
    </xf>
    <xf numFmtId="0" fontId="16" fillId="0" borderId="0" xfId="0" applyNumberFormat="1" applyFont="1" applyFill="1" applyBorder="1" applyAlignment="1">
      <alignment vertical="top" wrapText="1"/>
    </xf>
    <xf numFmtId="0" fontId="21" fillId="2" borderId="9" xfId="0" applyNumberFormat="1" applyFont="1" applyFill="1" applyBorder="1" applyAlignment="1">
      <alignment horizontal="center" vertical="center" wrapText="1"/>
    </xf>
    <xf numFmtId="0" fontId="9" fillId="2" borderId="9" xfId="0" applyNumberFormat="1" applyFont="1" applyFill="1" applyBorder="1" applyAlignment="1">
      <alignment horizontal="center" vertical="center" wrapText="1"/>
    </xf>
    <xf numFmtId="168" fontId="21" fillId="2" borderId="1" xfId="0" applyNumberFormat="1" applyFont="1" applyFill="1" applyBorder="1" applyAlignment="1">
      <alignment horizontal="center" vertical="center" wrapText="1"/>
    </xf>
    <xf numFmtId="166" fontId="16" fillId="3" borderId="1" xfId="0" applyNumberFormat="1" applyFont="1" applyFill="1" applyBorder="1" applyAlignment="1">
      <alignment horizontal="center" vertical="center" wrapText="1"/>
    </xf>
    <xf numFmtId="169" fontId="43" fillId="2" borderId="0" xfId="0" applyNumberFormat="1" applyFont="1" applyFill="1"/>
    <xf numFmtId="169" fontId="44" fillId="2" borderId="0" xfId="0" applyNumberFormat="1" applyFont="1" applyFill="1"/>
    <xf numFmtId="169" fontId="47" fillId="2" borderId="0" xfId="0" applyNumberFormat="1" applyFont="1" applyFill="1" applyAlignment="1">
      <alignment horizontal="center" vertical="center"/>
    </xf>
    <xf numFmtId="169" fontId="67" fillId="2" borderId="18" xfId="4" applyNumberFormat="1" applyFont="1" applyFill="1" applyBorder="1" applyAlignment="1">
      <alignment horizontal="center" vertical="center" wrapText="1"/>
    </xf>
    <xf numFmtId="168" fontId="3" fillId="2" borderId="1" xfId="4" applyNumberFormat="1" applyFont="1" applyFill="1" applyBorder="1"/>
    <xf numFmtId="173" fontId="39" fillId="2" borderId="20" xfId="4" applyNumberFormat="1" applyFont="1" applyFill="1" applyBorder="1" applyAlignment="1">
      <alignment horizontal="center" vertical="center" wrapText="1"/>
    </xf>
    <xf numFmtId="168" fontId="68" fillId="2" borderId="0" xfId="0" applyNumberFormat="1" applyFont="1" applyFill="1" applyAlignment="1">
      <alignment vertical="center" wrapText="1"/>
    </xf>
    <xf numFmtId="0" fontId="68" fillId="2" borderId="0" xfId="0" applyNumberFormat="1" applyFont="1" applyFill="1" applyAlignment="1">
      <alignment vertical="center" wrapText="1"/>
    </xf>
    <xf numFmtId="4" fontId="68" fillId="2" borderId="0" xfId="0" applyNumberFormat="1" applyFont="1" applyFill="1" applyAlignment="1">
      <alignment vertical="center" wrapText="1"/>
    </xf>
    <xf numFmtId="168" fontId="3" fillId="2" borderId="1" xfId="0" applyNumberFormat="1" applyFont="1" applyFill="1" applyBorder="1" applyAlignment="1">
      <alignment horizontal="right"/>
    </xf>
    <xf numFmtId="0" fontId="3" fillId="2" borderId="1" xfId="0" applyNumberFormat="1" applyFont="1" applyFill="1" applyBorder="1" applyAlignment="1">
      <alignment vertical="center" wrapText="1"/>
    </xf>
    <xf numFmtId="167" fontId="68" fillId="2" borderId="0" xfId="0" applyNumberFormat="1" applyFont="1" applyFill="1" applyAlignment="1">
      <alignment vertical="center" wrapText="1"/>
    </xf>
    <xf numFmtId="0" fontId="6" fillId="2" borderId="0" xfId="0" applyNumberFormat="1" applyFont="1" applyFill="1" applyBorder="1" applyAlignment="1">
      <alignment vertical="center" wrapText="1"/>
    </xf>
    <xf numFmtId="0" fontId="6" fillId="2" borderId="30" xfId="0" applyNumberFormat="1" applyFont="1" applyFill="1" applyBorder="1" applyAlignment="1">
      <alignment vertical="center" wrapText="1"/>
    </xf>
    <xf numFmtId="0" fontId="6" fillId="2" borderId="14" xfId="0" applyNumberFormat="1" applyFont="1" applyFill="1" applyBorder="1" applyAlignment="1">
      <alignment vertical="center" wrapText="1"/>
    </xf>
    <xf numFmtId="173" fontId="3" fillId="2" borderId="1" xfId="0" applyNumberFormat="1" applyFont="1" applyFill="1" applyBorder="1" applyAlignment="1">
      <alignment horizontal="center" vertical="center" wrapText="1"/>
    </xf>
    <xf numFmtId="16" fontId="36" fillId="2" borderId="1" xfId="0" applyNumberFormat="1" applyFont="1" applyFill="1" applyBorder="1" applyAlignment="1">
      <alignment horizontal="left" vertical="center" wrapText="1"/>
    </xf>
    <xf numFmtId="0" fontId="17" fillId="2" borderId="1" xfId="0" applyNumberFormat="1" applyFont="1" applyFill="1" applyBorder="1" applyAlignment="1">
      <alignment horizontal="left" vertical="top" wrapText="1"/>
    </xf>
    <xf numFmtId="0" fontId="33" fillId="0" borderId="1" xfId="0" applyFont="1" applyBorder="1" applyAlignment="1">
      <alignment horizontal="left" vertical="top" wrapText="1"/>
    </xf>
    <xf numFmtId="176" fontId="21" fillId="2" borderId="1" xfId="4" applyNumberFormat="1" applyFont="1" applyFill="1" applyBorder="1" applyAlignment="1">
      <alignment horizontal="center" vertical="center" wrapText="1"/>
    </xf>
    <xf numFmtId="176" fontId="21" fillId="2" borderId="2" xfId="4" applyNumberFormat="1" applyFont="1" applyFill="1" applyBorder="1" applyAlignment="1">
      <alignment horizontal="center" vertical="center" wrapText="1"/>
    </xf>
    <xf numFmtId="168" fontId="3" fillId="2" borderId="1" xfId="0" applyNumberFormat="1" applyFont="1" applyFill="1" applyBorder="1" applyAlignment="1">
      <alignment vertical="center"/>
    </xf>
    <xf numFmtId="49" fontId="3" fillId="2" borderId="1"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top" wrapText="1"/>
    </xf>
    <xf numFmtId="0" fontId="8" fillId="2" borderId="1" xfId="0" applyNumberFormat="1" applyFont="1" applyFill="1" applyBorder="1" applyAlignment="1">
      <alignment vertical="top" wrapText="1"/>
    </xf>
    <xf numFmtId="0" fontId="6" fillId="2" borderId="0" xfId="0" applyNumberFormat="1" applyFont="1" applyFill="1" applyBorder="1" applyAlignment="1">
      <alignment vertical="top" wrapText="1"/>
    </xf>
    <xf numFmtId="168" fontId="70" fillId="2" borderId="1" xfId="0" applyNumberFormat="1" applyFont="1" applyFill="1" applyBorder="1" applyAlignment="1" applyProtection="1">
      <alignment horizontal="center" vertical="center"/>
    </xf>
    <xf numFmtId="0" fontId="16" fillId="0" borderId="12" xfId="0" applyNumberFormat="1" applyFont="1" applyFill="1" applyBorder="1" applyAlignment="1">
      <alignment vertical="top" wrapText="1"/>
    </xf>
    <xf numFmtId="0" fontId="16" fillId="0" borderId="13" xfId="0" applyNumberFormat="1" applyFont="1" applyFill="1" applyBorder="1" applyAlignment="1">
      <alignment vertical="top" wrapText="1"/>
    </xf>
    <xf numFmtId="0" fontId="16" fillId="0" borderId="0" xfId="0" applyNumberFormat="1" applyFont="1" applyFill="1" applyBorder="1" applyAlignment="1">
      <alignment vertical="top"/>
    </xf>
    <xf numFmtId="0" fontId="30" fillId="0" borderId="0" xfId="0" applyNumberFormat="1" applyFont="1" applyFill="1" applyBorder="1" applyAlignment="1">
      <alignment vertical="top"/>
    </xf>
    <xf numFmtId="0" fontId="6" fillId="2" borderId="0" xfId="0" applyNumberFormat="1" applyFont="1" applyFill="1" applyAlignment="1">
      <alignment horizontal="center" vertical="center" wrapText="1"/>
    </xf>
    <xf numFmtId="171" fontId="16" fillId="3" borderId="1" xfId="0" applyNumberFormat="1" applyFont="1" applyFill="1" applyBorder="1" applyAlignment="1">
      <alignment horizontal="center" vertical="center" wrapText="1"/>
    </xf>
    <xf numFmtId="169" fontId="16" fillId="3" borderId="1" xfId="0" applyNumberFormat="1" applyFont="1" applyFill="1" applyBorder="1" applyAlignment="1">
      <alignment horizontal="center" vertical="center" wrapText="1"/>
    </xf>
    <xf numFmtId="49" fontId="36" fillId="2" borderId="2" xfId="0" applyNumberFormat="1" applyFont="1" applyFill="1" applyBorder="1" applyAlignment="1">
      <alignment horizontal="left" vertical="center" wrapText="1"/>
    </xf>
    <xf numFmtId="4" fontId="0" fillId="0" borderId="0" xfId="0" applyNumberFormat="1"/>
    <xf numFmtId="168" fontId="0" fillId="0" borderId="0" xfId="0" applyNumberFormat="1"/>
    <xf numFmtId="0" fontId="6" fillId="2" borderId="1" xfId="0" applyNumberFormat="1" applyFont="1" applyFill="1" applyBorder="1" applyAlignment="1">
      <alignment horizontal="center" vertical="center" wrapText="1"/>
    </xf>
    <xf numFmtId="168" fontId="18" fillId="2" borderId="1" xfId="4" applyNumberFormat="1" applyFont="1" applyFill="1" applyBorder="1" applyAlignment="1">
      <alignment horizontal="center" vertical="center" wrapText="1"/>
    </xf>
    <xf numFmtId="4" fontId="18" fillId="2" borderId="1" xfId="4" applyNumberFormat="1" applyFont="1" applyFill="1" applyBorder="1" applyAlignment="1">
      <alignment horizontal="center" vertical="center" wrapText="1"/>
    </xf>
    <xf numFmtId="168" fontId="17" fillId="2" borderId="1" xfId="4" applyNumberFormat="1" applyFont="1" applyFill="1" applyBorder="1" applyAlignment="1">
      <alignment horizontal="center" vertical="center" wrapText="1"/>
    </xf>
    <xf numFmtId="168" fontId="4" fillId="2" borderId="2" xfId="4" applyNumberFormat="1" applyFont="1" applyFill="1" applyBorder="1" applyAlignment="1">
      <alignment horizontal="center" vertical="center"/>
    </xf>
    <xf numFmtId="168" fontId="4" fillId="2" borderId="1" xfId="4"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166" fontId="8" fillId="2" borderId="4" xfId="4"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left" vertical="top" wrapText="1"/>
    </xf>
    <xf numFmtId="0" fontId="39" fillId="2" borderId="0" xfId="0" applyFont="1" applyFill="1" applyAlignment="1">
      <alignment horizontal="center"/>
    </xf>
    <xf numFmtId="0" fontId="39" fillId="2" borderId="2"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0" xfId="0" applyFont="1" applyFill="1" applyAlignment="1">
      <alignment horizontal="left" vertical="center"/>
    </xf>
    <xf numFmtId="0" fontId="40" fillId="2" borderId="0" xfId="0" applyFont="1" applyFill="1" applyBorder="1" applyAlignment="1">
      <alignment horizontal="left" vertical="center"/>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39" fillId="2" borderId="0" xfId="0" applyFont="1" applyFill="1" applyAlignment="1">
      <alignment horizontal="center" vertical="center" wrapText="1"/>
    </xf>
    <xf numFmtId="0" fontId="56" fillId="0" borderId="0" xfId="0" applyFont="1" applyAlignment="1">
      <alignment vertical="center"/>
    </xf>
    <xf numFmtId="0" fontId="56" fillId="0" borderId="0" xfId="0" applyFont="1" applyBorder="1" applyAlignment="1">
      <alignment horizontal="left" vertical="center" wrapText="1"/>
    </xf>
    <xf numFmtId="0" fontId="50" fillId="0" borderId="24" xfId="0" applyFont="1" applyFill="1" applyBorder="1" applyAlignment="1">
      <alignment horizontal="center" vertical="center" wrapText="1"/>
    </xf>
    <xf numFmtId="168" fontId="18" fillId="2" borderId="1" xfId="4" applyNumberFormat="1" applyFont="1" applyFill="1" applyBorder="1" applyAlignment="1" applyProtection="1">
      <alignment horizontal="center" vertical="center" wrapText="1"/>
      <protection hidden="1"/>
    </xf>
    <xf numFmtId="0" fontId="8" fillId="2" borderId="1" xfId="4" applyNumberFormat="1" applyFont="1" applyFill="1" applyBorder="1" applyAlignment="1">
      <alignment horizontal="center" vertical="center" wrapText="1"/>
    </xf>
    <xf numFmtId="169" fontId="76" fillId="2" borderId="0" xfId="0" applyNumberFormat="1" applyFont="1" applyFill="1" applyAlignment="1">
      <alignment horizontal="center" vertical="center"/>
    </xf>
    <xf numFmtId="169" fontId="1" fillId="2" borderId="0" xfId="0" applyNumberFormat="1" applyFont="1" applyFill="1" applyAlignment="1">
      <alignment horizontal="center" vertical="center"/>
    </xf>
    <xf numFmtId="166" fontId="42" fillId="2" borderId="0" xfId="0" applyNumberFormat="1" applyFont="1" applyFill="1" applyAlignment="1">
      <alignment horizontal="center" vertical="center"/>
    </xf>
    <xf numFmtId="169" fontId="77" fillId="2" borderId="0" xfId="0" applyNumberFormat="1" applyFont="1" applyFill="1" applyAlignment="1">
      <alignment horizontal="center" vertical="center"/>
    </xf>
    <xf numFmtId="0" fontId="1" fillId="2" borderId="0" xfId="0" applyFont="1" applyFill="1" applyAlignment="1">
      <alignment horizontal="left" vertical="center"/>
    </xf>
    <xf numFmtId="166" fontId="76" fillId="2" borderId="0" xfId="0" applyNumberFormat="1" applyFont="1" applyFill="1" applyAlignment="1">
      <alignment vertical="center"/>
    </xf>
    <xf numFmtId="169" fontId="78" fillId="2" borderId="0" xfId="0" applyNumberFormat="1" applyFont="1" applyFill="1" applyAlignment="1">
      <alignment horizontal="center" vertical="center"/>
    </xf>
    <xf numFmtId="0" fontId="42" fillId="2" borderId="0" xfId="0" applyFont="1" applyFill="1" applyAlignment="1">
      <alignment vertical="center"/>
    </xf>
    <xf numFmtId="167" fontId="42" fillId="2" borderId="0" xfId="0" applyNumberFormat="1" applyFont="1" applyFill="1" applyAlignment="1">
      <alignment vertical="center"/>
    </xf>
    <xf numFmtId="167" fontId="48" fillId="2" borderId="0" xfId="0" applyNumberFormat="1" applyFont="1" applyFill="1"/>
    <xf numFmtId="2" fontId="39" fillId="2" borderId="2" xfId="4" applyNumberFormat="1" applyFont="1" applyFill="1" applyBorder="1" applyAlignment="1">
      <alignment horizontal="center" vertical="center" wrapText="1"/>
    </xf>
    <xf numFmtId="169" fontId="48" fillId="2" borderId="0" xfId="0" applyNumberFormat="1" applyFont="1" applyFill="1" applyAlignment="1">
      <alignment vertical="center"/>
    </xf>
    <xf numFmtId="166" fontId="42" fillId="2" borderId="0" xfId="0" applyNumberFormat="1" applyFont="1" applyFill="1" applyAlignment="1">
      <alignment vertical="center"/>
    </xf>
    <xf numFmtId="167" fontId="76" fillId="2" borderId="0" xfId="0" applyNumberFormat="1" applyFont="1" applyFill="1"/>
    <xf numFmtId="169" fontId="76" fillId="2" borderId="0" xfId="0" applyNumberFormat="1" applyFont="1" applyFill="1" applyAlignment="1">
      <alignment vertical="center"/>
    </xf>
    <xf numFmtId="167" fontId="42" fillId="2" borderId="0" xfId="0" applyNumberFormat="1" applyFont="1" applyFill="1" applyAlignment="1">
      <alignment horizontal="center" wrapText="1"/>
    </xf>
    <xf numFmtId="167" fontId="76" fillId="2" borderId="0" xfId="0" applyNumberFormat="1" applyFont="1" applyFill="1" applyAlignment="1">
      <alignment vertical="center"/>
    </xf>
    <xf numFmtId="169" fontId="79" fillId="2" borderId="0" xfId="0" applyNumberFormat="1" applyFont="1" applyFill="1" applyAlignment="1">
      <alignment vertical="center"/>
    </xf>
    <xf numFmtId="2" fontId="48" fillId="2" borderId="0" xfId="0" applyNumberFormat="1" applyFont="1" applyFill="1" applyAlignment="1">
      <alignment vertical="center"/>
    </xf>
    <xf numFmtId="2" fontId="76" fillId="2" borderId="0" xfId="0" applyNumberFormat="1" applyFont="1" applyFill="1" applyAlignment="1">
      <alignment vertical="center"/>
    </xf>
    <xf numFmtId="165" fontId="0" fillId="2" borderId="0" xfId="0" applyNumberFormat="1" applyFill="1"/>
    <xf numFmtId="169" fontId="0" fillId="2" borderId="1" xfId="0" applyNumberFormat="1" applyFont="1" applyFill="1" applyBorder="1" applyAlignment="1">
      <alignment horizontal="center" vertical="center"/>
    </xf>
    <xf numFmtId="165" fontId="0" fillId="2" borderId="4" xfId="0" applyNumberFormat="1" applyFill="1" applyBorder="1" applyAlignment="1">
      <alignment horizontal="center" vertical="center"/>
    </xf>
    <xf numFmtId="0" fontId="61" fillId="2" borderId="1" xfId="0" applyFont="1" applyFill="1" applyBorder="1" applyAlignment="1">
      <alignment horizontal="center" vertical="center" wrapText="1"/>
    </xf>
    <xf numFmtId="174" fontId="0" fillId="2" borderId="0" xfId="0" applyNumberFormat="1" applyFill="1"/>
    <xf numFmtId="174" fontId="0" fillId="2" borderId="1" xfId="0" applyNumberFormat="1" applyFill="1" applyBorder="1" applyAlignment="1">
      <alignment horizontal="center"/>
    </xf>
    <xf numFmtId="174" fontId="0" fillId="3" borderId="0" xfId="0" applyNumberFormat="1" applyFill="1" applyBorder="1" applyAlignment="1">
      <alignment horizontal="center" vertical="center"/>
    </xf>
    <xf numFmtId="174" fontId="0" fillId="2" borderId="8" xfId="0" applyNumberFormat="1" applyFill="1" applyBorder="1" applyAlignment="1">
      <alignment horizontal="center" vertical="center"/>
    </xf>
    <xf numFmtId="165" fontId="60" fillId="3" borderId="0" xfId="0" applyNumberFormat="1" applyFont="1" applyFill="1" applyBorder="1"/>
    <xf numFmtId="165" fontId="60" fillId="2" borderId="1" xfId="0" applyNumberFormat="1" applyFont="1" applyFill="1" applyBorder="1"/>
    <xf numFmtId="165" fontId="59" fillId="3" borderId="0" xfId="0" applyNumberFormat="1" applyFont="1" applyFill="1" applyBorder="1" applyAlignment="1">
      <alignment horizontal="center" vertical="center"/>
    </xf>
    <xf numFmtId="10" fontId="0" fillId="2" borderId="0" xfId="0" applyNumberFormat="1" applyFill="1" applyAlignment="1">
      <alignment horizontal="center" vertical="center"/>
    </xf>
    <xf numFmtId="165" fontId="0" fillId="2" borderId="1" xfId="0" applyNumberFormat="1" applyFill="1" applyBorder="1"/>
    <xf numFmtId="165" fontId="0" fillId="2" borderId="1" xfId="0" applyNumberFormat="1" applyFill="1" applyBorder="1" applyAlignment="1">
      <alignment horizontal="center" vertical="center"/>
    </xf>
    <xf numFmtId="174" fontId="0" fillId="0" borderId="0" xfId="0" applyNumberFormat="1" applyBorder="1" applyAlignment="1">
      <alignment horizontal="center" vertical="center"/>
    </xf>
    <xf numFmtId="165" fontId="60" fillId="0" borderId="0" xfId="0" applyNumberFormat="1" applyFont="1" applyFill="1" applyBorder="1"/>
    <xf numFmtId="165" fontId="59" fillId="0" borderId="5" xfId="0" applyNumberFormat="1" applyFont="1" applyBorder="1" applyAlignment="1">
      <alignment horizontal="center" vertical="center"/>
    </xf>
    <xf numFmtId="174" fontId="0" fillId="2" borderId="0" xfId="0" applyNumberFormat="1" applyFill="1" applyAlignment="1">
      <alignment horizontal="center" vertical="center"/>
    </xf>
    <xf numFmtId="174" fontId="0" fillId="0" borderId="0" xfId="0" applyNumberFormat="1" applyBorder="1" applyAlignment="1">
      <alignment horizontal="center"/>
    </xf>
    <xf numFmtId="165" fontId="59" fillId="0" borderId="0" xfId="0" applyNumberFormat="1" applyFont="1" applyBorder="1" applyAlignment="1">
      <alignment horizontal="center" vertical="center"/>
    </xf>
    <xf numFmtId="165" fontId="57" fillId="2" borderId="0" xfId="0" applyNumberFormat="1" applyFont="1" applyFill="1" applyAlignment="1">
      <alignment horizontal="center" vertical="center"/>
    </xf>
    <xf numFmtId="165" fontId="57" fillId="2" borderId="1" xfId="0" applyNumberFormat="1" applyFont="1" applyFill="1" applyBorder="1" applyAlignment="1">
      <alignment horizontal="center" vertical="center"/>
    </xf>
    <xf numFmtId="173" fontId="0" fillId="2" borderId="0" xfId="0" applyNumberFormat="1" applyFill="1" applyAlignment="1">
      <alignment horizontal="center" vertical="center"/>
    </xf>
    <xf numFmtId="169" fontId="58" fillId="2" borderId="28" xfId="13" applyNumberFormat="1" applyFont="1" applyFill="1" applyBorder="1" applyAlignment="1">
      <alignment horizontal="center" vertical="center"/>
    </xf>
    <xf numFmtId="167" fontId="50" fillId="0" borderId="1" xfId="0" applyNumberFormat="1" applyFont="1" applyFill="1" applyBorder="1" applyAlignment="1">
      <alignment horizontal="center" vertical="center" wrapText="1"/>
    </xf>
    <xf numFmtId="167" fontId="50" fillId="2" borderId="1" xfId="0" applyNumberFormat="1" applyFont="1" applyFill="1" applyBorder="1" applyAlignment="1">
      <alignment horizontal="center" vertical="center" wrapText="1"/>
    </xf>
    <xf numFmtId="0" fontId="55" fillId="0" borderId="12" xfId="14" applyFont="1" applyFill="1" applyBorder="1" applyAlignment="1">
      <alignment horizontal="justify" vertical="center"/>
    </xf>
    <xf numFmtId="0" fontId="55" fillId="0" borderId="31" xfId="14" applyFont="1" applyFill="1" applyBorder="1" applyAlignment="1">
      <alignment horizontal="justify" vertical="center"/>
    </xf>
    <xf numFmtId="0" fontId="0" fillId="2" borderId="1" xfId="0" applyFill="1" applyBorder="1"/>
    <xf numFmtId="167" fontId="50" fillId="0" borderId="32" xfId="0" applyNumberFormat="1" applyFont="1" applyFill="1" applyBorder="1" applyAlignment="1">
      <alignment horizontal="center" vertical="center" wrapText="1"/>
    </xf>
    <xf numFmtId="167" fontId="50" fillId="0" borderId="33" xfId="0" applyNumberFormat="1" applyFont="1" applyFill="1" applyBorder="1" applyAlignment="1">
      <alignment horizontal="center" vertical="center" wrapText="1"/>
    </xf>
    <xf numFmtId="167" fontId="50" fillId="2" borderId="32" xfId="0" applyNumberFormat="1" applyFont="1" applyFill="1" applyBorder="1" applyAlignment="1">
      <alignment horizontal="center" vertical="center" wrapText="1"/>
    </xf>
    <xf numFmtId="0" fontId="53" fillId="0" borderId="34" xfId="14" applyFont="1" applyFill="1" applyBorder="1" applyAlignment="1">
      <alignment vertical="center" wrapText="1"/>
    </xf>
    <xf numFmtId="167" fontId="50" fillId="2" borderId="25" xfId="0"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55" fillId="0" borderId="0" xfId="14" applyFont="1" applyFill="1" applyBorder="1" applyAlignment="1">
      <alignment horizontal="justify" vertical="center"/>
    </xf>
    <xf numFmtId="167" fontId="50" fillId="2" borderId="3" xfId="0" applyNumberFormat="1" applyFont="1" applyFill="1" applyBorder="1" applyAlignment="1">
      <alignment horizontal="center" vertical="center" wrapText="1"/>
    </xf>
    <xf numFmtId="165" fontId="59" fillId="2" borderId="0" xfId="0" applyNumberFormat="1" applyFont="1" applyFill="1" applyAlignment="1">
      <alignment horizontal="center" vertical="center"/>
    </xf>
    <xf numFmtId="165" fontId="59" fillId="2" borderId="0" xfId="0" applyNumberFormat="1" applyFont="1" applyFill="1" applyBorder="1" applyAlignment="1">
      <alignment horizontal="center" vertical="center"/>
    </xf>
    <xf numFmtId="174" fontId="0" fillId="2" borderId="0" xfId="0" applyNumberFormat="1" applyFill="1" applyBorder="1" applyAlignment="1">
      <alignment horizontal="center"/>
    </xf>
    <xf numFmtId="165" fontId="59" fillId="2" borderId="5" xfId="0" applyNumberFormat="1" applyFont="1" applyFill="1" applyBorder="1" applyAlignment="1">
      <alignment horizontal="center" vertical="center"/>
    </xf>
    <xf numFmtId="165" fontId="60" fillId="2" borderId="0" xfId="0" applyNumberFormat="1" applyFont="1" applyFill="1" applyBorder="1"/>
    <xf numFmtId="174" fontId="0" fillId="2" borderId="0" xfId="0" applyNumberFormat="1" applyFill="1" applyBorder="1" applyAlignment="1">
      <alignment horizontal="center" vertical="center"/>
    </xf>
    <xf numFmtId="167" fontId="56" fillId="2" borderId="0" xfId="0" applyNumberFormat="1" applyFont="1" applyFill="1" applyAlignment="1">
      <alignment horizontal="center" vertical="center"/>
    </xf>
    <xf numFmtId="0" fontId="80" fillId="2" borderId="0" xfId="0" applyFont="1" applyFill="1"/>
    <xf numFmtId="0" fontId="8" fillId="2" borderId="2" xfId="0" applyNumberFormat="1" applyFont="1" applyFill="1" applyBorder="1" applyAlignment="1">
      <alignment horizontal="left" vertical="center" wrapText="1"/>
    </xf>
    <xf numFmtId="0" fontId="3" fillId="2" borderId="4" xfId="1" applyNumberFormat="1" applyFont="1" applyFill="1" applyBorder="1" applyAlignment="1" applyProtection="1">
      <alignment vertical="top" wrapText="1"/>
      <protection hidden="1"/>
    </xf>
    <xf numFmtId="0" fontId="3" fillId="2" borderId="1" xfId="1" applyNumberFormat="1" applyFont="1" applyFill="1" applyBorder="1" applyAlignment="1" applyProtection="1">
      <alignment horizontal="left" vertical="top"/>
      <protection hidden="1"/>
    </xf>
    <xf numFmtId="171" fontId="16" fillId="0" borderId="0" xfId="0" applyNumberFormat="1" applyFont="1" applyFill="1" applyAlignment="1">
      <alignment vertical="top" wrapText="1"/>
    </xf>
    <xf numFmtId="169" fontId="39" fillId="2" borderId="1" xfId="12"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168" fontId="6" fillId="2" borderId="0" xfId="0" applyNumberFormat="1" applyFont="1" applyFill="1" applyBorder="1" applyAlignment="1">
      <alignment vertical="center" wrapText="1"/>
    </xf>
    <xf numFmtId="169" fontId="39" fillId="2"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166" fontId="3" fillId="2" borderId="2" xfId="0" applyNumberFormat="1" applyFont="1" applyFill="1" applyBorder="1" applyAlignment="1">
      <alignment horizontal="center" vertical="center"/>
    </xf>
    <xf numFmtId="166" fontId="36" fillId="2" borderId="2" xfId="4" applyNumberFormat="1" applyFont="1" applyFill="1" applyBorder="1" applyAlignment="1">
      <alignment horizontal="center" vertical="center" wrapText="1"/>
    </xf>
    <xf numFmtId="168" fontId="3" fillId="2" borderId="2" xfId="0" applyNumberFormat="1" applyFont="1" applyFill="1" applyBorder="1" applyAlignment="1">
      <alignment horizontal="center" vertical="center" wrapText="1"/>
    </xf>
    <xf numFmtId="168" fontId="36" fillId="2" borderId="2" xfId="12" applyNumberFormat="1" applyFont="1" applyFill="1" applyBorder="1" applyAlignment="1">
      <alignment horizontal="center" vertical="center" wrapText="1"/>
    </xf>
    <xf numFmtId="0" fontId="0" fillId="2" borderId="1" xfId="0" applyFill="1" applyBorder="1" applyAlignment="1">
      <alignment horizontal="center" vertical="center"/>
    </xf>
    <xf numFmtId="0" fontId="35" fillId="2" borderId="1" xfId="0" applyFont="1" applyFill="1" applyBorder="1" applyAlignment="1">
      <alignment horizontal="center" vertical="center"/>
    </xf>
    <xf numFmtId="2" fontId="35" fillId="2" borderId="1" xfId="0" applyNumberFormat="1" applyFont="1" applyFill="1" applyBorder="1" applyAlignment="1">
      <alignment horizontal="center" vertical="center"/>
    </xf>
    <xf numFmtId="2" fontId="35" fillId="2" borderId="1" xfId="12" applyNumberFormat="1" applyFont="1" applyFill="1" applyBorder="1" applyAlignment="1">
      <alignment horizontal="center" vertical="center"/>
    </xf>
    <xf numFmtId="167" fontId="35" fillId="2" borderId="1" xfId="0" applyNumberFormat="1" applyFont="1" applyFill="1" applyBorder="1" applyAlignment="1">
      <alignment horizontal="center" vertical="center"/>
    </xf>
    <xf numFmtId="0" fontId="35" fillId="2" borderId="1" xfId="0" applyFont="1" applyFill="1" applyBorder="1" applyAlignment="1">
      <alignment horizontal="left" vertical="center"/>
    </xf>
    <xf numFmtId="2" fontId="38" fillId="2" borderId="1" xfId="0" applyNumberFormat="1" applyFont="1" applyFill="1" applyBorder="1" applyAlignment="1">
      <alignment horizontal="center" vertical="center"/>
    </xf>
    <xf numFmtId="169" fontId="38" fillId="2" borderId="1" xfId="0" applyNumberFormat="1" applyFont="1" applyFill="1" applyBorder="1" applyAlignment="1">
      <alignment horizontal="center" vertical="center"/>
    </xf>
    <xf numFmtId="2" fontId="38" fillId="3" borderId="1" xfId="0" applyNumberFormat="1" applyFont="1" applyFill="1" applyBorder="1" applyAlignment="1">
      <alignment horizontal="center" vertical="center"/>
    </xf>
    <xf numFmtId="169" fontId="35" fillId="2" borderId="1" xfId="0" applyNumberFormat="1" applyFont="1" applyFill="1" applyBorder="1" applyAlignment="1">
      <alignment horizontal="center" vertical="center"/>
    </xf>
    <xf numFmtId="166" fontId="0" fillId="2" borderId="1" xfId="0" applyNumberFormat="1" applyFill="1" applyBorder="1"/>
    <xf numFmtId="0" fontId="19" fillId="0" borderId="1" xfId="0" applyNumberFormat="1" applyFont="1" applyFill="1" applyBorder="1" applyAlignment="1">
      <alignment horizontal="center" vertical="center" wrapText="1"/>
    </xf>
    <xf numFmtId="0" fontId="3" fillId="2" borderId="2" xfId="0" applyFont="1" applyFill="1" applyBorder="1" applyAlignment="1">
      <alignment horizontal="left" vertical="top" wrapText="1"/>
    </xf>
    <xf numFmtId="0" fontId="39" fillId="2" borderId="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17" fillId="0" borderId="0" xfId="0" applyFont="1" applyAlignment="1">
      <alignment horizontal="left" wrapText="1"/>
    </xf>
    <xf numFmtId="0" fontId="17" fillId="0" borderId="1" xfId="0" applyFont="1" applyBorder="1" applyAlignment="1">
      <alignment horizontal="left" wrapText="1"/>
    </xf>
    <xf numFmtId="2" fontId="39" fillId="2" borderId="4" xfId="4"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xf>
    <xf numFmtId="2" fontId="39" fillId="2" borderId="1" xfId="0" applyNumberFormat="1" applyFont="1" applyFill="1" applyBorder="1" applyAlignment="1">
      <alignment horizontal="left" vertical="center" wrapText="1"/>
    </xf>
    <xf numFmtId="2" fontId="39" fillId="2" borderId="4" xfId="0" applyNumberFormat="1" applyFont="1" applyFill="1" applyBorder="1" applyAlignment="1">
      <alignment horizontal="center" vertical="center" wrapText="1"/>
    </xf>
    <xf numFmtId="2" fontId="39" fillId="2" borderId="21" xfId="4" applyNumberFormat="1" applyFont="1" applyFill="1" applyBorder="1" applyAlignment="1">
      <alignment horizontal="center" vertical="center" wrapText="1"/>
    </xf>
    <xf numFmtId="168" fontId="9" fillId="0" borderId="1" xfId="4" applyNumberFormat="1" applyFont="1" applyFill="1" applyBorder="1" applyAlignment="1">
      <alignment horizontal="center" vertical="center" wrapText="1"/>
    </xf>
    <xf numFmtId="0" fontId="36" fillId="3" borderId="14" xfId="0" applyFont="1" applyFill="1" applyBorder="1" applyAlignment="1">
      <alignment horizontal="left" vertical="center" wrapText="1"/>
    </xf>
    <xf numFmtId="0" fontId="3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66" fontId="3" fillId="3" borderId="1" xfId="0" applyNumberFormat="1" applyFont="1" applyFill="1" applyBorder="1" applyAlignment="1">
      <alignment horizontal="center" vertical="center"/>
    </xf>
    <xf numFmtId="166" fontId="36" fillId="3" borderId="1" xfId="4" applyNumberFormat="1" applyFont="1" applyFill="1" applyBorder="1" applyAlignment="1">
      <alignment horizontal="center" vertical="center" wrapText="1"/>
    </xf>
    <xf numFmtId="169"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3" fillId="3" borderId="1" xfId="0" applyFont="1" applyFill="1" applyBorder="1" applyAlignment="1">
      <alignment vertical="top" wrapText="1"/>
    </xf>
    <xf numFmtId="0" fontId="35" fillId="3" borderId="0" xfId="0" applyFont="1" applyFill="1" applyAlignment="1">
      <alignment vertical="center" wrapText="1"/>
    </xf>
    <xf numFmtId="0" fontId="35" fillId="3" borderId="0" xfId="0" applyFont="1" applyFill="1"/>
    <xf numFmtId="0" fontId="8" fillId="2" borderId="4" xfId="0" applyNumberFormat="1" applyFont="1" applyFill="1" applyBorder="1" applyAlignment="1">
      <alignment horizontal="center" wrapText="1"/>
    </xf>
    <xf numFmtId="0" fontId="3" fillId="2" borderId="1" xfId="0" applyNumberFormat="1" applyFont="1" applyFill="1" applyBorder="1" applyAlignment="1">
      <alignment horizontal="center" vertical="center"/>
    </xf>
    <xf numFmtId="0" fontId="6" fillId="2" borderId="0" xfId="0" applyNumberFormat="1" applyFont="1" applyFill="1" applyAlignment="1">
      <alignment vertical="center"/>
    </xf>
    <xf numFmtId="0" fontId="8" fillId="2" borderId="1"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wrapText="1"/>
    </xf>
    <xf numFmtId="166" fontId="8" fillId="2" borderId="3" xfId="4" applyNumberFormat="1" applyFont="1" applyFill="1" applyBorder="1" applyAlignment="1">
      <alignment horizontal="center" vertical="center" wrapText="1"/>
    </xf>
    <xf numFmtId="166" fontId="8" fillId="2" borderId="3" xfId="4" applyNumberFormat="1" applyFont="1" applyFill="1" applyBorder="1" applyAlignment="1" applyProtection="1">
      <alignment horizontal="center" vertical="center" wrapText="1"/>
      <protection hidden="1"/>
    </xf>
    <xf numFmtId="168" fontId="8" fillId="2" borderId="3" xfId="4" applyNumberFormat="1" applyFont="1" applyFill="1" applyBorder="1" applyAlignment="1" applyProtection="1">
      <alignment horizontal="center" vertical="center" wrapText="1"/>
      <protection hidden="1"/>
    </xf>
    <xf numFmtId="168" fontId="8" fillId="2" borderId="3" xfId="4"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166" fontId="8" fillId="2" borderId="1" xfId="4" applyNumberFormat="1" applyFont="1" applyFill="1" applyBorder="1" applyAlignment="1">
      <alignment horizontal="center" vertical="center"/>
    </xf>
    <xf numFmtId="166" fontId="8" fillId="2" borderId="1" xfId="4" applyNumberFormat="1" applyFont="1" applyFill="1" applyBorder="1" applyAlignment="1" applyProtection="1">
      <alignment horizontal="center" vertical="center"/>
      <protection hidden="1"/>
    </xf>
    <xf numFmtId="168" fontId="8" fillId="2" borderId="1" xfId="4" applyNumberFormat="1" applyFont="1" applyFill="1" applyBorder="1" applyAlignment="1" applyProtection="1">
      <alignment horizontal="center" vertical="center"/>
      <protection hidden="1"/>
    </xf>
    <xf numFmtId="168" fontId="8" fillId="2" borderId="1" xfId="4" applyNumberFormat="1" applyFont="1" applyFill="1" applyBorder="1" applyAlignment="1">
      <alignment horizontal="center" vertical="center"/>
    </xf>
    <xf numFmtId="172" fontId="16" fillId="0" borderId="0" xfId="0" applyNumberFormat="1" applyFont="1" applyFill="1" applyAlignment="1">
      <alignment vertical="top" wrapText="1"/>
    </xf>
    <xf numFmtId="167" fontId="50" fillId="2" borderId="14" xfId="0" applyNumberFormat="1" applyFont="1" applyFill="1" applyBorder="1" applyAlignment="1">
      <alignment horizontal="center" vertical="center" wrapText="1"/>
    </xf>
    <xf numFmtId="0" fontId="21" fillId="2" borderId="12" xfId="0" applyNumberFormat="1" applyFont="1" applyFill="1" applyBorder="1" applyAlignment="1">
      <alignment vertical="top" wrapText="1"/>
    </xf>
    <xf numFmtId="178" fontId="68" fillId="2" borderId="0" xfId="0" applyNumberFormat="1" applyFont="1" applyFill="1" applyAlignment="1">
      <alignment vertical="center" wrapText="1"/>
    </xf>
    <xf numFmtId="0" fontId="68" fillId="2" borderId="0" xfId="0" applyNumberFormat="1" applyFont="1" applyFill="1" applyBorder="1" applyAlignment="1">
      <alignment vertical="center" wrapText="1"/>
    </xf>
    <xf numFmtId="0" fontId="68" fillId="2" borderId="0" xfId="0" applyNumberFormat="1" applyFont="1" applyFill="1" applyAlignment="1">
      <alignment vertical="center"/>
    </xf>
    <xf numFmtId="168" fontId="68" fillId="2" borderId="0" xfId="0" applyNumberFormat="1" applyFont="1" applyFill="1" applyBorder="1" applyAlignment="1">
      <alignment vertical="center" wrapText="1"/>
    </xf>
    <xf numFmtId="0" fontId="68" fillId="0" borderId="0" xfId="0" applyNumberFormat="1" applyFont="1" applyFill="1" applyAlignment="1">
      <alignment vertical="center" wrapText="1"/>
    </xf>
    <xf numFmtId="0" fontId="68" fillId="2" borderId="0" xfId="0" applyNumberFormat="1" applyFont="1" applyFill="1" applyAlignment="1">
      <alignment vertical="top" wrapText="1"/>
    </xf>
    <xf numFmtId="0" fontId="8" fillId="2" borderId="4" xfId="0" applyNumberFormat="1" applyFont="1" applyFill="1" applyBorder="1" applyAlignment="1">
      <alignment horizontal="left" vertical="center" wrapText="1"/>
    </xf>
    <xf numFmtId="0" fontId="8" fillId="2" borderId="3" xfId="0" applyNumberFormat="1" applyFont="1" applyFill="1" applyBorder="1" applyAlignment="1">
      <alignment horizontal="left" vertical="center" wrapText="1"/>
    </xf>
    <xf numFmtId="0" fontId="12" fillId="2" borderId="1" xfId="0" applyNumberFormat="1" applyFont="1" applyFill="1" applyBorder="1" applyAlignment="1">
      <alignment horizontal="left" vertical="center" wrapText="1"/>
    </xf>
    <xf numFmtId="164" fontId="3" fillId="2" borderId="1" xfId="6" applyFont="1" applyFill="1" applyBorder="1" applyAlignment="1">
      <alignment horizontal="left" vertical="center" wrapText="1"/>
    </xf>
    <xf numFmtId="0" fontId="3" fillId="2" borderId="1" xfId="0" applyFont="1" applyFill="1" applyBorder="1" applyAlignment="1">
      <alignment horizontal="center" vertical="center" wrapText="1"/>
    </xf>
    <xf numFmtId="4" fontId="17" fillId="2" borderId="1"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top" wrapText="1"/>
    </xf>
    <xf numFmtId="0" fontId="21" fillId="2" borderId="2"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xf>
    <xf numFmtId="0" fontId="6" fillId="2" borderId="0" xfId="0" applyNumberFormat="1" applyFont="1" applyFill="1" applyAlignment="1">
      <alignment horizontal="center" vertical="top" wrapText="1"/>
    </xf>
    <xf numFmtId="0" fontId="21" fillId="2" borderId="2" xfId="0" applyNumberFormat="1" applyFont="1" applyFill="1" applyBorder="1" applyAlignment="1">
      <alignment horizontal="center" vertical="center"/>
    </xf>
    <xf numFmtId="0" fontId="21" fillId="2" borderId="4" xfId="0" applyNumberFormat="1" applyFont="1" applyFill="1" applyBorder="1" applyAlignment="1">
      <alignment horizontal="center" vertical="center"/>
    </xf>
    <xf numFmtId="0" fontId="21" fillId="2" borderId="1" xfId="0" applyNumberFormat="1" applyFont="1" applyFill="1" applyBorder="1" applyAlignment="1">
      <alignment horizontal="center" vertical="top" wrapText="1"/>
    </xf>
    <xf numFmtId="0" fontId="21" fillId="2" borderId="14" xfId="0" applyNumberFormat="1" applyFont="1" applyFill="1" applyBorder="1" applyAlignment="1">
      <alignment horizontal="center" vertical="center" wrapText="1"/>
    </xf>
    <xf numFmtId="0" fontId="9" fillId="2" borderId="4" xfId="0" applyNumberFormat="1" applyFont="1" applyFill="1" applyBorder="1" applyAlignment="1">
      <alignment vertical="top" wrapText="1"/>
    </xf>
    <xf numFmtId="0" fontId="4"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16" fillId="0"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17" fillId="0" borderId="24" xfId="0" applyFont="1" applyBorder="1" applyAlignment="1">
      <alignment vertical="center" wrapText="1"/>
    </xf>
    <xf numFmtId="4" fontId="17" fillId="0" borderId="25" xfId="0" applyNumberFormat="1" applyFont="1" applyBorder="1" applyAlignment="1">
      <alignment horizontal="center" vertical="center" wrapText="1"/>
    </xf>
    <xf numFmtId="4" fontId="17" fillId="0" borderId="22" xfId="0" applyNumberFormat="1" applyFont="1" applyBorder="1" applyAlignment="1">
      <alignment horizontal="center" vertical="center" wrapText="1"/>
    </xf>
    <xf numFmtId="0" fontId="64" fillId="0" borderId="22" xfId="0" applyFont="1" applyBorder="1" applyAlignment="1">
      <alignment horizontal="left" vertical="top" wrapText="1"/>
    </xf>
    <xf numFmtId="0" fontId="13" fillId="2" borderId="0" xfId="0" applyNumberFormat="1" applyFont="1" applyFill="1" applyAlignment="1">
      <alignment vertical="top"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top" wrapText="1"/>
    </xf>
    <xf numFmtId="0" fontId="64" fillId="0" borderId="0" xfId="0" applyNumberFormat="1" applyFont="1" applyFill="1" applyAlignment="1">
      <alignment vertical="top" wrapText="1"/>
    </xf>
    <xf numFmtId="168" fontId="8" fillId="2" borderId="2" xfId="4" applyNumberFormat="1" applyFont="1" applyFill="1" applyBorder="1" applyAlignment="1">
      <alignment horizontal="center" vertical="center" wrapText="1"/>
    </xf>
    <xf numFmtId="168" fontId="3" fillId="2" borderId="1" xfId="4" applyNumberFormat="1" applyFont="1" applyFill="1" applyBorder="1" applyAlignment="1">
      <alignment horizontal="right"/>
    </xf>
    <xf numFmtId="0" fontId="39" fillId="7" borderId="18" xfId="0" applyFont="1" applyFill="1" applyBorder="1" applyAlignment="1">
      <alignment horizontal="left" vertical="center" wrapText="1"/>
    </xf>
    <xf numFmtId="0" fontId="39" fillId="7" borderId="20" xfId="0" applyFont="1" applyFill="1" applyBorder="1" applyAlignment="1">
      <alignment horizontal="center" vertical="center" wrapText="1"/>
    </xf>
    <xf numFmtId="169" fontId="39" fillId="7" borderId="20" xfId="4" applyNumberFormat="1" applyFont="1" applyFill="1" applyBorder="1" applyAlignment="1">
      <alignment horizontal="center" vertical="center" wrapText="1"/>
    </xf>
    <xf numFmtId="0" fontId="0" fillId="7" borderId="0" xfId="0" applyFill="1"/>
    <xf numFmtId="169" fontId="46" fillId="7" borderId="0" xfId="0" applyNumberFormat="1" applyFont="1" applyFill="1" applyAlignment="1">
      <alignment horizontal="center" vertical="center"/>
    </xf>
    <xf numFmtId="169" fontId="42" fillId="7" borderId="0" xfId="0" applyNumberFormat="1" applyFont="1" applyFill="1"/>
    <xf numFmtId="166" fontId="42" fillId="7" borderId="0" xfId="0" applyNumberFormat="1" applyFont="1" applyFill="1"/>
    <xf numFmtId="167" fontId="42" fillId="7" borderId="0" xfId="0" applyNumberFormat="1" applyFont="1" applyFill="1"/>
    <xf numFmtId="0" fontId="42" fillId="7" borderId="0" xfId="0" applyFont="1" applyFill="1"/>
    <xf numFmtId="0" fontId="39" fillId="7" borderId="2" xfId="0" applyFont="1" applyFill="1" applyBorder="1" applyAlignment="1">
      <alignment horizontal="left" vertical="center" wrapText="1"/>
    </xf>
    <xf numFmtId="0" fontId="39" fillId="7" borderId="21" xfId="0" applyFont="1" applyFill="1" applyBorder="1" applyAlignment="1">
      <alignment horizontal="center" vertical="center" wrapText="1"/>
    </xf>
    <xf numFmtId="169" fontId="39" fillId="7" borderId="21" xfId="4" applyNumberFormat="1" applyFont="1" applyFill="1" applyBorder="1" applyAlignment="1">
      <alignment horizontal="center" vertical="center" wrapText="1"/>
    </xf>
    <xf numFmtId="169" fontId="1" fillId="7" borderId="0" xfId="0" applyNumberFormat="1" applyFont="1" applyFill="1" applyAlignment="1">
      <alignment horizontal="center" vertical="center"/>
    </xf>
    <xf numFmtId="169" fontId="45" fillId="7" borderId="0" xfId="0" applyNumberFormat="1" applyFont="1" applyFill="1" applyAlignment="1">
      <alignment horizontal="center" vertical="center"/>
    </xf>
    <xf numFmtId="0" fontId="39" fillId="7" borderId="1" xfId="0" applyFont="1" applyFill="1" applyBorder="1" applyAlignment="1">
      <alignment horizontal="left" vertical="center" wrapText="1"/>
    </xf>
    <xf numFmtId="0" fontId="39" fillId="7" borderId="1" xfId="0" applyFont="1" applyFill="1" applyBorder="1" applyAlignment="1">
      <alignment horizontal="center" vertical="center" wrapText="1"/>
    </xf>
    <xf numFmtId="2" fontId="39" fillId="7" borderId="1" xfId="4" applyNumberFormat="1" applyFont="1" applyFill="1" applyBorder="1" applyAlignment="1">
      <alignment horizontal="center" vertical="center" wrapText="1"/>
    </xf>
    <xf numFmtId="2" fontId="39" fillId="7" borderId="1" xfId="0" applyNumberFormat="1" applyFont="1" applyFill="1" applyBorder="1" applyAlignment="1">
      <alignment horizontal="center" vertical="center"/>
    </xf>
    <xf numFmtId="2" fontId="39" fillId="7" borderId="1" xfId="0" applyNumberFormat="1" applyFont="1" applyFill="1" applyBorder="1" applyAlignment="1">
      <alignment horizontal="center" vertical="center" wrapText="1"/>
    </xf>
    <xf numFmtId="169" fontId="42" fillId="7" borderId="0" xfId="0" applyNumberFormat="1" applyFont="1" applyFill="1" applyAlignment="1">
      <alignment horizontal="center" vertical="center"/>
    </xf>
    <xf numFmtId="2" fontId="48" fillId="7" borderId="0" xfId="0" applyNumberFormat="1" applyFont="1" applyFill="1" applyAlignment="1">
      <alignment horizontal="center" vertical="center"/>
    </xf>
    <xf numFmtId="0" fontId="42" fillId="7" borderId="0" xfId="0" applyFont="1" applyFill="1" applyAlignment="1">
      <alignment vertical="center"/>
    </xf>
    <xf numFmtId="168" fontId="50"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39" fillId="2" borderId="20" xfId="4"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7" fillId="2" borderId="1" xfId="0" applyFont="1" applyFill="1" applyBorder="1" applyAlignment="1">
      <alignment horizontal="left" wrapText="1"/>
    </xf>
    <xf numFmtId="0" fontId="3" fillId="2" borderId="1" xfId="0" applyNumberFormat="1" applyFont="1" applyFill="1" applyBorder="1" applyAlignment="1">
      <alignment horizontal="left" vertical="center" wrapText="1"/>
    </xf>
    <xf numFmtId="0" fontId="21" fillId="2" borderId="2"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top" wrapText="1"/>
    </xf>
    <xf numFmtId="0" fontId="8" fillId="2" borderId="1" xfId="0" applyNumberFormat="1" applyFont="1" applyFill="1" applyBorder="1" applyAlignment="1">
      <alignment horizontal="center" vertical="center" wrapText="1"/>
    </xf>
    <xf numFmtId="0" fontId="21" fillId="2" borderId="2"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xf>
    <xf numFmtId="0" fontId="6" fillId="2" borderId="0" xfId="0" applyNumberFormat="1" applyFont="1" applyFill="1" applyAlignment="1">
      <alignment horizontal="center" vertical="top" wrapText="1"/>
    </xf>
    <xf numFmtId="0" fontId="21" fillId="2" borderId="2" xfId="0" applyNumberFormat="1" applyFont="1" applyFill="1" applyBorder="1" applyAlignment="1">
      <alignment horizontal="center" vertical="center"/>
    </xf>
    <xf numFmtId="0" fontId="21" fillId="2" borderId="1" xfId="0" applyNumberFormat="1" applyFont="1" applyFill="1" applyBorder="1" applyAlignment="1">
      <alignment horizontal="center" vertical="top" wrapText="1"/>
    </xf>
    <xf numFmtId="0" fontId="21" fillId="2" borderId="14" xfId="0" applyNumberFormat="1" applyFont="1" applyFill="1" applyBorder="1" applyAlignment="1">
      <alignment horizontal="center" vertical="center" wrapText="1"/>
    </xf>
    <xf numFmtId="0" fontId="9" fillId="2" borderId="4" xfId="0" applyNumberFormat="1" applyFont="1" applyFill="1" applyBorder="1" applyAlignment="1">
      <alignment vertical="top" wrapText="1"/>
    </xf>
    <xf numFmtId="0" fontId="4"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9" fillId="2" borderId="1" xfId="0" applyNumberFormat="1" applyFont="1" applyFill="1" applyBorder="1" applyAlignment="1">
      <alignment vertical="top" wrapText="1"/>
    </xf>
    <xf numFmtId="0" fontId="21" fillId="2" borderId="1" xfId="0" applyNumberFormat="1" applyFont="1" applyFill="1" applyBorder="1" applyAlignment="1">
      <alignment horizontal="center" vertical="center"/>
    </xf>
    <xf numFmtId="0" fontId="9" fillId="2" borderId="1" xfId="0" applyFont="1" applyFill="1" applyBorder="1" applyAlignment="1">
      <alignment horizontal="left" vertical="top" wrapText="1"/>
    </xf>
    <xf numFmtId="0" fontId="21" fillId="2" borderId="2" xfId="0" applyNumberFormat="1" applyFont="1" applyFill="1" applyBorder="1" applyAlignment="1">
      <alignment vertical="top" wrapText="1"/>
    </xf>
    <xf numFmtId="0" fontId="68" fillId="0" borderId="0" xfId="0" applyNumberFormat="1" applyFont="1" applyFill="1" applyAlignment="1">
      <alignment vertical="top" wrapText="1"/>
    </xf>
    <xf numFmtId="0" fontId="68" fillId="0" borderId="0" xfId="0" applyNumberFormat="1" applyFont="1" applyFill="1" applyAlignment="1">
      <alignment vertical="top"/>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8" fillId="2" borderId="1" xfId="1" applyNumberFormat="1" applyFont="1" applyFill="1" applyBorder="1" applyAlignment="1" applyProtection="1">
      <alignment vertical="top" wrapText="1"/>
      <protection hidden="1"/>
    </xf>
    <xf numFmtId="0" fontId="8" fillId="2" borderId="1" xfId="1" applyNumberFormat="1" applyFont="1" applyFill="1" applyBorder="1" applyAlignment="1" applyProtection="1">
      <alignment vertical="center" wrapText="1"/>
      <protection hidden="1"/>
    </xf>
    <xf numFmtId="168" fontId="68" fillId="0" borderId="0" xfId="0" applyNumberFormat="1" applyFont="1" applyFill="1" applyAlignment="1">
      <alignment vertical="top" wrapText="1"/>
    </xf>
    <xf numFmtId="0" fontId="2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7" xfId="1" applyNumberFormat="1" applyFont="1" applyFill="1" applyBorder="1" applyAlignment="1" applyProtection="1">
      <alignment horizontal="left" vertical="top" wrapText="1"/>
      <protection hidden="1"/>
    </xf>
    <xf numFmtId="0" fontId="8" fillId="2" borderId="13"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166" fontId="8" fillId="2" borderId="13" xfId="4" applyNumberFormat="1" applyFont="1" applyFill="1" applyBorder="1" applyAlignment="1" applyProtection="1">
      <alignment horizontal="center" vertical="center" wrapText="1"/>
      <protection hidden="1"/>
    </xf>
    <xf numFmtId="168" fontId="8" fillId="2" borderId="13" xfId="4" applyNumberFormat="1" applyFont="1" applyFill="1" applyBorder="1" applyAlignment="1" applyProtection="1">
      <alignment horizontal="center" vertical="center" wrapText="1"/>
      <protection hidden="1"/>
    </xf>
    <xf numFmtId="0" fontId="3" fillId="2" borderId="13" xfId="0" applyNumberFormat="1" applyFont="1" applyFill="1" applyBorder="1" applyAlignment="1">
      <alignment vertical="center"/>
    </xf>
    <xf numFmtId="0" fontId="3" fillId="2" borderId="14" xfId="0" applyNumberFormat="1" applyFont="1" applyFill="1" applyBorder="1" applyAlignment="1">
      <alignment vertical="center"/>
    </xf>
    <xf numFmtId="0" fontId="33" fillId="2" borderId="1" xfId="0" applyFont="1" applyFill="1" applyBorder="1" applyAlignment="1">
      <alignment horizontal="left" vertical="top" wrapText="1"/>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vertical="top" wrapText="1"/>
    </xf>
    <xf numFmtId="4" fontId="21" fillId="0" borderId="1" xfId="4" applyNumberFormat="1" applyFont="1" applyFill="1" applyBorder="1" applyAlignment="1">
      <alignment horizontal="center" vertical="center" wrapText="1"/>
    </xf>
    <xf numFmtId="168" fontId="21" fillId="0" borderId="1" xfId="4" applyNumberFormat="1" applyFont="1" applyFill="1" applyBorder="1" applyAlignment="1">
      <alignment horizontal="center" vertical="center" wrapText="1"/>
    </xf>
    <xf numFmtId="168" fontId="21" fillId="0" borderId="2" xfId="4" applyNumberFormat="1" applyFont="1" applyFill="1" applyBorder="1" applyAlignment="1">
      <alignment horizontal="center" vertical="center" wrapText="1"/>
    </xf>
    <xf numFmtId="4" fontId="21" fillId="0" borderId="2" xfId="4" applyNumberFormat="1" applyFont="1" applyFill="1" applyBorder="1" applyAlignment="1">
      <alignment horizontal="center" vertical="center" wrapText="1"/>
    </xf>
    <xf numFmtId="176" fontId="21" fillId="0" borderId="2" xfId="4" applyNumberFormat="1" applyFont="1" applyFill="1" applyBorder="1" applyAlignment="1">
      <alignment horizontal="center" vertical="center" wrapText="1"/>
    </xf>
    <xf numFmtId="168" fontId="9" fillId="0" borderId="4" xfId="4" applyNumberFormat="1" applyFont="1" applyFill="1" applyBorder="1" applyAlignment="1">
      <alignment horizontal="center" vertical="center" wrapText="1"/>
    </xf>
    <xf numFmtId="168" fontId="21" fillId="0" borderId="4" xfId="4" applyNumberFormat="1" applyFont="1" applyFill="1" applyBorder="1" applyAlignment="1">
      <alignment horizontal="center" vertical="center" wrapText="1"/>
    </xf>
    <xf numFmtId="4" fontId="9" fillId="0" borderId="1" xfId="4" applyNumberFormat="1" applyFont="1" applyFill="1" applyBorder="1" applyAlignment="1">
      <alignment horizontal="center" vertical="center" wrapText="1"/>
    </xf>
    <xf numFmtId="168" fontId="21" fillId="0" borderId="1" xfId="4" applyNumberFormat="1" applyFont="1" applyFill="1" applyBorder="1" applyAlignment="1">
      <alignment horizontal="center" vertical="center"/>
    </xf>
    <xf numFmtId="4" fontId="21" fillId="0" borderId="1" xfId="4" applyNumberFormat="1" applyFont="1" applyFill="1" applyBorder="1" applyAlignment="1">
      <alignment horizontal="center" vertical="center"/>
    </xf>
    <xf numFmtId="168" fontId="21" fillId="0" borderId="2" xfId="4" applyNumberFormat="1" applyFont="1" applyFill="1" applyBorder="1" applyAlignment="1">
      <alignment horizontal="center" vertical="center"/>
    </xf>
    <xf numFmtId="168" fontId="4" fillId="0" borderId="1" xfId="4" applyNumberFormat="1" applyFont="1" applyFill="1" applyBorder="1" applyAlignment="1">
      <alignment horizontal="center" vertical="center"/>
    </xf>
    <xf numFmtId="168" fontId="29" fillId="0" borderId="2" xfId="4" applyNumberFormat="1" applyFont="1" applyFill="1" applyBorder="1" applyAlignment="1">
      <alignment horizontal="center" vertical="center"/>
    </xf>
    <xf numFmtId="168" fontId="4" fillId="0" borderId="2" xfId="4" applyNumberFormat="1" applyFont="1" applyFill="1" applyBorder="1" applyAlignment="1">
      <alignment horizontal="center" vertical="center"/>
    </xf>
    <xf numFmtId="168" fontId="4" fillId="0" borderId="1" xfId="4" applyNumberFormat="1" applyFont="1" applyFill="1" applyBorder="1" applyAlignment="1">
      <alignment horizontal="center" vertical="center" wrapText="1"/>
    </xf>
    <xf numFmtId="168" fontId="21" fillId="0" borderId="3" xfId="4" applyNumberFormat="1" applyFont="1" applyFill="1" applyBorder="1" applyAlignment="1">
      <alignment horizontal="center" vertical="center" wrapText="1"/>
    </xf>
    <xf numFmtId="171" fontId="21" fillId="0" borderId="15" xfId="4" applyNumberFormat="1" applyFont="1" applyFill="1" applyBorder="1" applyAlignment="1" applyProtection="1">
      <alignment horizontal="center" vertical="center" wrapText="1"/>
    </xf>
    <xf numFmtId="168" fontId="6" fillId="0" borderId="1" xfId="0" applyNumberFormat="1" applyFont="1" applyFill="1" applyBorder="1" applyAlignment="1">
      <alignment horizontal="center" vertical="center" wrapText="1"/>
    </xf>
    <xf numFmtId="169" fontId="9" fillId="0" borderId="1" xfId="4"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166" fontId="3" fillId="0" borderId="1" xfId="4"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1" fillId="2" borderId="2"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wrapText="1"/>
    </xf>
    <xf numFmtId="0" fontId="21" fillId="2" borderId="4" xfId="0" applyNumberFormat="1" applyFont="1" applyFill="1" applyBorder="1" applyAlignment="1">
      <alignment horizontal="center" vertical="center"/>
    </xf>
    <xf numFmtId="0" fontId="21" fillId="2" borderId="1" xfId="0" applyNumberFormat="1" applyFont="1" applyFill="1" applyBorder="1" applyAlignment="1">
      <alignment vertical="top" wrapText="1"/>
    </xf>
    <xf numFmtId="0" fontId="9" fillId="2" borderId="2"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3" xfId="0" applyNumberFormat="1" applyFont="1" applyFill="1" applyBorder="1" applyAlignment="1">
      <alignment vertical="top" wrapText="1"/>
    </xf>
    <xf numFmtId="179" fontId="16" fillId="0" borderId="0" xfId="0" applyNumberFormat="1" applyFont="1" applyFill="1" applyAlignment="1">
      <alignment vertical="top" wrapText="1"/>
    </xf>
    <xf numFmtId="173" fontId="16" fillId="3" borderId="1" xfId="0" applyNumberFormat="1" applyFont="1" applyFill="1" applyBorder="1" applyAlignment="1">
      <alignment horizontal="center" vertical="center" wrapText="1"/>
    </xf>
    <xf numFmtId="0" fontId="53" fillId="2" borderId="35" xfId="14" applyFont="1" applyFill="1" applyBorder="1" applyAlignment="1">
      <alignment vertical="center" wrapText="1"/>
    </xf>
    <xf numFmtId="167" fontId="50" fillId="2" borderId="0" xfId="0" applyNumberFormat="1" applyFont="1" applyFill="1" applyBorder="1" applyAlignment="1">
      <alignment horizontal="center" vertical="center" wrapText="1"/>
    </xf>
    <xf numFmtId="0" fontId="3"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0" xfId="0" applyFont="1" applyFill="1" applyAlignment="1">
      <alignment horizontal="left" vertical="center"/>
    </xf>
    <xf numFmtId="169" fontId="67" fillId="2" borderId="1" xfId="4" applyNumberFormat="1" applyFont="1" applyFill="1" applyBorder="1" applyAlignment="1">
      <alignment horizontal="center" vertical="center" wrapText="1"/>
    </xf>
    <xf numFmtId="0" fontId="17" fillId="2" borderId="9" xfId="0" applyFont="1" applyFill="1" applyBorder="1" applyAlignment="1">
      <alignment horizontal="left" vertical="center" wrapText="1"/>
    </xf>
    <xf numFmtId="177" fontId="53" fillId="0" borderId="35" xfId="14" applyNumberFormat="1" applyFont="1" applyFill="1" applyBorder="1" applyAlignment="1">
      <alignment vertical="center" wrapText="1"/>
    </xf>
    <xf numFmtId="0" fontId="9"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168" fontId="82" fillId="0" borderId="1" xfId="4" applyNumberFormat="1" applyFont="1" applyFill="1" applyBorder="1" applyAlignment="1">
      <alignment horizontal="center" vertical="center" wrapText="1"/>
    </xf>
    <xf numFmtId="0" fontId="82" fillId="0" borderId="1" xfId="0" applyNumberFormat="1" applyFont="1" applyFill="1" applyBorder="1" applyAlignment="1">
      <alignment vertical="top" wrapText="1"/>
    </xf>
    <xf numFmtId="0" fontId="33" fillId="0" borderId="1" xfId="0" applyNumberFormat="1" applyFont="1" applyFill="1" applyBorder="1" applyAlignment="1">
      <alignment horizontal="center" vertical="center" wrapText="1"/>
    </xf>
    <xf numFmtId="168" fontId="33" fillId="0" borderId="1" xfId="4" applyNumberFormat="1" applyFont="1" applyFill="1" applyBorder="1" applyAlignment="1">
      <alignment horizontal="center" vertical="center" wrapText="1"/>
    </xf>
    <xf numFmtId="4" fontId="33" fillId="0" borderId="1" xfId="4"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168" fontId="83" fillId="2" borderId="1" xfId="4" applyNumberFormat="1" applyFont="1" applyFill="1" applyBorder="1" applyAlignment="1">
      <alignment horizontal="center" vertical="center" wrapText="1"/>
    </xf>
    <xf numFmtId="168" fontId="18" fillId="2" borderId="1" xfId="0" applyNumberFormat="1" applyFont="1" applyFill="1" applyBorder="1" applyAlignment="1">
      <alignment horizontal="center" vertical="center" wrapText="1"/>
    </xf>
    <xf numFmtId="168" fontId="34" fillId="2" borderId="1" xfId="4" applyNumberFormat="1" applyFont="1" applyFill="1" applyBorder="1" applyAlignment="1">
      <alignment horizontal="center" vertical="center" wrapText="1"/>
    </xf>
    <xf numFmtId="168" fontId="28" fillId="0" borderId="18" xfId="0" applyNumberFormat="1" applyFont="1" applyFill="1" applyBorder="1" applyAlignment="1" applyProtection="1">
      <alignment horizontal="center" vertical="center" wrapText="1"/>
    </xf>
    <xf numFmtId="168" fontId="33" fillId="2" borderId="1" xfId="4"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9"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168" fontId="28" fillId="0" borderId="0" xfId="0" applyNumberFormat="1" applyFont="1" applyFill="1" applyBorder="1" applyAlignment="1" applyProtection="1">
      <alignment horizontal="center" vertical="center" wrapText="1"/>
    </xf>
    <xf numFmtId="176" fontId="9" fillId="2" borderId="1" xfId="4"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21" fillId="2" borderId="2"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9" fillId="2"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21" fillId="2" borderId="2"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168" fontId="3" fillId="2" borderId="2" xfId="4" applyNumberFormat="1" applyFont="1" applyFill="1" applyBorder="1" applyAlignment="1">
      <alignment horizontal="center" vertical="center" wrapText="1"/>
    </xf>
    <xf numFmtId="168" fontId="3" fillId="2" borderId="3" xfId="4" applyNumberFormat="1" applyFont="1" applyFill="1" applyBorder="1" applyAlignment="1">
      <alignment horizontal="center" vertical="center" wrapText="1"/>
    </xf>
    <xf numFmtId="4" fontId="8" fillId="2" borderId="1" xfId="4" applyNumberFormat="1" applyFont="1" applyFill="1" applyBorder="1" applyAlignment="1" applyProtection="1">
      <alignment horizontal="center" vertical="center" wrapText="1"/>
      <protection hidden="1"/>
    </xf>
    <xf numFmtId="176" fontId="8" fillId="2" borderId="1" xfId="4" applyNumberFormat="1" applyFont="1" applyFill="1" applyBorder="1" applyAlignment="1">
      <alignment horizontal="center" vertical="center" wrapText="1"/>
    </xf>
    <xf numFmtId="167" fontId="57" fillId="2" borderId="0" xfId="0" applyNumberFormat="1" applyFont="1" applyFill="1"/>
    <xf numFmtId="4" fontId="0" fillId="2" borderId="0" xfId="0" applyNumberFormat="1" applyFill="1"/>
    <xf numFmtId="169" fontId="58" fillId="2" borderId="27" xfId="13" applyNumberFormat="1" applyFont="1" applyFill="1" applyBorder="1" applyAlignment="1">
      <alignment horizontal="center" vertical="center"/>
    </xf>
    <xf numFmtId="9" fontId="0" fillId="2" borderId="1" xfId="0" applyNumberFormat="1" applyFill="1" applyBorder="1" applyAlignment="1">
      <alignment horizontal="center" vertical="center"/>
    </xf>
    <xf numFmtId="0" fontId="0" fillId="2" borderId="13" xfId="0" applyFill="1" applyBorder="1" applyAlignment="1">
      <alignment horizontal="center" vertical="center"/>
    </xf>
    <xf numFmtId="9" fontId="60" fillId="2" borderId="1" xfId="0" applyNumberFormat="1" applyFont="1" applyFill="1" applyBorder="1" applyAlignment="1">
      <alignment horizontal="center" vertical="center"/>
    </xf>
    <xf numFmtId="0" fontId="60" fillId="2" borderId="1" xfId="0" applyFont="1" applyFill="1" applyBorder="1" applyAlignment="1">
      <alignment horizontal="center" vertical="center"/>
    </xf>
    <xf numFmtId="0" fontId="56" fillId="2" borderId="0" xfId="0" applyFont="1" applyFill="1" applyAlignment="1">
      <alignment horizontal="center"/>
    </xf>
    <xf numFmtId="0" fontId="53" fillId="2" borderId="1" xfId="14" applyFont="1" applyFill="1" applyBorder="1" applyAlignment="1">
      <alignment vertical="center" wrapText="1"/>
    </xf>
    <xf numFmtId="167" fontId="86" fillId="2" borderId="1" xfId="0" applyNumberFormat="1" applyFont="1" applyFill="1" applyBorder="1" applyAlignment="1">
      <alignment horizontal="center" vertical="center" wrapText="1"/>
    </xf>
    <xf numFmtId="0" fontId="36" fillId="0" borderId="1" xfId="0" applyFont="1" applyBorder="1" applyAlignment="1">
      <alignment vertical="center" wrapText="1"/>
    </xf>
    <xf numFmtId="0" fontId="85" fillId="0" borderId="1" xfId="14" applyFont="1" applyFill="1" applyBorder="1" applyAlignment="1">
      <alignment vertical="center" wrapText="1"/>
    </xf>
    <xf numFmtId="0" fontId="50" fillId="0" borderId="1" xfId="0" applyFont="1" applyFill="1" applyBorder="1" applyAlignment="1">
      <alignment vertical="center" wrapText="1"/>
    </xf>
    <xf numFmtId="0" fontId="53" fillId="0" borderId="1" xfId="14" applyFont="1" applyFill="1" applyBorder="1" applyAlignment="1">
      <alignment vertical="center" wrapText="1"/>
    </xf>
    <xf numFmtId="0" fontId="50" fillId="2" borderId="1" xfId="0" applyFont="1" applyFill="1" applyBorder="1" applyAlignment="1">
      <alignment vertical="center" wrapText="1"/>
    </xf>
    <xf numFmtId="0" fontId="81" fillId="0" borderId="1" xfId="14" applyFont="1" applyFill="1" applyBorder="1" applyAlignment="1">
      <alignment vertical="center" wrapText="1"/>
    </xf>
    <xf numFmtId="4" fontId="50" fillId="0" borderId="1" xfId="0" applyNumberFormat="1" applyFont="1" applyFill="1" applyBorder="1" applyAlignment="1">
      <alignment vertical="center" wrapText="1"/>
    </xf>
    <xf numFmtId="168" fontId="50" fillId="0" borderId="1" xfId="0" applyNumberFormat="1" applyFont="1" applyFill="1" applyBorder="1" applyAlignment="1">
      <alignment horizontal="center" vertical="center" wrapText="1"/>
    </xf>
    <xf numFmtId="4" fontId="53" fillId="0" borderId="1" xfId="14" applyNumberFormat="1" applyFont="1" applyFill="1" applyBorder="1" applyAlignment="1">
      <alignment vertical="center" wrapText="1"/>
    </xf>
    <xf numFmtId="4" fontId="53" fillId="2" borderId="1" xfId="14" applyNumberFormat="1" applyFont="1" applyFill="1" applyBorder="1" applyAlignment="1">
      <alignment vertical="center" wrapText="1"/>
    </xf>
    <xf numFmtId="4" fontId="50" fillId="2" borderId="1" xfId="0" applyNumberFormat="1" applyFont="1" applyFill="1" applyBorder="1" applyAlignment="1">
      <alignment vertical="center" wrapText="1"/>
    </xf>
    <xf numFmtId="0" fontId="17" fillId="0" borderId="1" xfId="0" applyFont="1" applyBorder="1" applyAlignment="1">
      <alignment vertical="center" wrapText="1"/>
    </xf>
    <xf numFmtId="4" fontId="17" fillId="0" borderId="1" xfId="0" applyNumberFormat="1" applyFont="1" applyBorder="1" applyAlignment="1">
      <alignment horizontal="center" vertical="center" wrapText="1"/>
    </xf>
    <xf numFmtId="168" fontId="17" fillId="2" borderId="22" xfId="0" applyNumberFormat="1" applyFont="1" applyFill="1" applyBorder="1" applyAlignment="1">
      <alignment horizontal="center" vertical="center" wrapText="1"/>
    </xf>
    <xf numFmtId="168" fontId="17" fillId="2" borderId="1" xfId="0" applyNumberFormat="1" applyFont="1" applyFill="1" applyBorder="1" applyAlignment="1">
      <alignment horizontal="center" vertical="center" wrapText="1"/>
    </xf>
    <xf numFmtId="168" fontId="17" fillId="0" borderId="1" xfId="0" applyNumberFormat="1" applyFont="1" applyBorder="1" applyAlignment="1">
      <alignment horizontal="center" vertical="center" wrapText="1"/>
    </xf>
    <xf numFmtId="168" fontId="17" fillId="2" borderId="25" xfId="0" applyNumberFormat="1" applyFont="1" applyFill="1" applyBorder="1" applyAlignment="1">
      <alignment horizontal="center" vertical="center" wrapText="1"/>
    </xf>
    <xf numFmtId="168" fontId="17" fillId="0" borderId="25" xfId="0" applyNumberFormat="1" applyFont="1" applyBorder="1" applyAlignment="1">
      <alignment horizontal="center" vertical="center" wrapText="1"/>
    </xf>
    <xf numFmtId="0" fontId="53" fillId="0" borderId="35" xfId="14" applyFont="1" applyFill="1" applyBorder="1" applyAlignment="1">
      <alignment vertical="center" wrapText="1"/>
    </xf>
    <xf numFmtId="167" fontId="50" fillId="2" borderId="2" xfId="0" applyNumberFormat="1" applyFont="1" applyFill="1" applyBorder="1" applyAlignment="1">
      <alignment horizontal="center" vertical="center" wrapText="1"/>
    </xf>
    <xf numFmtId="167" fontId="50" fillId="0" borderId="2"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168" fontId="21" fillId="2" borderId="1" xfId="0" applyNumberFormat="1" applyFont="1" applyFill="1" applyBorder="1" applyAlignment="1">
      <alignment vertical="top"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176" fontId="8" fillId="2" borderId="1" xfId="4" applyNumberFormat="1" applyFont="1" applyFill="1" applyBorder="1" applyAlignment="1" applyProtection="1">
      <alignment horizontal="center" vertical="center" wrapText="1"/>
      <protection hidden="1"/>
    </xf>
    <xf numFmtId="0" fontId="0" fillId="8" borderId="0" xfId="0" applyFill="1"/>
    <xf numFmtId="0" fontId="39" fillId="8" borderId="0" xfId="0" applyFont="1" applyFill="1" applyAlignment="1">
      <alignment vertical="center"/>
    </xf>
    <xf numFmtId="0" fontId="39" fillId="8" borderId="0" xfId="0" applyFont="1" applyFill="1"/>
    <xf numFmtId="0" fontId="39" fillId="8" borderId="2" xfId="0" applyFont="1" applyFill="1" applyBorder="1" applyAlignment="1">
      <alignment horizontal="center" vertical="center" wrapText="1"/>
    </xf>
    <xf numFmtId="0" fontId="39" fillId="8" borderId="1" xfId="0" applyFont="1" applyFill="1" applyBorder="1" applyAlignment="1">
      <alignment horizontal="center" vertical="center" wrapText="1"/>
    </xf>
    <xf numFmtId="2" fontId="39" fillId="8" borderId="2" xfId="0" applyNumberFormat="1" applyFont="1" applyFill="1" applyBorder="1" applyAlignment="1">
      <alignment horizontal="center" vertical="center" wrapText="1"/>
    </xf>
    <xf numFmtId="2" fontId="39" fillId="8" borderId="14" xfId="0" applyNumberFormat="1" applyFont="1" applyFill="1" applyBorder="1" applyAlignment="1">
      <alignment horizontal="center" vertical="center" wrapText="1"/>
    </xf>
    <xf numFmtId="2" fontId="39" fillId="8" borderId="1" xfId="0" applyNumberFormat="1" applyFont="1" applyFill="1" applyBorder="1" applyAlignment="1">
      <alignment horizontal="center" vertical="center" wrapText="1"/>
    </xf>
    <xf numFmtId="2" fontId="39" fillId="8" borderId="9" xfId="0" applyNumberFormat="1" applyFont="1" applyFill="1" applyBorder="1" applyAlignment="1">
      <alignment horizontal="center" vertical="center" wrapText="1"/>
    </xf>
    <xf numFmtId="169" fontId="39" fillId="8" borderId="19" xfId="4" applyNumberFormat="1" applyFont="1" applyFill="1" applyBorder="1" applyAlignment="1">
      <alignment horizontal="center" vertical="center" wrapText="1"/>
    </xf>
    <xf numFmtId="169" fontId="67" fillId="8" borderId="20" xfId="4" applyNumberFormat="1" applyFont="1" applyFill="1" applyBorder="1" applyAlignment="1">
      <alignment horizontal="center" vertical="center" wrapText="1"/>
    </xf>
    <xf numFmtId="169" fontId="39" fillId="8" borderId="20" xfId="4" applyNumberFormat="1" applyFont="1" applyFill="1" applyBorder="1" applyAlignment="1">
      <alignment horizontal="center" vertical="center" wrapText="1"/>
    </xf>
    <xf numFmtId="169" fontId="39" fillId="8" borderId="18" xfId="4" applyNumberFormat="1" applyFont="1" applyFill="1" applyBorder="1" applyAlignment="1">
      <alignment horizontal="center" vertical="center" wrapText="1"/>
    </xf>
    <xf numFmtId="173" fontId="39" fillId="8" borderId="20" xfId="4" applyNumberFormat="1" applyFont="1" applyFill="1" applyBorder="1" applyAlignment="1">
      <alignment horizontal="center" vertical="center" wrapText="1"/>
    </xf>
    <xf numFmtId="2" fontId="39" fillId="8" borderId="20" xfId="4" applyNumberFormat="1" applyFont="1" applyFill="1" applyBorder="1" applyAlignment="1">
      <alignment horizontal="center" vertical="center" wrapText="1"/>
    </xf>
    <xf numFmtId="2" fontId="39" fillId="8" borderId="3" xfId="4" applyNumberFormat="1" applyFont="1" applyFill="1" applyBorder="1" applyAlignment="1">
      <alignment horizontal="center" vertical="center" wrapText="1"/>
    </xf>
    <xf numFmtId="2" fontId="39" fillId="8" borderId="1" xfId="4" applyNumberFormat="1" applyFont="1" applyFill="1" applyBorder="1" applyAlignment="1">
      <alignment horizontal="center" vertical="center" wrapText="1"/>
    </xf>
    <xf numFmtId="4" fontId="39" fillId="8" borderId="20" xfId="4" applyNumberFormat="1" applyFont="1" applyFill="1" applyBorder="1" applyAlignment="1">
      <alignment horizontal="center" vertical="center" wrapText="1"/>
    </xf>
    <xf numFmtId="169" fontId="67" fillId="8" borderId="18" xfId="4" applyNumberFormat="1" applyFont="1" applyFill="1" applyBorder="1" applyAlignment="1">
      <alignment horizontal="center" vertical="center" wrapText="1"/>
    </xf>
    <xf numFmtId="169" fontId="39" fillId="8" borderId="3" xfId="4" applyNumberFormat="1" applyFont="1" applyFill="1" applyBorder="1" applyAlignment="1">
      <alignment horizontal="center" vertical="center" wrapText="1"/>
    </xf>
    <xf numFmtId="169" fontId="39" fillId="8" borderId="1" xfId="4" applyNumberFormat="1" applyFont="1" applyFill="1" applyBorder="1" applyAlignment="1">
      <alignment horizontal="center" vertical="center" wrapText="1"/>
    </xf>
    <xf numFmtId="174" fontId="39" fillId="8" borderId="1" xfId="12" applyNumberFormat="1" applyFont="1" applyFill="1" applyBorder="1" applyAlignment="1">
      <alignment horizontal="center" vertical="center" wrapText="1"/>
    </xf>
    <xf numFmtId="169" fontId="39" fillId="8" borderId="1" xfId="12" applyNumberFormat="1" applyFont="1" applyFill="1" applyBorder="1" applyAlignment="1">
      <alignment horizontal="center" vertical="center" wrapText="1"/>
    </xf>
    <xf numFmtId="169" fontId="39" fillId="8" borderId="1" xfId="0" applyNumberFormat="1" applyFont="1" applyFill="1" applyBorder="1" applyAlignment="1">
      <alignment horizontal="center" vertical="center" wrapText="1"/>
    </xf>
    <xf numFmtId="169" fontId="39" fillId="8" borderId="4" xfId="4" applyNumberFormat="1" applyFont="1" applyFill="1" applyBorder="1" applyAlignment="1">
      <alignment horizontal="center" vertical="center" wrapText="1"/>
    </xf>
    <xf numFmtId="169" fontId="39" fillId="8" borderId="21" xfId="4" applyNumberFormat="1" applyFont="1" applyFill="1" applyBorder="1" applyAlignment="1">
      <alignment horizontal="center" vertical="center" wrapText="1"/>
    </xf>
    <xf numFmtId="2" fontId="39" fillId="8" borderId="4" xfId="4" applyNumberFormat="1" applyFont="1" applyFill="1" applyBorder="1" applyAlignment="1">
      <alignment horizontal="center" vertical="center" wrapText="1"/>
    </xf>
    <xf numFmtId="166" fontId="40" fillId="8" borderId="0" xfId="4" applyNumberFormat="1" applyFont="1" applyFill="1" applyBorder="1" applyAlignment="1">
      <alignment horizontal="center" vertical="center" wrapText="1"/>
    </xf>
    <xf numFmtId="0" fontId="39" fillId="8" borderId="0" xfId="0" applyFont="1" applyFill="1" applyAlignment="1">
      <alignment horizontal="left" vertical="center"/>
    </xf>
    <xf numFmtId="169" fontId="0" fillId="8" borderId="0" xfId="0" applyNumberFormat="1" applyFill="1"/>
    <xf numFmtId="167" fontId="0" fillId="8" borderId="0" xfId="0" applyNumberFormat="1" applyFill="1"/>
    <xf numFmtId="0" fontId="0" fillId="8" borderId="1" xfId="0" applyFill="1" applyBorder="1"/>
    <xf numFmtId="166" fontId="0" fillId="8" borderId="1" xfId="0" applyNumberFormat="1" applyFill="1" applyBorder="1"/>
    <xf numFmtId="4" fontId="8" fillId="2" borderId="1" xfId="4" applyNumberFormat="1" applyFont="1" applyFill="1" applyBorder="1" applyAlignment="1">
      <alignment horizontal="center" vertical="center" wrapText="1"/>
    </xf>
    <xf numFmtId="176" fontId="8" fillId="2" borderId="4" xfId="4" applyNumberFormat="1" applyFont="1" applyFill="1" applyBorder="1" applyAlignment="1" applyProtection="1">
      <alignment horizontal="center" vertical="center" wrapText="1"/>
      <protection hidden="1"/>
    </xf>
    <xf numFmtId="4" fontId="8" fillId="2" borderId="4" xfId="4" applyNumberFormat="1" applyFont="1" applyFill="1" applyBorder="1" applyAlignment="1">
      <alignment horizontal="center" vertical="center" wrapText="1"/>
    </xf>
    <xf numFmtId="0" fontId="35" fillId="2" borderId="0" xfId="0" applyFont="1" applyFill="1" applyBorder="1" applyAlignment="1">
      <alignment vertical="center" wrapText="1"/>
    </xf>
    <xf numFmtId="0" fontId="35" fillId="2" borderId="1" xfId="0" applyFont="1" applyFill="1" applyBorder="1" applyAlignment="1">
      <alignment vertical="center" wrapText="1"/>
    </xf>
    <xf numFmtId="0" fontId="3" fillId="2" borderId="1" xfId="0" applyFont="1" applyFill="1" applyBorder="1" applyAlignment="1">
      <alignment vertical="center" wrapText="1"/>
    </xf>
    <xf numFmtId="4" fontId="21" fillId="2" borderId="1" xfId="0" applyNumberFormat="1" applyFont="1" applyFill="1" applyBorder="1" applyAlignment="1">
      <alignment horizontal="center" vertical="center" wrapText="1"/>
    </xf>
    <xf numFmtId="0" fontId="51" fillId="9" borderId="1" xfId="0" applyFont="1" applyFill="1" applyBorder="1" applyAlignment="1">
      <alignment horizontal="center" vertical="center" wrapText="1"/>
    </xf>
    <xf numFmtId="168" fontId="50" fillId="9" borderId="1" xfId="0" applyNumberFormat="1" applyFont="1" applyFill="1" applyBorder="1" applyAlignment="1">
      <alignment horizontal="center" vertical="center" wrapText="1"/>
    </xf>
    <xf numFmtId="167" fontId="50" fillId="9" borderId="1" xfId="0" applyNumberFormat="1" applyFont="1" applyFill="1" applyBorder="1" applyAlignment="1">
      <alignment horizontal="center" vertical="center" wrapText="1"/>
    </xf>
    <xf numFmtId="167" fontId="86" fillId="9" borderId="1" xfId="0" applyNumberFormat="1" applyFont="1" applyFill="1" applyBorder="1" applyAlignment="1">
      <alignment horizontal="center" vertical="center" wrapText="1"/>
    </xf>
    <xf numFmtId="167" fontId="50" fillId="9" borderId="0" xfId="0" applyNumberFormat="1" applyFont="1" applyFill="1" applyBorder="1" applyAlignment="1">
      <alignment horizontal="center" vertical="center" wrapText="1"/>
    </xf>
    <xf numFmtId="167" fontId="50" fillId="9" borderId="32" xfId="0" applyNumberFormat="1" applyFont="1" applyFill="1" applyBorder="1" applyAlignment="1">
      <alignment horizontal="center" vertical="center" wrapText="1"/>
    </xf>
    <xf numFmtId="0" fontId="0" fillId="9" borderId="1" xfId="0" applyFill="1" applyBorder="1"/>
    <xf numFmtId="168" fontId="3" fillId="9" borderId="2" xfId="4" applyNumberFormat="1" applyFont="1" applyFill="1" applyBorder="1" applyAlignment="1">
      <alignment horizontal="center" vertical="center" wrapText="1"/>
    </xf>
    <xf numFmtId="167" fontId="50" fillId="9" borderId="2" xfId="0" applyNumberFormat="1" applyFont="1" applyFill="1" applyBorder="1" applyAlignment="1">
      <alignment horizontal="center" vertical="center" wrapText="1"/>
    </xf>
    <xf numFmtId="168" fontId="3" fillId="9" borderId="1" xfId="4" applyNumberFormat="1" applyFont="1" applyFill="1" applyBorder="1" applyAlignment="1">
      <alignment horizontal="center" vertical="center" wrapText="1"/>
    </xf>
    <xf numFmtId="167" fontId="50" fillId="9" borderId="4" xfId="0" applyNumberFormat="1" applyFont="1" applyFill="1" applyBorder="1" applyAlignment="1">
      <alignment horizontal="center" vertical="center" wrapText="1"/>
    </xf>
    <xf numFmtId="0" fontId="0" fillId="9" borderId="12" xfId="0" applyFill="1" applyBorder="1"/>
    <xf numFmtId="168" fontId="17" fillId="9" borderId="22" xfId="0" applyNumberFormat="1" applyFont="1" applyFill="1" applyBorder="1" applyAlignment="1">
      <alignment horizontal="center" vertical="center" wrapText="1"/>
    </xf>
    <xf numFmtId="168" fontId="17" fillId="9" borderId="1" xfId="0" applyNumberFormat="1" applyFont="1" applyFill="1" applyBorder="1" applyAlignment="1">
      <alignment horizontal="center" vertical="center" wrapText="1"/>
    </xf>
    <xf numFmtId="168" fontId="17" fillId="9" borderId="25" xfId="0" applyNumberFormat="1" applyFont="1" applyFill="1" applyBorder="1" applyAlignment="1">
      <alignment horizontal="center" vertical="center" wrapText="1"/>
    </xf>
    <xf numFmtId="167" fontId="0" fillId="9" borderId="0" xfId="0" applyNumberFormat="1" applyFill="1"/>
    <xf numFmtId="0" fontId="0" fillId="9" borderId="0" xfId="0" applyFill="1"/>
    <xf numFmtId="167" fontId="57" fillId="9" borderId="0" xfId="0" applyNumberFormat="1" applyFont="1" applyFill="1"/>
    <xf numFmtId="0" fontId="0" fillId="9" borderId="0" xfId="0" applyFill="1" applyAlignment="1">
      <alignment horizontal="center" vertical="center"/>
    </xf>
    <xf numFmtId="169" fontId="58" fillId="9" borderId="29" xfId="13" applyNumberFormat="1" applyFont="1" applyFill="1" applyBorder="1" applyAlignment="1">
      <alignment horizontal="center" vertical="center"/>
    </xf>
    <xf numFmtId="169" fontId="58" fillId="9" borderId="3" xfId="13" applyNumberFormat="1" applyFont="1" applyFill="1" applyBorder="1" applyAlignment="1">
      <alignment horizontal="center" vertical="center"/>
    </xf>
    <xf numFmtId="173" fontId="0" fillId="9" borderId="0" xfId="0" applyNumberFormat="1" applyFill="1" applyAlignment="1">
      <alignment horizontal="center" vertical="center"/>
    </xf>
    <xf numFmtId="165" fontId="57" fillId="9" borderId="0" xfId="0" applyNumberFormat="1" applyFont="1" applyFill="1" applyAlignment="1">
      <alignment horizontal="center" vertical="center"/>
    </xf>
    <xf numFmtId="165" fontId="59" fillId="9" borderId="0" xfId="0" applyNumberFormat="1" applyFont="1" applyFill="1" applyAlignment="1">
      <alignment horizontal="center" vertical="center"/>
    </xf>
    <xf numFmtId="165" fontId="57" fillId="9" borderId="1" xfId="0" applyNumberFormat="1" applyFont="1" applyFill="1" applyBorder="1" applyAlignment="1">
      <alignment horizontal="center" vertical="center"/>
    </xf>
    <xf numFmtId="165" fontId="59" fillId="9" borderId="1" xfId="0" applyNumberFormat="1" applyFont="1" applyFill="1" applyBorder="1" applyAlignment="1">
      <alignment horizontal="center" vertical="center"/>
    </xf>
    <xf numFmtId="165" fontId="0" fillId="9" borderId="0" xfId="0" applyNumberFormat="1" applyFill="1"/>
    <xf numFmtId="165" fontId="0" fillId="9" borderId="1" xfId="0" applyNumberFormat="1" applyFill="1" applyBorder="1"/>
    <xf numFmtId="174" fontId="0" fillId="9" borderId="1" xfId="0" applyNumberFormat="1" applyFill="1" applyBorder="1" applyAlignment="1">
      <alignment horizontal="center"/>
    </xf>
    <xf numFmtId="174" fontId="0" fillId="9" borderId="0" xfId="0" applyNumberFormat="1" applyFill="1" applyAlignment="1">
      <alignment horizontal="center" vertical="center"/>
    </xf>
    <xf numFmtId="165" fontId="60" fillId="9" borderId="1" xfId="0" applyNumberFormat="1" applyFont="1" applyFill="1" applyBorder="1"/>
    <xf numFmtId="174" fontId="0" fillId="9" borderId="8" xfId="0" applyNumberFormat="1" applyFill="1" applyBorder="1" applyAlignment="1">
      <alignment horizontal="center" vertical="center"/>
    </xf>
    <xf numFmtId="165" fontId="0" fillId="9" borderId="1" xfId="0" applyNumberFormat="1" applyFill="1" applyBorder="1" applyAlignment="1">
      <alignment horizontal="center" vertical="center"/>
    </xf>
    <xf numFmtId="10" fontId="0" fillId="9" borderId="0" xfId="0" applyNumberFormat="1" applyFill="1" applyAlignment="1">
      <alignment horizontal="center" vertical="center"/>
    </xf>
    <xf numFmtId="174" fontId="0" fillId="9" borderId="0" xfId="0" applyNumberFormat="1" applyFill="1"/>
    <xf numFmtId="0" fontId="61" fillId="9" borderId="1" xfId="0" applyFont="1" applyFill="1" applyBorder="1" applyAlignment="1">
      <alignment horizontal="center" vertical="center" wrapText="1"/>
    </xf>
    <xf numFmtId="165" fontId="0" fillId="9" borderId="4" xfId="0" applyNumberFormat="1" applyFill="1" applyBorder="1" applyAlignment="1">
      <alignment horizontal="center" vertical="center"/>
    </xf>
    <xf numFmtId="169" fontId="0" fillId="9" borderId="1" xfId="0" applyNumberFormat="1" applyFont="1" applyFill="1" applyBorder="1" applyAlignment="1">
      <alignment horizontal="center" vertical="center"/>
    </xf>
    <xf numFmtId="167" fontId="56" fillId="9" borderId="0" xfId="0" applyNumberFormat="1" applyFont="1" applyFill="1" applyAlignment="1">
      <alignment horizontal="center" vertical="center"/>
    </xf>
    <xf numFmtId="0" fontId="21" fillId="2" borderId="2"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31" fillId="2" borderId="1" xfId="0" applyNumberFormat="1" applyFont="1" applyFill="1" applyBorder="1" applyAlignment="1">
      <alignment horizontal="center" vertical="center"/>
    </xf>
    <xf numFmtId="0" fontId="29" fillId="2" borderId="1" xfId="0" applyNumberFormat="1" applyFont="1" applyFill="1" applyBorder="1" applyAlignment="1">
      <alignment horizontal="center" vertical="center"/>
    </xf>
    <xf numFmtId="168" fontId="29" fillId="2" borderId="1" xfId="4" applyNumberFormat="1" applyFont="1" applyFill="1" applyBorder="1" applyAlignment="1">
      <alignment horizontal="center" vertical="center"/>
    </xf>
    <xf numFmtId="0" fontId="21" fillId="2" borderId="2"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16" fillId="2" borderId="0" xfId="0" applyNumberFormat="1" applyFont="1" applyFill="1" applyAlignment="1">
      <alignment vertical="top" wrapText="1"/>
    </xf>
    <xf numFmtId="0" fontId="16" fillId="2" borderId="0" xfId="0" applyNumberFormat="1" applyFont="1" applyFill="1" applyBorder="1" applyAlignment="1">
      <alignment vertical="top" wrapText="1"/>
    </xf>
    <xf numFmtId="0" fontId="19" fillId="2" borderId="0" xfId="0" applyNumberFormat="1" applyFont="1" applyFill="1" applyAlignment="1">
      <alignment vertical="top" wrapText="1"/>
    </xf>
    <xf numFmtId="0" fontId="19" fillId="2" borderId="0" xfId="0" applyNumberFormat="1" applyFont="1" applyFill="1" applyBorder="1" applyAlignment="1">
      <alignment vertical="top"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vertical="top" wrapText="1"/>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21" fillId="2" borderId="0"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7" fillId="2" borderId="4" xfId="0" applyNumberFormat="1" applyFont="1" applyFill="1" applyBorder="1" applyAlignment="1">
      <alignment horizontal="left" vertical="top" wrapText="1"/>
    </xf>
    <xf numFmtId="0" fontId="3" fillId="2" borderId="1" xfId="0" applyNumberFormat="1" applyFont="1" applyFill="1" applyBorder="1" applyAlignment="1">
      <alignment horizontal="left" vertical="top" wrapText="1"/>
    </xf>
    <xf numFmtId="0" fontId="3" fillId="2" borderId="3" xfId="0" applyNumberFormat="1" applyFont="1" applyFill="1" applyBorder="1" applyAlignment="1">
      <alignment horizontal="left" vertical="top" wrapText="1"/>
    </xf>
    <xf numFmtId="0" fontId="3" fillId="2" borderId="4" xfId="0" applyNumberFormat="1" applyFont="1" applyFill="1" applyBorder="1" applyAlignment="1">
      <alignment horizontal="left" vertical="top" wrapText="1"/>
    </xf>
    <xf numFmtId="0" fontId="3" fillId="2" borderId="2" xfId="0" applyNumberFormat="1" applyFont="1" applyFill="1" applyBorder="1" applyAlignment="1">
      <alignment horizontal="center" vertical="top" wrapText="1"/>
    </xf>
    <xf numFmtId="0" fontId="3" fillId="2" borderId="3" xfId="0" applyNumberFormat="1" applyFont="1" applyFill="1" applyBorder="1" applyAlignment="1">
      <alignment horizontal="center" vertical="top" wrapText="1"/>
    </xf>
    <xf numFmtId="0" fontId="17" fillId="2" borderId="3" xfId="0" applyNumberFormat="1"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0" fontId="3" fillId="2" borderId="3" xfId="0" applyNumberFormat="1" applyFont="1" applyFill="1" applyBorder="1" applyAlignment="1">
      <alignment horizontal="center" vertical="center" wrapText="1"/>
    </xf>
    <xf numFmtId="0" fontId="8" fillId="2" borderId="3" xfId="0" applyNumberFormat="1" applyFont="1" applyFill="1" applyBorder="1" applyAlignment="1">
      <alignment horizontal="left" vertical="top" wrapText="1"/>
    </xf>
    <xf numFmtId="0" fontId="8" fillId="2" borderId="4" xfId="0" applyNumberFormat="1" applyFont="1" applyFill="1" applyBorder="1" applyAlignment="1">
      <alignment horizontal="left" vertical="top" wrapText="1"/>
    </xf>
    <xf numFmtId="0" fontId="8" fillId="2" borderId="1" xfId="0" applyNumberFormat="1" applyFont="1" applyFill="1" applyBorder="1" applyAlignment="1">
      <alignment horizontal="left" vertical="top" wrapText="1"/>
    </xf>
    <xf numFmtId="0" fontId="8" fillId="2" borderId="3"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3" fillId="2" borderId="3" xfId="1" applyNumberFormat="1" applyFont="1" applyFill="1" applyBorder="1" applyAlignment="1" applyProtection="1">
      <alignment horizontal="left" vertical="top" wrapText="1"/>
      <protection hidden="1"/>
    </xf>
    <xf numFmtId="0" fontId="6" fillId="2" borderId="0" xfId="0" applyNumberFormat="1" applyFont="1" applyFill="1" applyAlignment="1">
      <alignment horizontal="left" vertical="center" wrapText="1"/>
    </xf>
    <xf numFmtId="0" fontId="8" fillId="2" borderId="13"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3" fillId="2" borderId="2" xfId="0" applyNumberFormat="1" applyFon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6" fillId="2" borderId="0" xfId="0" applyNumberFormat="1" applyFont="1" applyFill="1" applyBorder="1" applyAlignment="1">
      <alignment horizontal="left" vertical="center" wrapText="1"/>
    </xf>
    <xf numFmtId="0" fontId="9" fillId="2" borderId="1" xfId="0" applyNumberFormat="1" applyFont="1" applyFill="1" applyBorder="1" applyAlignment="1">
      <alignment horizontal="left" vertical="top" wrapText="1"/>
    </xf>
    <xf numFmtId="173" fontId="8" fillId="2" borderId="1" xfId="0" applyNumberFormat="1" applyFont="1" applyFill="1" applyBorder="1" applyAlignment="1">
      <alignment horizontal="center" vertical="center" wrapText="1"/>
    </xf>
    <xf numFmtId="168" fontId="58" fillId="2" borderId="0" xfId="0" applyNumberFormat="1" applyFont="1" applyFill="1" applyAlignment="1">
      <alignment horizontal="center" vertical="center" wrapText="1"/>
    </xf>
    <xf numFmtId="168" fontId="58" fillId="2" borderId="1" xfId="0" applyNumberFormat="1" applyFont="1" applyFill="1" applyBorder="1" applyAlignment="1">
      <alignment horizontal="center" vertical="center" wrapText="1"/>
    </xf>
    <xf numFmtId="168" fontId="71" fillId="2" borderId="1" xfId="0" applyNumberFormat="1" applyFont="1" applyFill="1" applyBorder="1" applyAlignment="1" applyProtection="1">
      <alignment horizontal="center" vertical="top"/>
    </xf>
    <xf numFmtId="168" fontId="84" fillId="2" borderId="36" xfId="0" applyNumberFormat="1" applyFont="1" applyFill="1" applyBorder="1" applyAlignment="1" applyProtection="1">
      <alignment horizontal="center" vertical="center"/>
    </xf>
    <xf numFmtId="176" fontId="6" fillId="2" borderId="0" xfId="0" applyNumberFormat="1" applyFont="1" applyFill="1" applyAlignment="1">
      <alignment vertical="center" wrapText="1"/>
    </xf>
    <xf numFmtId="0" fontId="8" fillId="2" borderId="1" xfId="0" applyNumberFormat="1" applyFont="1" applyFill="1" applyBorder="1" applyAlignment="1">
      <alignment horizontal="left" vertical="center" wrapText="1"/>
    </xf>
    <xf numFmtId="168" fontId="9"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top" wrapText="1"/>
    </xf>
    <xf numFmtId="0" fontId="8" fillId="2" borderId="1" xfId="0" applyNumberFormat="1" applyFont="1" applyFill="1" applyBorder="1" applyAlignment="1">
      <alignment horizontal="left" vertical="top" wrapText="1"/>
    </xf>
    <xf numFmtId="0" fontId="8" fillId="2" borderId="1" xfId="0" applyNumberFormat="1"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169" fontId="42" fillId="3" borderId="0" xfId="0" applyNumberFormat="1" applyFont="1" applyFill="1" applyAlignment="1">
      <alignment horizontal="center" vertical="center"/>
    </xf>
    <xf numFmtId="169" fontId="42" fillId="3" borderId="0" xfId="0" applyNumberFormat="1" applyFont="1" applyFill="1"/>
    <xf numFmtId="177" fontId="48" fillId="3" borderId="0" xfId="0" applyNumberFormat="1" applyFont="1" applyFill="1"/>
    <xf numFmtId="169" fontId="48" fillId="3" borderId="0" xfId="0" applyNumberFormat="1" applyFont="1" applyFill="1" applyAlignment="1">
      <alignment vertical="center"/>
    </xf>
    <xf numFmtId="169" fontId="76" fillId="3" borderId="0" xfId="0" applyNumberFormat="1" applyFont="1" applyFill="1" applyAlignment="1">
      <alignment horizontal="center" vertical="center"/>
    </xf>
    <xf numFmtId="0" fontId="8" fillId="2" borderId="13" xfId="0" applyNumberFormat="1" applyFont="1" applyFill="1" applyBorder="1" applyAlignment="1">
      <alignment horizontal="left" vertical="center" wrapText="1"/>
    </xf>
    <xf numFmtId="177" fontId="0" fillId="2" borderId="0" xfId="0" applyNumberFormat="1" applyFill="1"/>
    <xf numFmtId="0" fontId="35" fillId="2" borderId="0" xfId="0" applyFont="1" applyFill="1" applyAlignment="1">
      <alignment horizontal="left" vertical="center" wrapText="1"/>
    </xf>
    <xf numFmtId="0" fontId="35" fillId="2" borderId="0" xfId="0" applyFont="1" applyFill="1" applyAlignment="1">
      <alignment horizontal="center" vertical="center"/>
    </xf>
    <xf numFmtId="0" fontId="35" fillId="2" borderId="0" xfId="0" applyFont="1" applyFill="1" applyAlignment="1">
      <alignment horizontal="center" wrapText="1"/>
    </xf>
    <xf numFmtId="0" fontId="35" fillId="2" borderId="0" xfId="0" applyFont="1" applyFill="1" applyAlignment="1">
      <alignment horizontal="center" vertical="center" wrapText="1"/>
    </xf>
    <xf numFmtId="0" fontId="37" fillId="2" borderId="0" xfId="0" applyFont="1" applyFill="1" applyAlignment="1">
      <alignment horizontal="right" vertical="center"/>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73" fontId="35" fillId="2" borderId="0" xfId="0" applyNumberFormat="1" applyFont="1" applyFill="1" applyBorder="1" applyAlignment="1">
      <alignment horizontal="left"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5" fillId="2" borderId="30" xfId="0" applyFont="1" applyFill="1" applyBorder="1" applyAlignment="1">
      <alignment horizontal="center"/>
    </xf>
    <xf numFmtId="0" fontId="35" fillId="2" borderId="11" xfId="0" applyFont="1" applyFill="1" applyBorder="1" applyAlignment="1">
      <alignment horizont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xf numFmtId="0" fontId="8" fillId="2" borderId="2" xfId="0" applyNumberFormat="1" applyFont="1" applyFill="1" applyBorder="1" applyAlignment="1">
      <alignment horizontal="left" vertical="top" wrapText="1"/>
    </xf>
    <xf numFmtId="0" fontId="8" fillId="2" borderId="3" xfId="0" applyNumberFormat="1" applyFont="1" applyFill="1" applyBorder="1" applyAlignment="1">
      <alignment horizontal="left" vertical="top" wrapText="1"/>
    </xf>
    <xf numFmtId="0" fontId="8" fillId="2" borderId="4" xfId="0" applyNumberFormat="1" applyFont="1" applyFill="1" applyBorder="1" applyAlignment="1">
      <alignment horizontal="left" vertical="top" wrapText="1"/>
    </xf>
    <xf numFmtId="0" fontId="8" fillId="2" borderId="12" xfId="0" applyNumberFormat="1" applyFont="1" applyFill="1" applyBorder="1" applyAlignment="1">
      <alignment horizontal="left" vertical="center" wrapText="1"/>
    </xf>
    <xf numFmtId="0" fontId="8" fillId="2" borderId="13" xfId="0" applyNumberFormat="1" applyFont="1" applyFill="1" applyBorder="1" applyAlignment="1">
      <alignment horizontal="left" vertical="center" wrapText="1"/>
    </xf>
    <xf numFmtId="0" fontId="8" fillId="2" borderId="14"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top" wrapText="1"/>
    </xf>
    <xf numFmtId="0" fontId="3" fillId="2" borderId="3" xfId="0" applyNumberFormat="1" applyFont="1" applyFill="1" applyBorder="1" applyAlignment="1">
      <alignment horizontal="center" vertical="top" wrapText="1"/>
    </xf>
    <xf numFmtId="0" fontId="3" fillId="2" borderId="4" xfId="0" applyNumberFormat="1" applyFont="1" applyFill="1" applyBorder="1" applyAlignment="1">
      <alignment horizontal="center" vertical="top" wrapText="1"/>
    </xf>
    <xf numFmtId="0" fontId="3" fillId="2" borderId="2" xfId="1" applyNumberFormat="1" applyFont="1" applyFill="1" applyBorder="1" applyAlignment="1" applyProtection="1">
      <alignment horizontal="left" vertical="top" wrapText="1"/>
      <protection hidden="1"/>
    </xf>
    <xf numFmtId="0" fontId="3" fillId="2" borderId="3" xfId="1" applyNumberFormat="1" applyFont="1" applyFill="1" applyBorder="1" applyAlignment="1" applyProtection="1">
      <alignment horizontal="left" vertical="top" wrapText="1"/>
      <protection hidden="1"/>
    </xf>
    <xf numFmtId="0" fontId="3" fillId="2" borderId="4" xfId="1" applyNumberFormat="1" applyFont="1" applyFill="1" applyBorder="1" applyAlignment="1" applyProtection="1">
      <alignment horizontal="left" vertical="top" wrapText="1"/>
      <protection hidden="1"/>
    </xf>
    <xf numFmtId="0" fontId="3" fillId="2" borderId="2" xfId="0" applyNumberFormat="1" applyFont="1" applyFill="1" applyBorder="1" applyAlignment="1">
      <alignment horizontal="left" vertical="top" wrapText="1"/>
    </xf>
    <xf numFmtId="0" fontId="3" fillId="2" borderId="3" xfId="0" applyNumberFormat="1" applyFont="1" applyFill="1" applyBorder="1" applyAlignment="1">
      <alignment horizontal="left" vertical="top" wrapText="1"/>
    </xf>
    <xf numFmtId="0" fontId="3" fillId="2" borderId="4" xfId="0" applyNumberFormat="1" applyFont="1" applyFill="1" applyBorder="1" applyAlignment="1">
      <alignment horizontal="left" vertical="top" wrapText="1"/>
    </xf>
    <xf numFmtId="0" fontId="9" fillId="2" borderId="2" xfId="0" applyNumberFormat="1" applyFont="1" applyFill="1" applyBorder="1" applyAlignment="1">
      <alignment horizontal="left" vertical="top" wrapText="1"/>
    </xf>
    <xf numFmtId="0" fontId="9" fillId="2" borderId="3" xfId="0" applyNumberFormat="1" applyFont="1" applyFill="1" applyBorder="1" applyAlignment="1">
      <alignment horizontal="left" vertical="top" wrapText="1"/>
    </xf>
    <xf numFmtId="0" fontId="9" fillId="2" borderId="4" xfId="0" applyNumberFormat="1" applyFont="1" applyFill="1" applyBorder="1" applyAlignment="1">
      <alignment horizontal="left" vertical="top" wrapText="1"/>
    </xf>
    <xf numFmtId="0" fontId="8" fillId="2" borderId="1" xfId="0" applyNumberFormat="1" applyFont="1" applyFill="1" applyBorder="1" applyAlignment="1">
      <alignment horizontal="left" vertical="top" wrapText="1"/>
    </xf>
    <xf numFmtId="0" fontId="17" fillId="2" borderId="2" xfId="0" applyNumberFormat="1" applyFont="1" applyFill="1" applyBorder="1" applyAlignment="1">
      <alignment horizontal="left" vertical="top" wrapText="1"/>
    </xf>
    <xf numFmtId="0" fontId="17" fillId="2" borderId="3" xfId="0" applyNumberFormat="1" applyFont="1" applyFill="1" applyBorder="1" applyAlignment="1">
      <alignment horizontal="left" vertical="top" wrapText="1"/>
    </xf>
    <xf numFmtId="0" fontId="17" fillId="2" borderId="4" xfId="0" applyNumberFormat="1" applyFont="1" applyFill="1" applyBorder="1" applyAlignment="1">
      <alignment horizontal="left" vertical="top" wrapText="1"/>
    </xf>
    <xf numFmtId="0" fontId="6" fillId="2" borderId="0" xfId="0" applyNumberFormat="1" applyFont="1" applyFill="1" applyBorder="1" applyAlignment="1">
      <alignment horizontal="left" vertical="center" wrapText="1"/>
    </xf>
    <xf numFmtId="0" fontId="3" fillId="2" borderId="1" xfId="0" applyNumberFormat="1" applyFont="1" applyFill="1" applyBorder="1" applyAlignment="1">
      <alignment horizontal="left" vertical="top" wrapText="1"/>
    </xf>
    <xf numFmtId="0" fontId="3" fillId="2" borderId="1" xfId="0" applyNumberFormat="1" applyFont="1" applyFill="1" applyBorder="1" applyAlignment="1">
      <alignment horizontal="center" vertical="top" wrapText="1"/>
    </xf>
    <xf numFmtId="0" fontId="3" fillId="2" borderId="1" xfId="1" applyNumberFormat="1" applyFont="1" applyFill="1" applyBorder="1" applyAlignment="1" applyProtection="1">
      <alignment horizontal="left" vertical="top" wrapText="1"/>
      <protection hidden="1"/>
    </xf>
    <xf numFmtId="0" fontId="8" fillId="2" borderId="2" xfId="1" applyNumberFormat="1" applyFont="1" applyFill="1" applyBorder="1" applyAlignment="1" applyProtection="1">
      <alignment horizontal="left" vertical="top" wrapText="1"/>
      <protection hidden="1"/>
    </xf>
    <xf numFmtId="0" fontId="8" fillId="2" borderId="3" xfId="1" applyNumberFormat="1" applyFont="1" applyFill="1" applyBorder="1" applyAlignment="1" applyProtection="1">
      <alignment horizontal="left" vertical="top" wrapText="1"/>
      <protection hidden="1"/>
    </xf>
    <xf numFmtId="0" fontId="3" fillId="2" borderId="12" xfId="0" applyNumberFormat="1" applyFont="1" applyFill="1" applyBorder="1" applyAlignment="1">
      <alignment horizontal="left" vertical="center" wrapText="1"/>
    </xf>
    <xf numFmtId="0" fontId="3" fillId="2" borderId="13" xfId="0" applyNumberFormat="1" applyFont="1" applyFill="1" applyBorder="1" applyAlignment="1">
      <alignment horizontal="left" vertical="center" wrapText="1"/>
    </xf>
    <xf numFmtId="0" fontId="3" fillId="2" borderId="14" xfId="0" applyNumberFormat="1" applyFont="1" applyFill="1" applyBorder="1" applyAlignment="1">
      <alignment horizontal="left" vertical="center" wrapText="1"/>
    </xf>
    <xf numFmtId="0" fontId="6" fillId="2" borderId="0" xfId="0" applyNumberFormat="1" applyFont="1" applyFill="1" applyBorder="1" applyAlignment="1">
      <alignment horizontal="left" vertical="top" wrapText="1"/>
    </xf>
    <xf numFmtId="0" fontId="6" fillId="2" borderId="0" xfId="1" applyNumberFormat="1" applyFont="1" applyFill="1" applyBorder="1" applyAlignment="1" applyProtection="1">
      <alignment horizontal="left" vertical="top" wrapText="1"/>
      <protection hidden="1"/>
    </xf>
    <xf numFmtId="0" fontId="8" fillId="2" borderId="4" xfId="1" applyNumberFormat="1" applyFont="1" applyFill="1" applyBorder="1" applyAlignment="1" applyProtection="1">
      <alignment horizontal="left" vertical="top" wrapText="1"/>
      <protection hidden="1"/>
    </xf>
    <xf numFmtId="0" fontId="3" fillId="2" borderId="3"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3" fillId="2" borderId="6"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6" fillId="2" borderId="0" xfId="0" applyNumberFormat="1" applyFont="1" applyFill="1" applyAlignment="1">
      <alignment horizontal="left" vertical="center" wrapText="1"/>
    </xf>
    <xf numFmtId="0" fontId="13" fillId="2" borderId="0" xfId="0" applyNumberFormat="1" applyFont="1" applyFill="1" applyAlignment="1">
      <alignment horizontal="center" vertical="center" wrapText="1"/>
    </xf>
    <xf numFmtId="0" fontId="11" fillId="2" borderId="2" xfId="0" applyNumberFormat="1" applyFont="1" applyFill="1" applyBorder="1" applyAlignment="1">
      <alignment horizontal="left" vertical="top" wrapText="1"/>
    </xf>
    <xf numFmtId="0" fontId="11" fillId="2" borderId="3" xfId="0" applyNumberFormat="1" applyFont="1" applyFill="1" applyBorder="1" applyAlignment="1">
      <alignment horizontal="left" vertical="top" wrapText="1"/>
    </xf>
    <xf numFmtId="0" fontId="11" fillId="2" borderId="4" xfId="0" applyNumberFormat="1" applyFont="1" applyFill="1" applyBorder="1" applyAlignment="1">
      <alignment horizontal="left" vertical="top" wrapText="1"/>
    </xf>
    <xf numFmtId="0" fontId="3" fillId="2" borderId="8"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21" fillId="2" borderId="2" xfId="0" applyNumberFormat="1" applyFont="1" applyFill="1" applyBorder="1" applyAlignment="1">
      <alignment horizontal="left" vertical="top" wrapText="1"/>
    </xf>
    <xf numFmtId="0" fontId="21" fillId="2" borderId="3" xfId="0" applyNumberFormat="1" applyFont="1" applyFill="1" applyBorder="1" applyAlignment="1">
      <alignment horizontal="left" vertical="top" wrapText="1"/>
    </xf>
    <xf numFmtId="0" fontId="21" fillId="2" borderId="4" xfId="0" applyNumberFormat="1" applyFont="1" applyFill="1" applyBorder="1" applyAlignment="1">
      <alignment horizontal="left" vertical="top" wrapText="1"/>
    </xf>
    <xf numFmtId="0" fontId="17" fillId="2" borderId="2" xfId="0" applyNumberFormat="1" applyFont="1" applyFill="1" applyBorder="1" applyAlignment="1">
      <alignment horizontal="center" vertical="top" wrapText="1"/>
    </xf>
    <xf numFmtId="0" fontId="17" fillId="2" borderId="3" xfId="0" applyNumberFormat="1" applyFont="1" applyFill="1" applyBorder="1" applyAlignment="1">
      <alignment horizontal="center" vertical="top" wrapText="1"/>
    </xf>
    <xf numFmtId="0" fontId="17" fillId="2" borderId="4" xfId="0" applyNumberFormat="1" applyFont="1" applyFill="1" applyBorder="1" applyAlignment="1">
      <alignment horizontal="center" vertical="top" wrapText="1"/>
    </xf>
    <xf numFmtId="0" fontId="21" fillId="2" borderId="1" xfId="0" applyNumberFormat="1" applyFont="1" applyFill="1" applyBorder="1" applyAlignment="1">
      <alignment horizontal="left" vertical="top" wrapText="1"/>
    </xf>
    <xf numFmtId="0" fontId="21" fillId="2" borderId="2"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19" fillId="0" borderId="12" xfId="0" applyNumberFormat="1" applyFont="1" applyFill="1" applyBorder="1" applyAlignment="1">
      <alignment horizontal="center" vertical="center" wrapText="1"/>
    </xf>
    <xf numFmtId="0" fontId="19" fillId="0" borderId="14"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0" fontId="16" fillId="0" borderId="14" xfId="0" applyNumberFormat="1" applyFont="1" applyFill="1" applyBorder="1" applyAlignment="1">
      <alignment horizontal="center" vertical="center" wrapText="1"/>
    </xf>
    <xf numFmtId="168" fontId="16" fillId="0" borderId="12" xfId="0" applyNumberFormat="1" applyFont="1" applyFill="1" applyBorder="1" applyAlignment="1">
      <alignment horizontal="center" vertical="center" wrapText="1"/>
    </xf>
    <xf numFmtId="169" fontId="16" fillId="0" borderId="12" xfId="0" applyNumberFormat="1" applyFont="1" applyFill="1" applyBorder="1" applyAlignment="1">
      <alignment horizontal="center" vertical="center" wrapText="1"/>
    </xf>
    <xf numFmtId="169" fontId="16" fillId="0" borderId="14"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left" vertical="top" wrapText="1"/>
    </xf>
    <xf numFmtId="0" fontId="21" fillId="2" borderId="3" xfId="0" applyNumberFormat="1" applyFont="1" applyFill="1" applyBorder="1" applyAlignment="1">
      <alignment horizontal="center" vertical="center" wrapText="1"/>
    </xf>
    <xf numFmtId="0" fontId="6" fillId="2" borderId="0" xfId="0" applyNumberFormat="1" applyFont="1" applyFill="1" applyAlignment="1">
      <alignment horizontal="left" vertical="top" wrapText="1"/>
    </xf>
    <xf numFmtId="0" fontId="6" fillId="2" borderId="0" xfId="0" applyNumberFormat="1" applyFont="1" applyFill="1" applyAlignment="1">
      <alignment horizontal="center" vertical="top" wrapText="1"/>
    </xf>
    <xf numFmtId="0" fontId="33" fillId="2" borderId="1" xfId="0" applyNumberFormat="1" applyFont="1" applyFill="1" applyBorder="1" applyAlignment="1">
      <alignment horizontal="left" vertical="top" wrapText="1"/>
    </xf>
    <xf numFmtId="0" fontId="21" fillId="2" borderId="1" xfId="0" applyNumberFormat="1" applyFont="1" applyFill="1" applyBorder="1" applyAlignment="1">
      <alignment horizontal="left" vertical="top"/>
    </xf>
    <xf numFmtId="0" fontId="32" fillId="2" borderId="2" xfId="0" applyNumberFormat="1" applyFont="1" applyFill="1" applyBorder="1" applyAlignment="1" applyProtection="1">
      <alignment horizontal="left" vertical="top" wrapText="1"/>
    </xf>
    <xf numFmtId="0" fontId="32" fillId="2" borderId="3" xfId="0" applyNumberFormat="1" applyFont="1" applyFill="1" applyBorder="1" applyAlignment="1" applyProtection="1">
      <alignment horizontal="left" vertical="top" wrapText="1"/>
    </xf>
    <xf numFmtId="0" fontId="32" fillId="2" borderId="4" xfId="0" applyNumberFormat="1" applyFont="1" applyFill="1" applyBorder="1" applyAlignment="1" applyProtection="1">
      <alignment horizontal="left" vertical="top" wrapText="1"/>
    </xf>
    <xf numFmtId="0" fontId="33" fillId="0" borderId="2" xfId="0" applyNumberFormat="1" applyFont="1" applyFill="1" applyBorder="1" applyAlignment="1">
      <alignment horizontal="left" vertical="top" wrapText="1"/>
    </xf>
    <xf numFmtId="0" fontId="33" fillId="0" borderId="3" xfId="0" applyNumberFormat="1" applyFont="1" applyFill="1" applyBorder="1" applyAlignment="1">
      <alignment horizontal="left" vertical="top" wrapText="1"/>
    </xf>
    <xf numFmtId="0" fontId="33" fillId="0" borderId="4" xfId="0"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33" fillId="2" borderId="1" xfId="0" applyNumberFormat="1" applyFont="1" applyFill="1" applyBorder="1" applyAlignment="1">
      <alignment horizontal="center" vertical="center" wrapText="1"/>
    </xf>
    <xf numFmtId="0" fontId="17" fillId="2" borderId="2" xfId="0" applyNumberFormat="1" applyFont="1" applyFill="1" applyBorder="1" applyAlignment="1">
      <alignment horizontal="center" vertical="center" wrapText="1"/>
    </xf>
    <xf numFmtId="0" fontId="17" fillId="2" borderId="3" xfId="0" applyNumberFormat="1" applyFont="1" applyFill="1" applyBorder="1" applyAlignment="1">
      <alignment horizontal="center" vertical="center" wrapText="1"/>
    </xf>
    <xf numFmtId="0" fontId="17" fillId="2" borderId="4"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11" fillId="2" borderId="1" xfId="0" applyFont="1" applyFill="1" applyBorder="1" applyAlignment="1" applyProtection="1">
      <alignment horizontal="left" vertical="top" wrapText="1"/>
    </xf>
    <xf numFmtId="0" fontId="26" fillId="2" borderId="1" xfId="0" applyNumberFormat="1" applyFont="1" applyFill="1" applyBorder="1" applyAlignment="1" applyProtection="1">
      <alignment horizontal="left" vertical="top" wrapText="1"/>
    </xf>
    <xf numFmtId="0" fontId="4" fillId="2" borderId="2" xfId="0" applyNumberFormat="1" applyFont="1" applyFill="1" applyBorder="1" applyAlignment="1">
      <alignment horizontal="left" vertical="top" wrapText="1"/>
    </xf>
    <xf numFmtId="0" fontId="4" fillId="2" borderId="3" xfId="0" applyNumberFormat="1" applyFont="1" applyFill="1" applyBorder="1" applyAlignment="1">
      <alignment horizontal="left" vertical="top" wrapText="1"/>
    </xf>
    <xf numFmtId="0" fontId="4" fillId="2" borderId="4" xfId="0" applyNumberFormat="1" applyFont="1" applyFill="1" applyBorder="1" applyAlignment="1">
      <alignment horizontal="left" vertical="top" wrapText="1"/>
    </xf>
    <xf numFmtId="0" fontId="66" fillId="2" borderId="2" xfId="0" applyFont="1" applyFill="1" applyBorder="1" applyAlignment="1">
      <alignment horizontal="left" vertical="top" wrapText="1"/>
    </xf>
    <xf numFmtId="0" fontId="66" fillId="2" borderId="3" xfId="0" applyFont="1" applyFill="1" applyBorder="1" applyAlignment="1">
      <alignment horizontal="left" vertical="top" wrapText="1"/>
    </xf>
    <xf numFmtId="0" fontId="66" fillId="2" borderId="4" xfId="0" applyFont="1" applyFill="1" applyBorder="1" applyAlignment="1">
      <alignment horizontal="left" vertical="top" wrapText="1"/>
    </xf>
    <xf numFmtId="0" fontId="27" fillId="2" borderId="2" xfId="0" applyFont="1" applyFill="1" applyBorder="1" applyAlignment="1">
      <alignment horizontal="left" vertical="top" wrapText="1"/>
    </xf>
    <xf numFmtId="0" fontId="27" fillId="2" borderId="3" xfId="0" applyFont="1" applyFill="1" applyBorder="1" applyAlignment="1">
      <alignment horizontal="left" vertical="top" wrapText="1"/>
    </xf>
    <xf numFmtId="0" fontId="27" fillId="2" borderId="4" xfId="0" applyFont="1" applyFill="1" applyBorder="1" applyAlignment="1">
      <alignment horizontal="left" vertical="top" wrapText="1"/>
    </xf>
    <xf numFmtId="0" fontId="13" fillId="2" borderId="0" xfId="0" applyNumberFormat="1" applyFont="1" applyFill="1" applyAlignment="1">
      <alignment horizontal="center" vertical="top" wrapText="1"/>
    </xf>
    <xf numFmtId="0" fontId="21" fillId="2" borderId="1" xfId="0" applyNumberFormat="1" applyFont="1" applyFill="1" applyBorder="1" applyAlignment="1">
      <alignment horizontal="center" vertical="top" wrapText="1"/>
    </xf>
    <xf numFmtId="0" fontId="27" fillId="2" borderId="2" xfId="0" applyNumberFormat="1" applyFont="1" applyFill="1" applyBorder="1" applyAlignment="1">
      <alignment horizontal="left" vertical="top" wrapText="1"/>
    </xf>
    <xf numFmtId="0" fontId="27" fillId="2" borderId="3" xfId="0" applyNumberFormat="1" applyFont="1" applyFill="1" applyBorder="1" applyAlignment="1">
      <alignment horizontal="left" vertical="top" wrapText="1"/>
    </xf>
    <xf numFmtId="0" fontId="27" fillId="2" borderId="4" xfId="0" applyNumberFormat="1" applyFont="1" applyFill="1" applyBorder="1" applyAlignment="1">
      <alignment horizontal="left" vertical="top" wrapText="1"/>
    </xf>
    <xf numFmtId="0" fontId="26" fillId="2" borderId="1" xfId="0" applyFont="1" applyFill="1" applyBorder="1" applyAlignment="1" applyProtection="1">
      <alignment horizontal="left" vertical="top" wrapText="1"/>
    </xf>
    <xf numFmtId="0" fontId="27" fillId="2" borderId="1" xfId="0" applyFont="1" applyFill="1" applyBorder="1" applyAlignment="1">
      <alignment horizontal="left" vertical="top" wrapText="1"/>
    </xf>
    <xf numFmtId="0" fontId="25" fillId="2" borderId="1" xfId="0" applyNumberFormat="1" applyFont="1" applyFill="1" applyBorder="1" applyAlignment="1" applyProtection="1">
      <alignment horizontal="left" vertical="top" wrapText="1"/>
    </xf>
    <xf numFmtId="0" fontId="25" fillId="2" borderId="2" xfId="0" applyFont="1" applyFill="1" applyBorder="1" applyAlignment="1" applyProtection="1">
      <alignment vertical="center" wrapText="1"/>
    </xf>
    <xf numFmtId="0" fontId="25" fillId="2" borderId="3" xfId="0" applyFont="1" applyFill="1" applyBorder="1" applyAlignment="1" applyProtection="1">
      <alignment vertical="center" wrapText="1"/>
    </xf>
    <xf numFmtId="0" fontId="25" fillId="2" borderId="4" xfId="0" applyFont="1" applyFill="1" applyBorder="1" applyAlignment="1" applyProtection="1">
      <alignment vertical="center" wrapText="1"/>
    </xf>
    <xf numFmtId="0" fontId="27" fillId="2" borderId="1" xfId="0" applyNumberFormat="1" applyFont="1" applyFill="1" applyBorder="1" applyAlignment="1">
      <alignment horizontal="left" vertical="top" wrapText="1"/>
    </xf>
    <xf numFmtId="0" fontId="16" fillId="0" borderId="0" xfId="0" applyNumberFormat="1" applyFont="1" applyFill="1" applyBorder="1" applyAlignment="1">
      <alignment horizontal="center" vertical="top" wrapText="1"/>
    </xf>
    <xf numFmtId="0" fontId="16" fillId="0" borderId="0" xfId="0" applyNumberFormat="1" applyFont="1" applyFill="1" applyAlignment="1">
      <alignment horizontal="center" vertical="top" wrapText="1"/>
    </xf>
    <xf numFmtId="0" fontId="21" fillId="2" borderId="1" xfId="3" applyNumberFormat="1" applyFont="1" applyFill="1" applyBorder="1" applyAlignment="1">
      <alignment horizontal="left" vertical="top" wrapText="1"/>
    </xf>
    <xf numFmtId="0" fontId="21" fillId="2" borderId="12" xfId="0" applyNumberFormat="1" applyFont="1" applyFill="1" applyBorder="1" applyAlignment="1">
      <alignment horizontal="center" vertical="center" wrapText="1"/>
    </xf>
    <xf numFmtId="0" fontId="21" fillId="2" borderId="13" xfId="0" applyNumberFormat="1" applyFont="1" applyFill="1" applyBorder="1" applyAlignment="1">
      <alignment horizontal="center" vertical="center" wrapText="1"/>
    </xf>
    <xf numFmtId="0" fontId="21" fillId="2" borderId="14" xfId="0" applyNumberFormat="1" applyFont="1" applyFill="1" applyBorder="1" applyAlignment="1">
      <alignment horizontal="center" vertical="center" wrapText="1"/>
    </xf>
    <xf numFmtId="0" fontId="33" fillId="2" borderId="2" xfId="0" applyNumberFormat="1" applyFont="1" applyFill="1" applyBorder="1" applyAlignment="1">
      <alignment horizontal="center" vertical="center" wrapText="1"/>
    </xf>
    <xf numFmtId="0" fontId="33" fillId="2" borderId="3" xfId="0" applyNumberFormat="1" applyFont="1" applyFill="1" applyBorder="1" applyAlignment="1">
      <alignment horizontal="center" vertical="center" wrapText="1"/>
    </xf>
    <xf numFmtId="0" fontId="33" fillId="2" borderId="4" xfId="0" applyNumberFormat="1" applyFont="1" applyFill="1" applyBorder="1" applyAlignment="1">
      <alignment horizontal="center" vertical="center" wrapText="1"/>
    </xf>
    <xf numFmtId="0" fontId="26" fillId="2" borderId="2" xfId="0" applyNumberFormat="1" applyFont="1" applyFill="1" applyBorder="1" applyAlignment="1" applyProtection="1">
      <alignment vertical="top" wrapText="1"/>
    </xf>
    <xf numFmtId="0" fontId="26" fillId="2" borderId="3" xfId="0" applyNumberFormat="1" applyFont="1" applyFill="1" applyBorder="1" applyAlignment="1" applyProtection="1">
      <alignment vertical="top" wrapText="1"/>
    </xf>
    <xf numFmtId="0" fontId="26" fillId="2" borderId="4" xfId="0" applyNumberFormat="1" applyFont="1" applyFill="1" applyBorder="1" applyAlignment="1" applyProtection="1">
      <alignment vertical="top" wrapText="1"/>
    </xf>
    <xf numFmtId="0" fontId="9" fillId="2" borderId="2" xfId="0" applyNumberFormat="1" applyFont="1" applyFill="1" applyBorder="1" applyAlignment="1">
      <alignment vertical="top" wrapText="1"/>
    </xf>
    <xf numFmtId="0" fontId="9" fillId="2" borderId="3" xfId="0" applyNumberFormat="1" applyFont="1" applyFill="1" applyBorder="1" applyAlignment="1">
      <alignment vertical="top" wrapText="1"/>
    </xf>
    <xf numFmtId="0" fontId="9" fillId="2" borderId="4" xfId="0" applyNumberFormat="1" applyFont="1" applyFill="1" applyBorder="1" applyAlignment="1">
      <alignment vertical="top" wrapText="1"/>
    </xf>
    <xf numFmtId="0" fontId="4" fillId="2" borderId="1" xfId="0" applyNumberFormat="1" applyFont="1" applyFill="1" applyBorder="1" applyAlignment="1">
      <alignment horizontal="center" vertical="center" wrapText="1"/>
    </xf>
    <xf numFmtId="0" fontId="21" fillId="2" borderId="1" xfId="0" applyFont="1" applyFill="1" applyBorder="1" applyAlignment="1" applyProtection="1">
      <alignment horizontal="left" vertical="top" wrapText="1"/>
    </xf>
    <xf numFmtId="0" fontId="21" fillId="2" borderId="1" xfId="0" applyNumberFormat="1" applyFont="1" applyFill="1" applyBorder="1" applyAlignment="1" applyProtection="1">
      <alignment horizontal="left" vertical="top" wrapText="1"/>
    </xf>
    <xf numFmtId="0" fontId="21" fillId="2" borderId="1" xfId="0" applyFont="1" applyFill="1" applyBorder="1" applyAlignment="1">
      <alignment horizontal="left" vertical="top" wrapText="1"/>
    </xf>
    <xf numFmtId="0" fontId="26" fillId="2"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26" fillId="2" borderId="2" xfId="0" applyNumberFormat="1" applyFont="1" applyFill="1" applyBorder="1" applyAlignment="1">
      <alignment horizontal="left" vertical="top" wrapText="1"/>
    </xf>
    <xf numFmtId="0" fontId="26" fillId="2" borderId="3" xfId="0" applyNumberFormat="1" applyFont="1" applyFill="1" applyBorder="1" applyAlignment="1">
      <alignment horizontal="left" vertical="top" wrapText="1"/>
    </xf>
    <xf numFmtId="0" fontId="26" fillId="2" borderId="4" xfId="0" applyNumberFormat="1" applyFont="1" applyFill="1" applyBorder="1" applyAlignment="1">
      <alignment horizontal="left" vertical="top" wrapText="1"/>
    </xf>
    <xf numFmtId="0" fontId="21" fillId="2" borderId="2" xfId="0" applyNumberFormat="1" applyFont="1" applyFill="1" applyBorder="1" applyAlignment="1">
      <alignment horizontal="center" vertical="top" wrapText="1"/>
    </xf>
    <xf numFmtId="0" fontId="21" fillId="2" borderId="3" xfId="0" applyNumberFormat="1" applyFont="1" applyFill="1" applyBorder="1" applyAlignment="1">
      <alignment horizontal="center" vertical="top" wrapText="1"/>
    </xf>
    <xf numFmtId="0" fontId="21" fillId="2" borderId="4" xfId="0" applyNumberFormat="1" applyFont="1" applyFill="1" applyBorder="1" applyAlignment="1">
      <alignment horizontal="center" vertical="top" wrapText="1"/>
    </xf>
    <xf numFmtId="0" fontId="9" fillId="2" borderId="1" xfId="0" applyNumberFormat="1" applyFont="1" applyFill="1" applyBorder="1" applyAlignment="1">
      <alignment horizontal="left" vertical="top"/>
    </xf>
    <xf numFmtId="0" fontId="21" fillId="2" borderId="1" xfId="0" applyNumberFormat="1" applyFont="1" applyFill="1" applyBorder="1" applyAlignment="1">
      <alignment vertical="top" wrapText="1"/>
    </xf>
    <xf numFmtId="0" fontId="9" fillId="2" borderId="1" xfId="0" applyNumberFormat="1" applyFont="1" applyFill="1" applyBorder="1" applyAlignment="1">
      <alignment vertical="top"/>
    </xf>
    <xf numFmtId="0" fontId="21" fillId="2" borderId="2" xfId="0" applyNumberFormat="1" applyFont="1" applyFill="1" applyBorder="1" applyAlignment="1">
      <alignment horizontal="left" vertical="top"/>
    </xf>
    <xf numFmtId="0" fontId="21" fillId="2" borderId="3" xfId="0" applyNumberFormat="1" applyFont="1" applyFill="1" applyBorder="1" applyAlignment="1">
      <alignment horizontal="left" vertical="top"/>
    </xf>
    <xf numFmtId="0" fontId="21" fillId="2" borderId="4" xfId="0" applyNumberFormat="1" applyFont="1" applyFill="1" applyBorder="1" applyAlignment="1">
      <alignment horizontal="left" vertical="top"/>
    </xf>
    <xf numFmtId="0" fontId="9" fillId="2" borderId="1" xfId="0" applyNumberFormat="1" applyFont="1" applyFill="1" applyBorder="1" applyAlignment="1">
      <alignment vertical="top" wrapText="1"/>
    </xf>
    <xf numFmtId="0" fontId="16" fillId="0" borderId="1" xfId="0" applyNumberFormat="1" applyFont="1" applyFill="1" applyBorder="1" applyAlignment="1">
      <alignment horizontal="center" vertical="center" wrapText="1"/>
    </xf>
    <xf numFmtId="0" fontId="34" fillId="2" borderId="2" xfId="0" applyNumberFormat="1" applyFont="1" applyFill="1" applyBorder="1" applyAlignment="1">
      <alignment horizontal="left" vertical="top" wrapText="1"/>
    </xf>
    <xf numFmtId="0" fontId="34" fillId="2" borderId="3" xfId="0" applyNumberFormat="1" applyFont="1" applyFill="1" applyBorder="1" applyAlignment="1">
      <alignment horizontal="left" vertical="top" wrapText="1"/>
    </xf>
    <xf numFmtId="0" fontId="34" fillId="2" borderId="4" xfId="0" applyNumberFormat="1" applyFont="1" applyFill="1" applyBorder="1" applyAlignment="1">
      <alignment horizontal="left" vertical="top" wrapText="1"/>
    </xf>
    <xf numFmtId="0" fontId="33" fillId="2" borderId="2" xfId="0" applyNumberFormat="1" applyFont="1" applyFill="1" applyBorder="1" applyAlignment="1">
      <alignment horizontal="left" vertical="top" wrapText="1"/>
    </xf>
    <xf numFmtId="0" fontId="33" fillId="2" borderId="4" xfId="0" applyNumberFormat="1" applyFont="1" applyFill="1" applyBorder="1" applyAlignment="1">
      <alignment horizontal="left" vertical="top" wrapText="1"/>
    </xf>
    <xf numFmtId="0" fontId="21" fillId="2" borderId="2" xfId="0" applyNumberFormat="1" applyFont="1" applyFill="1" applyBorder="1" applyAlignment="1">
      <alignment horizontal="center" vertical="center"/>
    </xf>
    <xf numFmtId="0" fontId="21" fillId="2" borderId="3" xfId="0" applyNumberFormat="1" applyFont="1" applyFill="1" applyBorder="1" applyAlignment="1">
      <alignment horizontal="center" vertical="center"/>
    </xf>
    <xf numFmtId="0" fontId="21" fillId="2" borderId="4" xfId="0" applyNumberFormat="1" applyFont="1" applyFill="1" applyBorder="1" applyAlignment="1">
      <alignment horizontal="center" vertical="center"/>
    </xf>
    <xf numFmtId="0" fontId="21" fillId="2" borderId="2" xfId="0" applyNumberFormat="1" applyFont="1" applyFill="1" applyBorder="1" applyAlignment="1">
      <alignment horizontal="left" vertical="center" wrapText="1"/>
    </xf>
    <xf numFmtId="0" fontId="21" fillId="2" borderId="4" xfId="0" applyNumberFormat="1" applyFont="1" applyFill="1" applyBorder="1" applyAlignment="1">
      <alignment horizontal="left" vertical="center" wrapText="1"/>
    </xf>
    <xf numFmtId="0" fontId="21" fillId="2" borderId="2" xfId="0" applyNumberFormat="1" applyFont="1" applyFill="1" applyBorder="1" applyAlignment="1">
      <alignment horizontal="center" vertical="top"/>
    </xf>
    <xf numFmtId="0" fontId="21" fillId="2" borderId="3" xfId="0" applyNumberFormat="1" applyFont="1" applyFill="1" applyBorder="1" applyAlignment="1">
      <alignment horizontal="center" vertical="top"/>
    </xf>
    <xf numFmtId="0" fontId="21" fillId="2" borderId="4" xfId="0" applyNumberFormat="1" applyFont="1" applyFill="1" applyBorder="1" applyAlignment="1">
      <alignment horizontal="center" vertical="top"/>
    </xf>
    <xf numFmtId="0" fontId="21"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0" fontId="21" fillId="2" borderId="9" xfId="0" applyNumberFormat="1" applyFont="1" applyFill="1" applyBorder="1" applyAlignment="1">
      <alignment horizontal="left" vertical="top" wrapText="1"/>
    </xf>
    <xf numFmtId="0" fontId="21" fillId="2" borderId="30" xfId="0" applyNumberFormat="1" applyFont="1" applyFill="1" applyBorder="1" applyAlignment="1">
      <alignment horizontal="left" vertical="top" wrapText="1"/>
    </xf>
    <xf numFmtId="0" fontId="21" fillId="2" borderId="11" xfId="0" applyNumberFormat="1"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6" fillId="2" borderId="0" xfId="0" applyNumberFormat="1" applyFont="1" applyFill="1" applyAlignment="1">
      <alignment horizontal="right" vertical="center" wrapText="1"/>
    </xf>
    <xf numFmtId="0" fontId="21" fillId="0" borderId="1" xfId="0" applyNumberFormat="1" applyFont="1" applyFill="1" applyBorder="1" applyAlignment="1">
      <alignment horizontal="left" vertical="top" wrapText="1"/>
    </xf>
    <xf numFmtId="0" fontId="21" fillId="0" borderId="2" xfId="0" applyNumberFormat="1" applyFont="1" applyFill="1" applyBorder="1" applyAlignment="1">
      <alignment horizontal="left" vertical="top" wrapText="1"/>
    </xf>
    <xf numFmtId="0" fontId="21" fillId="0" borderId="3" xfId="0" applyNumberFormat="1" applyFont="1" applyFill="1" applyBorder="1" applyAlignment="1">
      <alignment horizontal="left" vertical="top" wrapText="1"/>
    </xf>
    <xf numFmtId="0" fontId="21" fillId="0" borderId="4" xfId="0" applyNumberFormat="1" applyFont="1" applyFill="1" applyBorder="1" applyAlignment="1">
      <alignment horizontal="left" vertical="top" wrapText="1"/>
    </xf>
    <xf numFmtId="0" fontId="0" fillId="2" borderId="2" xfId="0" applyFill="1" applyBorder="1"/>
    <xf numFmtId="0" fontId="9" fillId="2" borderId="1" xfId="0" applyFont="1" applyFill="1" applyBorder="1" applyAlignment="1">
      <alignment horizontal="left" vertical="top" wrapText="1"/>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21" fillId="3" borderId="1" xfId="0" applyNumberFormat="1" applyFont="1" applyFill="1" applyBorder="1" applyAlignment="1">
      <alignment horizontal="left" vertical="top" wrapText="1"/>
    </xf>
    <xf numFmtId="0" fontId="21" fillId="0" borderId="1" xfId="0" applyNumberFormat="1" applyFont="1" applyFill="1" applyBorder="1" applyAlignment="1">
      <alignment horizontal="center" vertical="center" wrapText="1"/>
    </xf>
    <xf numFmtId="0" fontId="25" fillId="2" borderId="2" xfId="0" applyFont="1" applyFill="1" applyBorder="1" applyAlignment="1" applyProtection="1">
      <alignment vertical="top" wrapText="1"/>
    </xf>
    <xf numFmtId="0" fontId="25" fillId="2" borderId="3" xfId="0" applyFont="1" applyFill="1" applyBorder="1" applyAlignment="1" applyProtection="1">
      <alignment vertical="top" wrapText="1"/>
    </xf>
    <xf numFmtId="0" fontId="25" fillId="2" borderId="4" xfId="0" applyFont="1" applyFill="1" applyBorder="1" applyAlignment="1" applyProtection="1">
      <alignment vertical="top" wrapText="1"/>
    </xf>
    <xf numFmtId="0" fontId="21" fillId="0" borderId="2" xfId="0" applyNumberFormat="1" applyFont="1" applyFill="1" applyBorder="1" applyAlignment="1">
      <alignment horizontal="center" vertical="center" wrapText="1"/>
    </xf>
    <xf numFmtId="0" fontId="21" fillId="0" borderId="4" xfId="0" applyNumberFormat="1" applyFont="1" applyFill="1" applyBorder="1" applyAlignment="1">
      <alignment horizontal="center" vertical="center" wrapText="1"/>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39" fillId="2" borderId="0" xfId="0" applyFont="1" applyFill="1" applyAlignment="1">
      <alignment horizontal="center" vertical="center" wrapText="1"/>
    </xf>
    <xf numFmtId="0" fontId="40" fillId="2" borderId="0" xfId="0" applyFont="1" applyFill="1" applyBorder="1" applyAlignment="1">
      <alignment horizontal="left" vertical="center"/>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0" xfId="0" applyFont="1" applyFill="1" applyAlignment="1">
      <alignment horizontal="center"/>
    </xf>
    <xf numFmtId="0" fontId="39" fillId="2" borderId="2"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12" xfId="0" applyFont="1" applyFill="1" applyBorder="1" applyAlignment="1">
      <alignment horizontal="left" vertical="center" wrapText="1"/>
    </xf>
    <xf numFmtId="0" fontId="39" fillId="2" borderId="13" xfId="0" applyFont="1" applyFill="1" applyBorder="1" applyAlignment="1">
      <alignment horizontal="left" vertical="center" wrapText="1"/>
    </xf>
    <xf numFmtId="0" fontId="39" fillId="2" borderId="14" xfId="0" applyFont="1" applyFill="1" applyBorder="1" applyAlignment="1">
      <alignment horizontal="left" vertical="center" wrapText="1"/>
    </xf>
    <xf numFmtId="0" fontId="39" fillId="2" borderId="2" xfId="0" applyFont="1" applyFill="1" applyBorder="1" applyAlignment="1">
      <alignment horizontal="left" vertical="top" wrapText="1"/>
    </xf>
    <xf numFmtId="0" fontId="39" fillId="2" borderId="3" xfId="0" applyFont="1" applyFill="1" applyBorder="1" applyAlignment="1">
      <alignment horizontal="left" vertical="top" wrapText="1"/>
    </xf>
    <xf numFmtId="0" fontId="39" fillId="2" borderId="4" xfId="0" applyFont="1" applyFill="1" applyBorder="1" applyAlignment="1">
      <alignment horizontal="left" vertical="top" wrapText="1"/>
    </xf>
    <xf numFmtId="0" fontId="39" fillId="2" borderId="0" xfId="0" applyFont="1" applyFill="1" applyAlignment="1">
      <alignment horizontal="left" vertical="center"/>
    </xf>
    <xf numFmtId="0" fontId="50" fillId="0" borderId="22" xfId="0" applyFont="1" applyFill="1" applyBorder="1" applyAlignment="1">
      <alignment horizontal="center" vertical="center" wrapText="1"/>
    </xf>
    <xf numFmtId="0" fontId="50" fillId="0" borderId="23"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1" fillId="2" borderId="22" xfId="0" applyFont="1" applyFill="1" applyBorder="1" applyAlignment="1">
      <alignment horizontal="center" vertical="center" wrapText="1"/>
    </xf>
    <xf numFmtId="0" fontId="51" fillId="2" borderId="34" xfId="0" applyFont="1" applyFill="1" applyBorder="1" applyAlignment="1">
      <alignment horizontal="center" vertical="center" wrapText="1"/>
    </xf>
    <xf numFmtId="0" fontId="50" fillId="0" borderId="3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54" fillId="0" borderId="35" xfId="14" applyFont="1" applyFill="1" applyBorder="1" applyAlignment="1">
      <alignment horizontal="center" vertical="center" wrapText="1"/>
    </xf>
    <xf numFmtId="0" fontId="55" fillId="0" borderId="0" xfId="14" applyFont="1" applyFill="1" applyBorder="1" applyAlignment="1">
      <alignment horizontal="center" vertical="center" wrapText="1"/>
    </xf>
    <xf numFmtId="0" fontId="55" fillId="0" borderId="32" xfId="14" applyFont="1" applyFill="1" applyBorder="1" applyAlignment="1">
      <alignment horizontal="center" vertical="center" wrapText="1"/>
    </xf>
    <xf numFmtId="0" fontId="56" fillId="2" borderId="8" xfId="0" applyFont="1" applyFill="1" applyBorder="1" applyAlignment="1">
      <alignment horizontal="center" vertical="center"/>
    </xf>
    <xf numFmtId="0" fontId="64" fillId="0" borderId="35"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32" xfId="0" applyFont="1" applyFill="1" applyBorder="1" applyAlignment="1">
      <alignment horizontal="center" vertical="center" wrapText="1"/>
    </xf>
    <xf numFmtId="165" fontId="56" fillId="0" borderId="0" xfId="0" applyNumberFormat="1" applyFont="1" applyAlignment="1">
      <alignment vertical="center"/>
    </xf>
    <xf numFmtId="0" fontId="56" fillId="0" borderId="0" xfId="0" applyFont="1" applyAlignment="1">
      <alignment vertical="center"/>
    </xf>
    <xf numFmtId="0" fontId="56" fillId="0" borderId="0" xfId="0" applyFont="1" applyBorder="1" applyAlignment="1">
      <alignment horizontal="left" vertical="center" wrapText="1"/>
    </xf>
    <xf numFmtId="165" fontId="56" fillId="0" borderId="5" xfId="0" applyNumberFormat="1" applyFont="1" applyBorder="1" applyAlignment="1">
      <alignment vertical="center"/>
    </xf>
    <xf numFmtId="169" fontId="64" fillId="0" borderId="1" xfId="0" applyNumberFormat="1" applyFont="1" applyFill="1" applyBorder="1" applyAlignment="1">
      <alignment horizontal="center" vertical="center" wrapText="1"/>
    </xf>
    <xf numFmtId="0" fontId="64"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169" fontId="64" fillId="0" borderId="2" xfId="0" applyNumberFormat="1" applyFont="1" applyFill="1" applyBorder="1" applyAlignment="1">
      <alignment horizontal="center" vertical="center" wrapText="1"/>
    </xf>
    <xf numFmtId="169" fontId="64" fillId="0" borderId="4" xfId="0" applyNumberFormat="1" applyFont="1" applyFill="1" applyBorder="1" applyAlignment="1">
      <alignment horizontal="center" vertical="center" wrapText="1"/>
    </xf>
    <xf numFmtId="0" fontId="56" fillId="0" borderId="8" xfId="0" applyFont="1" applyBorder="1" applyAlignment="1">
      <alignment horizontal="center" vertical="center"/>
    </xf>
    <xf numFmtId="0" fontId="56" fillId="3" borderId="8" xfId="0" applyFont="1" applyFill="1" applyBorder="1" applyAlignment="1">
      <alignment horizontal="center" vertical="center"/>
    </xf>
  </cellXfs>
  <cellStyles count="23">
    <cellStyle name="Гиперссылка" xfId="14" builtinId="8"/>
    <cellStyle name="Денежный" xfId="6" builtinId="4"/>
    <cellStyle name="Денежный 2" xfId="11"/>
    <cellStyle name="Обычный" xfId="0" builtinId="0"/>
    <cellStyle name="Обычный 2" xfId="1"/>
    <cellStyle name="Обычный 2 2" xfId="16"/>
    <cellStyle name="Обычный 2_Приложение 16 изменения на 2012 год по Камню на Оби" xfId="17"/>
    <cellStyle name="Обычный 3" xfId="2"/>
    <cellStyle name="Обычный 4" xfId="8"/>
    <cellStyle name="Обычный 5" xfId="7"/>
    <cellStyle name="Обычный 6" xfId="15"/>
    <cellStyle name="Обычный_План ПИР-2009 ( тех.отд.) с ДЕНЬГАМИ (для Громенко)" xfId="3"/>
    <cellStyle name="Обычный_Сб-macro 2020" xfId="13"/>
    <cellStyle name="Процентный" xfId="12" builtinId="5"/>
    <cellStyle name="Процентный 2" xfId="9"/>
    <cellStyle name="Процентный 2 2" xfId="19"/>
    <cellStyle name="Процентный 3" xfId="18"/>
    <cellStyle name="Стиль 1" xfId="20"/>
    <cellStyle name="Финансовый" xfId="4" builtinId="3"/>
    <cellStyle name="Финансовый 2" xfId="5"/>
    <cellStyle name="Финансовый 2 2" xfId="22"/>
    <cellStyle name="Финансовый 3" xfId="10"/>
    <cellStyle name="Финансовый 4" xfId="21"/>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86;&#1080;%20&#1076;&#1086;&#1082;&#1091;&#1084;&#1077;&#1085;&#1090;&#1099;/&#1043;&#1054;&#1057;&#1055;&#1056;&#1054;&#1043;&#1056;&#1040;&#1052;&#1052;&#1067;/&#1043;&#1055;%20&#1056;&#1040;&#1044;%202020-2022/&#1044;&#1086;&#1087;.%20&#1084;&#1072;&#1090;&#1077;&#1088;&#1080;&#1072;&#1083;&#1099;/&#1080;&#1079;&#1084;&#1077;&#1085;&#1077;&#1085;&#1080;&#1103;%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43;&#1054;&#1057;&#1055;&#1056;&#1054;&#1043;&#1056;&#1040;&#1052;&#1052;&#1067;\&#1043;&#1055;%20&#1056;&#1040;&#1044;%202018-2020%204%20&#1082;&#1074;\2%20&#1074;&#1072;&#1088;&#1080;&#1072;&#1085;&#1090;\&#1055;&#1083;&#1072;&#1085;_&#1088;&#1077;&#1072;&#1083;&#1080;&#1079;&#1072;&#1094;&#1080;&#1080;_&#1043;&#1055;_&#1056;&#1040;&#1044;_2018-2020%20(05.12.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43;&#1054;&#1057;&#1055;&#1056;&#1054;&#1043;&#1056;&#1040;&#1052;&#1052;&#1067;\&#1043;&#1055;%202017-2019\&#1055;&#1083;&#1072;&#1085;%20&#1088;&#1077;&#1072;&#1083;&#1080;&#1079;&#1072;&#1094;&#1080;&#1080;%20&#1043;&#1055;%20&#1056;&#1040;&#1044;%202017-2019%20(&#1085;&#1072;%20&#1089;&#1086;&#1075;&#1083;&#1072;&#1089;+&#1041;&#1044;&#10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дикаторы "/>
      <sheetName val="Мероприятия"/>
      <sheetName val="Подробный перечень(БКАД)"/>
      <sheetName val="Подробный перечень (ОБ)"/>
      <sheetName val="прил. 1  (3)"/>
      <sheetName val="прил .6 с мостом (2)"/>
      <sheetName val="для вставки в ворд"/>
      <sheetName val="Лист3"/>
    </sheetNames>
    <sheetDataSet>
      <sheetData sheetId="0" refreshError="1"/>
      <sheetData sheetId="1">
        <row r="216">
          <cell r="X216">
            <v>17.048000000000002</v>
          </cell>
        </row>
        <row r="220">
          <cell r="X220">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дикаторы "/>
      <sheetName val="Мероприятия"/>
      <sheetName val="Подробный перечень"/>
      <sheetName val="прил. 1  (2)"/>
      <sheetName val="прил .6 с мостом"/>
      <sheetName val="для вставки в ворд"/>
      <sheetName val="Лист3"/>
    </sheetNames>
    <sheetDataSet>
      <sheetData sheetId="0" refreshError="1"/>
      <sheetData sheetId="1" refreshError="1"/>
      <sheetData sheetId="2">
        <row r="13">
          <cell r="AF13">
            <v>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дикаторы"/>
      <sheetName val="Мероприятия"/>
      <sheetName val="Подробный перечень"/>
      <sheetName val="прил. 1  (2)"/>
      <sheetName val="прил .6 с мостом"/>
      <sheetName val="для вставки в ворд"/>
      <sheetName val="рррр"/>
    </sheetNames>
    <sheetDataSet>
      <sheetData sheetId="0"/>
      <sheetData sheetId="1">
        <row r="16">
          <cell r="Q16">
            <v>68.47</v>
          </cell>
        </row>
      </sheetData>
      <sheetData sheetId="2">
        <row r="13">
          <cell r="Y13">
            <v>3.8</v>
          </cell>
        </row>
      </sheetData>
      <sheetData sheetId="3"/>
      <sheetData sheetId="4">
        <row r="5">
          <cell r="B5">
            <v>78559983.919999987</v>
          </cell>
          <cell r="C5">
            <v>7389522.1000000006</v>
          </cell>
          <cell r="D5">
            <v>8429259.5199999996</v>
          </cell>
          <cell r="E5">
            <v>9666667.4999999981</v>
          </cell>
          <cell r="F5">
            <v>10032250.300000001</v>
          </cell>
          <cell r="G5">
            <v>9939612.4999999981</v>
          </cell>
          <cell r="H5">
            <v>10814708.099999998</v>
          </cell>
          <cell r="I5">
            <v>11044938.499999998</v>
          </cell>
          <cell r="J5">
            <v>11243025.399999999</v>
          </cell>
        </row>
        <row r="6">
          <cell r="B6">
            <v>9086523.0199999996</v>
          </cell>
          <cell r="C6">
            <v>1562163.2000000002</v>
          </cell>
          <cell r="D6">
            <v>625434.81999999995</v>
          </cell>
          <cell r="E6">
            <v>924750.6</v>
          </cell>
          <cell r="F6">
            <v>899982.3</v>
          </cell>
          <cell r="G6">
            <v>932600</v>
          </cell>
          <cell r="H6">
            <v>1380530.7</v>
          </cell>
          <cell r="I6">
            <v>1380530.7</v>
          </cell>
          <cell r="J6">
            <v>1380530.7</v>
          </cell>
        </row>
        <row r="7">
          <cell r="B7">
            <v>68317536.900000006</v>
          </cell>
          <cell r="C7">
            <v>5446414.7000000002</v>
          </cell>
          <cell r="D7">
            <v>7684169.5999999996</v>
          </cell>
          <cell r="E7">
            <v>8638936.6999999993</v>
          </cell>
          <cell r="F7">
            <v>9029287.8000000007</v>
          </cell>
          <cell r="G7">
            <v>8904032.2999999989</v>
          </cell>
          <cell r="H7">
            <v>9313197.1999999993</v>
          </cell>
          <cell r="I7">
            <v>9539810.5999999996</v>
          </cell>
          <cell r="J7">
            <v>9761688</v>
          </cell>
        </row>
        <row r="8">
          <cell r="B8">
            <v>1155923.9999999998</v>
          </cell>
          <cell r="C8">
            <v>380944.2</v>
          </cell>
          <cell r="D8">
            <v>119655.09999999999</v>
          </cell>
          <cell r="E8">
            <v>102980.2</v>
          </cell>
          <cell r="F8">
            <v>102980.2</v>
          </cell>
          <cell r="G8">
            <v>102980.2</v>
          </cell>
          <cell r="H8">
            <v>120980.2</v>
          </cell>
          <cell r="I8">
            <v>124597.2</v>
          </cell>
          <cell r="J8">
            <v>100806.7</v>
          </cell>
        </row>
        <row r="9">
          <cell r="B9">
            <v>0</v>
          </cell>
          <cell r="C9">
            <v>0</v>
          </cell>
          <cell r="D9">
            <v>0</v>
          </cell>
        </row>
        <row r="10">
          <cell r="B10">
            <v>20485271.619999997</v>
          </cell>
          <cell r="C10">
            <v>1721621.6</v>
          </cell>
          <cell r="D10">
            <v>1278114.1199999999</v>
          </cell>
          <cell r="E10">
            <v>2724550.3000000003</v>
          </cell>
          <cell r="F10">
            <v>2525966</v>
          </cell>
          <cell r="G10">
            <v>2335603.6</v>
          </cell>
          <cell r="H10">
            <v>3257150.7</v>
          </cell>
          <cell r="I10">
            <v>3308747.9000000004</v>
          </cell>
          <cell r="J10">
            <v>3333517.4000000004</v>
          </cell>
        </row>
        <row r="11">
          <cell r="B11">
            <v>8629157.9199999999</v>
          </cell>
          <cell r="C11">
            <v>1104798.1000000001</v>
          </cell>
          <cell r="D11">
            <v>625434.81999999995</v>
          </cell>
          <cell r="E11">
            <v>924750.6</v>
          </cell>
          <cell r="F11">
            <v>899982.3</v>
          </cell>
          <cell r="G11">
            <v>932600</v>
          </cell>
          <cell r="H11">
            <v>1380530.7</v>
          </cell>
          <cell r="I11">
            <v>1380530.7</v>
          </cell>
          <cell r="J11">
            <v>1380530.7</v>
          </cell>
        </row>
        <row r="12">
          <cell r="B12">
            <v>11373151.9</v>
          </cell>
          <cell r="C12">
            <v>288964.5</v>
          </cell>
          <cell r="D12">
            <v>625717.6</v>
          </cell>
          <cell r="E12">
            <v>1777303.5</v>
          </cell>
          <cell r="F12">
            <v>1602362.7000000002</v>
          </cell>
          <cell r="G12">
            <v>1378803.6</v>
          </cell>
          <cell r="H12">
            <v>1850000</v>
          </cell>
          <cell r="I12">
            <v>1900000</v>
          </cell>
          <cell r="J12">
            <v>1950000</v>
          </cell>
        </row>
        <row r="13">
          <cell r="B13">
            <v>482961.80000000005</v>
          </cell>
          <cell r="C13">
            <v>327859</v>
          </cell>
          <cell r="D13">
            <v>26961.7</v>
          </cell>
          <cell r="E13">
            <v>22496.2</v>
          </cell>
          <cell r="F13">
            <v>23621</v>
          </cell>
          <cell r="G13">
            <v>24200</v>
          </cell>
          <cell r="H13">
            <v>26620</v>
          </cell>
          <cell r="I13">
            <v>28217.200000000001</v>
          </cell>
          <cell r="J13">
            <v>2986.7</v>
          </cell>
        </row>
        <row r="15">
          <cell r="B15">
            <v>57000</v>
          </cell>
          <cell r="C15">
            <v>3000</v>
          </cell>
          <cell r="D15">
            <v>3000</v>
          </cell>
          <cell r="E15">
            <v>3000</v>
          </cell>
          <cell r="F15">
            <v>3000</v>
          </cell>
          <cell r="G15">
            <v>3000</v>
          </cell>
          <cell r="H15">
            <v>12000</v>
          </cell>
          <cell r="I15">
            <v>14000</v>
          </cell>
          <cell r="J15">
            <v>16000</v>
          </cell>
        </row>
        <row r="16">
          <cell r="B16">
            <v>0</v>
          </cell>
          <cell r="C16">
            <v>0</v>
          </cell>
          <cell r="D16">
            <v>0</v>
          </cell>
          <cell r="E16">
            <v>0</v>
          </cell>
          <cell r="F16">
            <v>0</v>
          </cell>
          <cell r="G16">
            <v>0</v>
          </cell>
          <cell r="H16">
            <v>0</v>
          </cell>
          <cell r="I16">
            <v>0</v>
          </cell>
          <cell r="J16">
            <v>0</v>
          </cell>
        </row>
        <row r="17">
          <cell r="B17">
            <v>57000</v>
          </cell>
          <cell r="C17">
            <v>3000</v>
          </cell>
          <cell r="D17">
            <v>3000</v>
          </cell>
          <cell r="E17">
            <v>3000</v>
          </cell>
          <cell r="F17">
            <v>3000</v>
          </cell>
          <cell r="G17">
            <v>3000</v>
          </cell>
          <cell r="H17">
            <v>12000</v>
          </cell>
          <cell r="I17">
            <v>14000</v>
          </cell>
          <cell r="J17">
            <v>16000</v>
          </cell>
        </row>
        <row r="18">
          <cell r="B18">
            <v>0</v>
          </cell>
          <cell r="C18">
            <v>0</v>
          </cell>
          <cell r="D18">
            <v>0</v>
          </cell>
          <cell r="E18">
            <v>0</v>
          </cell>
          <cell r="F18">
            <v>0</v>
          </cell>
          <cell r="G18">
            <v>0</v>
          </cell>
          <cell r="H18">
            <v>0</v>
          </cell>
          <cell r="I18">
            <v>0</v>
          </cell>
          <cell r="J18">
            <v>0</v>
          </cell>
        </row>
        <row r="19">
          <cell r="B19">
            <v>0</v>
          </cell>
          <cell r="C19">
            <v>0</v>
          </cell>
          <cell r="D19">
            <v>0</v>
          </cell>
          <cell r="E19">
            <v>0</v>
          </cell>
          <cell r="F19">
            <v>0</v>
          </cell>
          <cell r="G19">
            <v>0</v>
          </cell>
          <cell r="H19">
            <v>0</v>
          </cell>
          <cell r="I19">
            <v>0</v>
          </cell>
          <cell r="J19">
            <v>0</v>
          </cell>
        </row>
        <row r="20">
          <cell r="B20">
            <v>58017712.300000004</v>
          </cell>
          <cell r="C20">
            <v>5664900.5</v>
          </cell>
          <cell r="D20">
            <v>7148145.4000000004</v>
          </cell>
          <cell r="E20">
            <v>6939117.2000000002</v>
          </cell>
          <cell r="F20">
            <v>7503284.2999999998</v>
          </cell>
          <cell r="G20">
            <v>7601008.8999999994</v>
          </cell>
          <cell r="H20">
            <v>7545557.4000000004</v>
          </cell>
          <cell r="I20">
            <v>7722190.5999999996</v>
          </cell>
          <cell r="J20">
            <v>7893508</v>
          </cell>
        </row>
        <row r="21">
          <cell r="B21">
            <v>457365.1</v>
          </cell>
          <cell r="C21">
            <v>457365.1</v>
          </cell>
          <cell r="D21">
            <v>0</v>
          </cell>
          <cell r="E21">
            <v>0</v>
          </cell>
          <cell r="F21">
            <v>0</v>
          </cell>
          <cell r="G21">
            <v>0</v>
          </cell>
          <cell r="H21">
            <v>0</v>
          </cell>
          <cell r="I21">
            <v>0</v>
          </cell>
          <cell r="J21">
            <v>0</v>
          </cell>
        </row>
        <row r="22">
          <cell r="B22">
            <v>56887385.000000007</v>
          </cell>
          <cell r="C22">
            <v>5154450.2</v>
          </cell>
          <cell r="D22">
            <v>7055452</v>
          </cell>
          <cell r="E22">
            <v>6858633.2000000002</v>
          </cell>
          <cell r="F22">
            <v>7423925.0999999996</v>
          </cell>
          <cell r="G22">
            <v>7522228.6999999993</v>
          </cell>
          <cell r="H22">
            <v>7451197.2000000002</v>
          </cell>
          <cell r="I22">
            <v>7625810.5999999996</v>
          </cell>
          <cell r="J22">
            <v>7795688</v>
          </cell>
        </row>
        <row r="23">
          <cell r="B23">
            <v>672962.2</v>
          </cell>
          <cell r="C23">
            <v>53085.2</v>
          </cell>
          <cell r="D23">
            <v>92693.4</v>
          </cell>
          <cell r="E23">
            <v>80484</v>
          </cell>
          <cell r="F23">
            <v>79359.199999999997</v>
          </cell>
          <cell r="G23">
            <v>78780.2</v>
          </cell>
          <cell r="H23">
            <v>94360.2</v>
          </cell>
          <cell r="I23">
            <v>96380</v>
          </cell>
          <cell r="J23">
            <v>97820</v>
          </cell>
        </row>
        <row r="24">
          <cell r="B24">
            <v>0</v>
          </cell>
          <cell r="C24">
            <v>0</v>
          </cell>
          <cell r="D24">
            <v>0</v>
          </cell>
          <cell r="E24">
            <v>0</v>
          </cell>
          <cell r="F24">
            <v>0</v>
          </cell>
          <cell r="G24">
            <v>0</v>
          </cell>
          <cell r="H24">
            <v>0</v>
          </cell>
          <cell r="I24">
            <v>0</v>
          </cell>
          <cell r="J24">
            <v>0</v>
          </cell>
        </row>
        <row r="26">
          <cell r="B26">
            <v>78559983.919999987</v>
          </cell>
          <cell r="C26">
            <v>7389522.1000000006</v>
          </cell>
          <cell r="D26">
            <v>8429259.5199999996</v>
          </cell>
          <cell r="E26">
            <v>9666667.4999999981</v>
          </cell>
          <cell r="F26">
            <v>10032250.300000001</v>
          </cell>
          <cell r="G26">
            <v>9939612.4999999981</v>
          </cell>
          <cell r="H26">
            <v>10814708.099999998</v>
          </cell>
          <cell r="I26">
            <v>11044938.499999998</v>
          </cell>
          <cell r="J26">
            <v>11243025.399999999</v>
          </cell>
        </row>
        <row r="27">
          <cell r="B27">
            <v>9086523.0199999996</v>
          </cell>
          <cell r="C27">
            <v>1562163.2000000002</v>
          </cell>
          <cell r="D27">
            <v>625434.81999999995</v>
          </cell>
          <cell r="E27">
            <v>924750.6</v>
          </cell>
          <cell r="F27">
            <v>899982.3</v>
          </cell>
          <cell r="G27">
            <v>932600</v>
          </cell>
          <cell r="H27">
            <v>1380530.7</v>
          </cell>
          <cell r="I27">
            <v>1380530.7</v>
          </cell>
          <cell r="J27">
            <v>1380530.7</v>
          </cell>
        </row>
        <row r="28">
          <cell r="B28">
            <v>68317536.900000006</v>
          </cell>
          <cell r="C28">
            <v>5446414.7000000002</v>
          </cell>
          <cell r="D28">
            <v>7684169.5999999996</v>
          </cell>
          <cell r="E28">
            <v>8638936.6999999993</v>
          </cell>
          <cell r="F28">
            <v>9029287.8000000007</v>
          </cell>
          <cell r="G28">
            <v>8904032.2999999989</v>
          </cell>
          <cell r="H28">
            <v>9313197.1999999993</v>
          </cell>
          <cell r="I28">
            <v>9539810.5999999996</v>
          </cell>
          <cell r="J28">
            <v>9761688</v>
          </cell>
        </row>
        <row r="29">
          <cell r="B29">
            <v>1155923.9999999998</v>
          </cell>
          <cell r="C29">
            <v>380944.2</v>
          </cell>
          <cell r="D29">
            <v>119655.09999999999</v>
          </cell>
          <cell r="E29">
            <v>102980.2</v>
          </cell>
          <cell r="F29">
            <v>102980.2</v>
          </cell>
          <cell r="G29">
            <v>102980.2</v>
          </cell>
          <cell r="H29">
            <v>120980.2</v>
          </cell>
          <cell r="I29">
            <v>124597.2</v>
          </cell>
          <cell r="J29">
            <v>100806.7</v>
          </cell>
        </row>
        <row r="30">
          <cell r="C30">
            <v>0</v>
          </cell>
          <cell r="D30">
            <v>0</v>
          </cell>
          <cell r="J30">
            <v>0</v>
          </cell>
        </row>
        <row r="31">
          <cell r="B31">
            <v>20485271.619999997</v>
          </cell>
          <cell r="C31">
            <v>1721621.6</v>
          </cell>
          <cell r="D31">
            <v>1278114.1199999999</v>
          </cell>
          <cell r="E31">
            <v>2724550.3000000003</v>
          </cell>
          <cell r="F31">
            <v>2525966</v>
          </cell>
          <cell r="G31">
            <v>2335603.6</v>
          </cell>
          <cell r="H31">
            <v>3257150.7</v>
          </cell>
          <cell r="I31">
            <v>3308747.9000000004</v>
          </cell>
          <cell r="J31">
            <v>3333517.4000000004</v>
          </cell>
        </row>
        <row r="32">
          <cell r="B32">
            <v>8629157.9199999999</v>
          </cell>
          <cell r="C32">
            <v>1104798.1000000001</v>
          </cell>
          <cell r="D32">
            <v>625434.81999999995</v>
          </cell>
          <cell r="E32">
            <v>924750.6</v>
          </cell>
          <cell r="F32">
            <v>899982.3</v>
          </cell>
          <cell r="G32">
            <v>932600</v>
          </cell>
          <cell r="H32">
            <v>1380530.7</v>
          </cell>
          <cell r="I32">
            <v>1380530.7</v>
          </cell>
          <cell r="J32">
            <v>1380530.7</v>
          </cell>
        </row>
        <row r="33">
          <cell r="B33">
            <v>11373151.9</v>
          </cell>
          <cell r="C33">
            <v>288964.5</v>
          </cell>
          <cell r="D33">
            <v>625717.6</v>
          </cell>
          <cell r="E33">
            <v>1777303.5</v>
          </cell>
          <cell r="F33">
            <v>1602362.7000000002</v>
          </cell>
          <cell r="G33">
            <v>1378803.6</v>
          </cell>
          <cell r="H33">
            <v>1850000</v>
          </cell>
          <cell r="I33">
            <v>1900000</v>
          </cell>
          <cell r="J33">
            <v>1950000</v>
          </cell>
        </row>
        <row r="34">
          <cell r="B34">
            <v>482961.80000000005</v>
          </cell>
          <cell r="C34">
            <v>327859</v>
          </cell>
          <cell r="D34">
            <v>26961.7</v>
          </cell>
          <cell r="E34">
            <v>22496.2</v>
          </cell>
          <cell r="F34">
            <v>23621</v>
          </cell>
          <cell r="G34">
            <v>24200</v>
          </cell>
          <cell r="H34">
            <v>26620</v>
          </cell>
          <cell r="I34">
            <v>28217.200000000001</v>
          </cell>
          <cell r="J34">
            <v>2986.7</v>
          </cell>
        </row>
        <row r="35">
          <cell r="C35">
            <v>0</v>
          </cell>
          <cell r="D35">
            <v>0</v>
          </cell>
        </row>
        <row r="36">
          <cell r="B36">
            <v>57000</v>
          </cell>
          <cell r="C36">
            <v>3000</v>
          </cell>
          <cell r="D36">
            <v>3000</v>
          </cell>
          <cell r="E36">
            <v>3000</v>
          </cell>
          <cell r="F36">
            <v>3000</v>
          </cell>
          <cell r="G36">
            <v>3000</v>
          </cell>
          <cell r="H36">
            <v>12000</v>
          </cell>
          <cell r="I36">
            <v>14000</v>
          </cell>
          <cell r="J36">
            <v>16000</v>
          </cell>
        </row>
        <row r="37">
          <cell r="B37">
            <v>0</v>
          </cell>
          <cell r="C37">
            <v>0</v>
          </cell>
          <cell r="D37">
            <v>0</v>
          </cell>
          <cell r="E37">
            <v>0</v>
          </cell>
          <cell r="F37">
            <v>0</v>
          </cell>
          <cell r="G37">
            <v>0</v>
          </cell>
          <cell r="H37">
            <v>0</v>
          </cell>
          <cell r="I37">
            <v>0</v>
          </cell>
          <cell r="J37">
            <v>0</v>
          </cell>
        </row>
        <row r="38">
          <cell r="B38">
            <v>57000</v>
          </cell>
          <cell r="C38">
            <v>3000</v>
          </cell>
          <cell r="D38">
            <v>3000</v>
          </cell>
          <cell r="E38">
            <v>3000</v>
          </cell>
          <cell r="F38">
            <v>3000</v>
          </cell>
          <cell r="G38">
            <v>3000</v>
          </cell>
          <cell r="H38">
            <v>12000</v>
          </cell>
          <cell r="I38">
            <v>14000</v>
          </cell>
          <cell r="J38">
            <v>16000</v>
          </cell>
        </row>
        <row r="39">
          <cell r="B39">
            <v>0</v>
          </cell>
          <cell r="C39">
            <v>0</v>
          </cell>
          <cell r="D39">
            <v>0</v>
          </cell>
          <cell r="E39">
            <v>0</v>
          </cell>
          <cell r="F39">
            <v>0</v>
          </cell>
          <cell r="G39">
            <v>0</v>
          </cell>
          <cell r="H39">
            <v>0</v>
          </cell>
          <cell r="I39">
            <v>0</v>
          </cell>
          <cell r="J39">
            <v>0</v>
          </cell>
        </row>
        <row r="40">
          <cell r="B40">
            <v>0</v>
          </cell>
          <cell r="C40">
            <v>0</v>
          </cell>
          <cell r="D40">
            <v>0</v>
          </cell>
          <cell r="E40">
            <v>0</v>
          </cell>
          <cell r="F40">
            <v>0</v>
          </cell>
          <cell r="G40">
            <v>0</v>
          </cell>
          <cell r="H40">
            <v>0</v>
          </cell>
          <cell r="I40">
            <v>0</v>
          </cell>
          <cell r="J40">
            <v>0</v>
          </cell>
        </row>
        <row r="41">
          <cell r="B41">
            <v>58017712.300000004</v>
          </cell>
          <cell r="C41">
            <v>5664900.5</v>
          </cell>
          <cell r="D41">
            <v>7148145.4000000004</v>
          </cell>
          <cell r="E41">
            <v>6939117.2000000002</v>
          </cell>
          <cell r="F41">
            <v>7503284.2999999998</v>
          </cell>
          <cell r="G41">
            <v>7601008.8999999994</v>
          </cell>
          <cell r="H41">
            <v>7545557.4000000004</v>
          </cell>
          <cell r="I41">
            <v>7722190.5999999996</v>
          </cell>
          <cell r="J41">
            <v>7893508</v>
          </cell>
        </row>
        <row r="42">
          <cell r="B42">
            <v>457365.1</v>
          </cell>
          <cell r="C42">
            <v>457365.1</v>
          </cell>
          <cell r="D42">
            <v>0</v>
          </cell>
          <cell r="E42">
            <v>0</v>
          </cell>
          <cell r="F42">
            <v>0</v>
          </cell>
          <cell r="G42">
            <v>0</v>
          </cell>
          <cell r="H42">
            <v>0</v>
          </cell>
          <cell r="I42">
            <v>0</v>
          </cell>
          <cell r="J42">
            <v>0</v>
          </cell>
        </row>
        <row r="43">
          <cell r="B43">
            <v>56887385.000000007</v>
          </cell>
          <cell r="C43">
            <v>5154450.2</v>
          </cell>
          <cell r="D43">
            <v>7055452</v>
          </cell>
          <cell r="E43">
            <v>6858633.2000000002</v>
          </cell>
          <cell r="F43">
            <v>7423925.0999999996</v>
          </cell>
          <cell r="G43">
            <v>7522228.6999999993</v>
          </cell>
          <cell r="H43">
            <v>7451197.2000000002</v>
          </cell>
          <cell r="I43">
            <v>7625810.5999999996</v>
          </cell>
          <cell r="J43">
            <v>7795688</v>
          </cell>
        </row>
        <row r="44">
          <cell r="B44">
            <v>672962.2</v>
          </cell>
          <cell r="C44">
            <v>53085.2</v>
          </cell>
          <cell r="D44">
            <v>92693.4</v>
          </cell>
          <cell r="E44">
            <v>80484</v>
          </cell>
          <cell r="F44">
            <v>79359.199999999997</v>
          </cell>
          <cell r="G44">
            <v>78780.2</v>
          </cell>
          <cell r="H44">
            <v>94360.2</v>
          </cell>
          <cell r="I44">
            <v>96380</v>
          </cell>
          <cell r="J44">
            <v>97820</v>
          </cell>
        </row>
        <row r="45">
          <cell r="B45">
            <v>0</v>
          </cell>
          <cell r="C45">
            <v>0</v>
          </cell>
          <cell r="D45">
            <v>0</v>
          </cell>
          <cell r="E45">
            <v>0</v>
          </cell>
          <cell r="F45">
            <v>0</v>
          </cell>
          <cell r="G45">
            <v>0</v>
          </cell>
          <cell r="H45">
            <v>0</v>
          </cell>
          <cell r="I45">
            <v>0</v>
          </cell>
          <cell r="J45">
            <v>0</v>
          </cell>
        </row>
        <row r="46">
          <cell r="B46">
            <v>4087696.2</v>
          </cell>
          <cell r="C46">
            <v>533688</v>
          </cell>
          <cell r="D46">
            <v>560906</v>
          </cell>
          <cell r="E46">
            <v>429099</v>
          </cell>
          <cell r="F46">
            <v>454844.9</v>
          </cell>
          <cell r="G46">
            <v>482135.6</v>
          </cell>
          <cell r="H46">
            <v>511063.8</v>
          </cell>
          <cell r="I46">
            <v>541727.6</v>
          </cell>
          <cell r="J46">
            <v>574231.30000000005</v>
          </cell>
        </row>
        <row r="47">
          <cell r="B47">
            <v>9086523.0500000007</v>
          </cell>
          <cell r="C47">
            <v>1562163.2000000002</v>
          </cell>
          <cell r="D47">
            <v>625434.81999999995</v>
          </cell>
          <cell r="E47">
            <v>924750.63000000012</v>
          </cell>
          <cell r="F47">
            <v>899982.3</v>
          </cell>
          <cell r="G47">
            <v>932600</v>
          </cell>
          <cell r="H47">
            <v>1380530.7</v>
          </cell>
          <cell r="I47">
            <v>1380530.7</v>
          </cell>
          <cell r="J47">
            <v>1380530.7</v>
          </cell>
        </row>
        <row r="50">
          <cell r="B50">
            <v>472799.23</v>
          </cell>
          <cell r="C50">
            <v>95879.3</v>
          </cell>
          <cell r="D50">
            <v>60969.599999999999</v>
          </cell>
          <cell r="E50">
            <v>315950.33</v>
          </cell>
        </row>
        <row r="51">
          <cell r="B51">
            <v>8156358.7200000007</v>
          </cell>
          <cell r="C51">
            <v>1008918.8</v>
          </cell>
          <cell r="D51">
            <v>564465.22</v>
          </cell>
          <cell r="E51">
            <v>608800.30000000005</v>
          </cell>
          <cell r="F51">
            <v>899982.3</v>
          </cell>
          <cell r="G51">
            <v>932600</v>
          </cell>
          <cell r="H51">
            <v>1380530.7</v>
          </cell>
          <cell r="I51">
            <v>1380530.7</v>
          </cell>
          <cell r="J51">
            <v>1380530.7</v>
          </cell>
        </row>
        <row r="52">
          <cell r="B52">
            <v>457365.1</v>
          </cell>
          <cell r="C52">
            <v>457365.1</v>
          </cell>
        </row>
        <row r="55">
          <cell r="B55">
            <v>0</v>
          </cell>
          <cell r="D55">
            <v>0</v>
          </cell>
        </row>
        <row r="56">
          <cell r="B56">
            <v>0</v>
          </cell>
        </row>
      </sheetData>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consultantplus://offline/ref=BC496DE9CD4DD003661B9BE3DD29CC0BB84219353379C154704F53E6C66F167571238B5D4FA498D2047A2859L0N" TargetMode="External"/><Relationship Id="rId18" Type="http://schemas.openxmlformats.org/officeDocument/2006/relationships/hyperlink" Target="consultantplus://offline/ref=BC496DE9CD4DD003661B9BE3DD29CC0BB84219353379C154704F53E6C66F167571238B5D4FA498D2047A2859L0N" TargetMode="External"/><Relationship Id="rId26" Type="http://schemas.openxmlformats.org/officeDocument/2006/relationships/hyperlink" Target="consultantplus://offline/ref=BC496DE9CD4DD003661B9BE3DD29CC0BB84219353379C154704F53E6C66F167571238B5D4FA498D2047A2859L0N" TargetMode="External"/><Relationship Id="rId3" Type="http://schemas.openxmlformats.org/officeDocument/2006/relationships/hyperlink" Target="consultantplus://offline/ref=BC496DE9CD4DD003661B9BE3DD29CC0BB84219353379C154704F53E6C66F167571238B5D4FA498D2047A2859L0N" TargetMode="External"/><Relationship Id="rId21" Type="http://schemas.openxmlformats.org/officeDocument/2006/relationships/hyperlink" Target="consultantplus://offline/ref=BC496DE9CD4DD003661B9BE3DD29CC0BB84219353379C154704F53E6C66F167571238B5D4FA498D2047A2859L0N" TargetMode="External"/><Relationship Id="rId7" Type="http://schemas.openxmlformats.org/officeDocument/2006/relationships/hyperlink" Target="consultantplus://offline/ref=BC496DE9CD4DD003661B9BE3DD29CC0BB84219353379C154704F53E6C66F167571238B5D4FA498D2047A2859L3N" TargetMode="External"/><Relationship Id="rId12" Type="http://schemas.openxmlformats.org/officeDocument/2006/relationships/hyperlink" Target="consultantplus://offline/ref=BC496DE9CD4DD003661B9BE3DD29CC0BB84219353379C154704F53E6C66F167571238B5D4FA498D2047A2859L0N" TargetMode="External"/><Relationship Id="rId17" Type="http://schemas.openxmlformats.org/officeDocument/2006/relationships/hyperlink" Target="consultantplus://offline/ref=BC496DE9CD4DD003661B9BE3DD29CC0BB84219353379C154704F53E6C66F167571238B5D4FA498D2047A2859L0N" TargetMode="External"/><Relationship Id="rId25" Type="http://schemas.openxmlformats.org/officeDocument/2006/relationships/hyperlink" Target="consultantplus://offline/ref=BC496DE9CD4DD003661B9BE3DD29CC0BB84219353379C154704F53E6C66F167571238B5D4FA498D2047A2859L0N" TargetMode="External"/><Relationship Id="rId33" Type="http://schemas.openxmlformats.org/officeDocument/2006/relationships/comments" Target="../comments3.xml"/><Relationship Id="rId2" Type="http://schemas.openxmlformats.org/officeDocument/2006/relationships/hyperlink" Target="consultantplus://offline/ref=BC496DE9CD4DD003661B9BE3DD29CC0BB84219353379C154704F53E6C66F167571238B5D4FA498D2047A2859L0N" TargetMode="External"/><Relationship Id="rId16" Type="http://schemas.openxmlformats.org/officeDocument/2006/relationships/hyperlink" Target="consultantplus://offline/ref=BC496DE9CD4DD003661B9BE3DD29CC0BB84219353379C154704F53E6C66F167571238B5D4FA498D2047A2859L0N" TargetMode="External"/><Relationship Id="rId20" Type="http://schemas.openxmlformats.org/officeDocument/2006/relationships/hyperlink" Target="consultantplus://offline/ref=BC496DE9CD4DD003661B9BE3DD29CC0BB84219353379C154704F53E6C66F167571238B5D4FA498D2047A2859L3N" TargetMode="External"/><Relationship Id="rId29" Type="http://schemas.openxmlformats.org/officeDocument/2006/relationships/hyperlink" Target="consultantplus://offline/ref=BC496DE9CD4DD003661B85EECB459202B04F45393C7FCE04281008BB91661C22366CD21F0BA999D550L3N" TargetMode="External"/><Relationship Id="rId1" Type="http://schemas.openxmlformats.org/officeDocument/2006/relationships/hyperlink" Target="consultantplus://offline/ref=BC496DE9CD4DD003661B9BE3DD29CC0BB84219353379C154704F53E6C66F167571238B5D4FA498D2047A2859L0N" TargetMode="External"/><Relationship Id="rId6" Type="http://schemas.openxmlformats.org/officeDocument/2006/relationships/hyperlink" Target="consultantplus://offline/ref=BC496DE9CD4DD003661B9BE3DD29CC0BB84219353379C154704F53E6C66F167571238B5D4FA498D2047A2859L0N" TargetMode="External"/><Relationship Id="rId11" Type="http://schemas.openxmlformats.org/officeDocument/2006/relationships/hyperlink" Target="consultantplus://offline/ref=BC496DE9CD4DD003661B9BE3DD29CC0BB84219353379C154704F53E6C66F167571238B5D4FA498D2047A2859L0N" TargetMode="External"/><Relationship Id="rId24" Type="http://schemas.openxmlformats.org/officeDocument/2006/relationships/hyperlink" Target="consultantplus://offline/ref=BC496DE9CD4DD003661B9BE3DD29CC0BB84219353379C154704F53E6C66F167571238B5D4FA498D2047A2859L0N" TargetMode="External"/><Relationship Id="rId32" Type="http://schemas.openxmlformats.org/officeDocument/2006/relationships/vmlDrawing" Target="../drawings/vmlDrawing3.vml"/><Relationship Id="rId5" Type="http://schemas.openxmlformats.org/officeDocument/2006/relationships/hyperlink" Target="consultantplus://offline/ref=BC496DE9CD4DD003661B9BE3DD29CC0BB84219353379C154704F53E6C66F167571238B5D4FA498D2047A2859L0N" TargetMode="External"/><Relationship Id="rId15" Type="http://schemas.openxmlformats.org/officeDocument/2006/relationships/hyperlink" Target="consultantplus://offline/ref=BC496DE9CD4DD003661B9BE3DD29CC0BB84219353379C154704F53E6C66F167571238B5D4FA498D2047A2859L0N" TargetMode="External"/><Relationship Id="rId23" Type="http://schemas.openxmlformats.org/officeDocument/2006/relationships/hyperlink" Target="consultantplus://offline/ref=BC496DE9CD4DD003661B9BE3DD29CC0BB84219353379C154704F53E6C66F167571238B5D4FA498D2047A2859L0N" TargetMode="External"/><Relationship Id="rId28" Type="http://schemas.openxmlformats.org/officeDocument/2006/relationships/hyperlink" Target="consultantplus://offline/ref=BC496DE9CD4DD003661B85EECB459202B04F45393C7FCE04281008BB91661C22366CD21F0BA999D550L3N" TargetMode="External"/><Relationship Id="rId10" Type="http://schemas.openxmlformats.org/officeDocument/2006/relationships/hyperlink" Target="consultantplus://offline/ref=BC496DE9CD4DD003661B9BE3DD29CC0BB84219353379C154704F53E6C66F167571238B5D4FA498D2047A2859L0N" TargetMode="External"/><Relationship Id="rId19" Type="http://schemas.openxmlformats.org/officeDocument/2006/relationships/hyperlink" Target="consultantplus://offline/ref=BC496DE9CD4DD003661B9BE3DD29CC0BB84219353379C154704F53E6C66F167571238B5D4FA498D2047A2859L0N" TargetMode="External"/><Relationship Id="rId31" Type="http://schemas.openxmlformats.org/officeDocument/2006/relationships/printerSettings" Target="../printerSettings/printerSettings6.bin"/><Relationship Id="rId4" Type="http://schemas.openxmlformats.org/officeDocument/2006/relationships/hyperlink" Target="consultantplus://offline/ref=BC496DE9CD4DD003661B9BE3DD29CC0BB84219353379C154704F53E6C66F167571238B5D4FA498D2047A2859L0N" TargetMode="External"/><Relationship Id="rId9" Type="http://schemas.openxmlformats.org/officeDocument/2006/relationships/hyperlink" Target="consultantplus://offline/ref=BC496DE9CD4DD003661B9BE3DD29CC0BB84219353379C154704F53E6C66F167571238B5D4FA498D2047A2859L0N" TargetMode="External"/><Relationship Id="rId14" Type="http://schemas.openxmlformats.org/officeDocument/2006/relationships/hyperlink" Target="consultantplus://offline/ref=BC496DE9CD4DD003661B9BE3DD29CC0BB84219353379C154704F53E6C66F167571238B5D4FA498D2047A2859L0N" TargetMode="External"/><Relationship Id="rId22" Type="http://schemas.openxmlformats.org/officeDocument/2006/relationships/hyperlink" Target="consultantplus://offline/ref=BC496DE9CD4DD003661B9BE3DD29CC0BB84219353379C154704F53E6C66F167571238B5D4FA498D2047A2859L0N" TargetMode="External"/><Relationship Id="rId27" Type="http://schemas.openxmlformats.org/officeDocument/2006/relationships/hyperlink" Target="consultantplus://offline/ref=BC496DE9CD4DD003661B85EECB459202B04E433B3E7BCE04281008BB91661C22366CD21F0BA999D350L2N" TargetMode="External"/><Relationship Id="rId30" Type="http://schemas.openxmlformats.org/officeDocument/2006/relationships/hyperlink" Target="consultantplus://offline/ref=BC496DE9CD4DD003661B85EECB459202B04F45393C7FCE04281008BB91661C22366CD21F0BA999D550L3N" TargetMode="External"/><Relationship Id="rId8" Type="http://schemas.openxmlformats.org/officeDocument/2006/relationships/hyperlink" Target="consultantplus://offline/ref=BC496DE9CD4DD003661B9BE3DD29CC0BB84219353379C154704F53E6C66F167571238B5D4FA498D2047A2859L0N"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0"/>
  <sheetViews>
    <sheetView view="pageBreakPreview" zoomScaleNormal="70" zoomScaleSheetLayoutView="100" workbookViewId="0">
      <selection activeCell="X12" sqref="X12"/>
    </sheetView>
  </sheetViews>
  <sheetFormatPr defaultColWidth="8.85546875" defaultRowHeight="15.75"/>
  <cols>
    <col min="1" max="1" width="3.7109375" style="113" customWidth="1"/>
    <col min="2" max="2" width="24.7109375" style="113" customWidth="1"/>
    <col min="3" max="3" width="23.7109375" style="113" customWidth="1"/>
    <col min="4" max="4" width="12.140625" style="113" customWidth="1"/>
    <col min="5" max="5" width="11" style="113" customWidth="1"/>
    <col min="6" max="6" width="13.5703125" style="113" hidden="1" customWidth="1"/>
    <col min="7" max="7" width="8.7109375" style="113" hidden="1" customWidth="1"/>
    <col min="8" max="8" width="7.28515625" style="113" hidden="1" customWidth="1"/>
    <col min="9" max="9" width="7.85546875" style="113" hidden="1" customWidth="1"/>
    <col min="10" max="10" width="12.42578125" style="113" hidden="1" customWidth="1"/>
    <col min="11" max="11" width="11.42578125" style="113" customWidth="1"/>
    <col min="12" max="15" width="13" style="113" customWidth="1"/>
    <col min="16" max="16" width="11.140625" style="113" customWidth="1"/>
    <col min="17" max="17" width="10.28515625" style="113" customWidth="1"/>
    <col min="18" max="18" width="28.5703125" style="113" customWidth="1"/>
    <col min="19" max="16384" width="8.85546875" style="113"/>
  </cols>
  <sheetData>
    <row r="1" spans="1:19" ht="31.9" customHeight="1">
      <c r="K1" s="852" t="s">
        <v>889</v>
      </c>
      <c r="L1" s="852"/>
      <c r="M1" s="852"/>
      <c r="N1" s="852"/>
      <c r="O1" s="852"/>
      <c r="P1" s="852"/>
      <c r="Q1" s="852"/>
      <c r="R1" s="852"/>
      <c r="S1" s="143"/>
    </row>
    <row r="2" spans="1:19">
      <c r="S2" s="143"/>
    </row>
    <row r="3" spans="1:19">
      <c r="S3" s="143"/>
    </row>
    <row r="4" spans="1:19" ht="32.25" customHeight="1">
      <c r="B4" s="853" t="s">
        <v>749</v>
      </c>
      <c r="C4" s="851"/>
      <c r="D4" s="851"/>
      <c r="E4" s="851"/>
      <c r="F4" s="851"/>
      <c r="G4" s="851"/>
      <c r="H4" s="851"/>
      <c r="I4" s="851"/>
      <c r="J4" s="851"/>
      <c r="K4" s="851"/>
      <c r="L4" s="851"/>
      <c r="M4" s="851"/>
      <c r="N4" s="851"/>
      <c r="O4" s="851"/>
      <c r="P4" s="851"/>
      <c r="Q4" s="851"/>
      <c r="R4" s="851"/>
    </row>
    <row r="5" spans="1:19" ht="64.5" customHeight="1">
      <c r="B5" s="853" t="s">
        <v>890</v>
      </c>
      <c r="C5" s="853"/>
      <c r="D5" s="853"/>
      <c r="E5" s="853"/>
      <c r="F5" s="853"/>
      <c r="G5" s="853"/>
      <c r="H5" s="853"/>
      <c r="I5" s="853"/>
      <c r="J5" s="853"/>
      <c r="K5" s="853"/>
      <c r="L5" s="853"/>
      <c r="M5" s="853"/>
      <c r="N5" s="853"/>
      <c r="O5" s="853"/>
      <c r="P5" s="853"/>
      <c r="Q5" s="853"/>
      <c r="R5" s="853"/>
    </row>
    <row r="6" spans="1:19" ht="14.45" customHeight="1">
      <c r="K6" s="854" t="s">
        <v>365</v>
      </c>
      <c r="L6" s="854"/>
      <c r="M6" s="854"/>
      <c r="N6" s="854"/>
      <c r="O6" s="854"/>
      <c r="P6" s="854"/>
      <c r="Q6" s="854"/>
      <c r="R6" s="854"/>
    </row>
    <row r="7" spans="1:19" ht="14.45" customHeight="1">
      <c r="B7" s="851" t="s">
        <v>364</v>
      </c>
      <c r="C7" s="851"/>
      <c r="D7" s="851"/>
      <c r="E7" s="851"/>
      <c r="F7" s="851"/>
      <c r="G7" s="851"/>
      <c r="H7" s="851"/>
      <c r="I7" s="851"/>
      <c r="J7" s="851"/>
      <c r="K7" s="851"/>
      <c r="L7" s="851"/>
      <c r="M7" s="851"/>
      <c r="N7" s="851"/>
      <c r="O7" s="851"/>
      <c r="P7" s="851"/>
      <c r="Q7" s="851"/>
      <c r="R7" s="851"/>
    </row>
    <row r="8" spans="1:19" ht="14.45" customHeight="1">
      <c r="B8" s="851" t="s">
        <v>755</v>
      </c>
      <c r="C8" s="851"/>
      <c r="D8" s="851"/>
      <c r="E8" s="851"/>
      <c r="F8" s="851"/>
      <c r="G8" s="851"/>
      <c r="H8" s="851"/>
      <c r="I8" s="851"/>
      <c r="J8" s="851"/>
      <c r="K8" s="851"/>
      <c r="L8" s="851"/>
      <c r="M8" s="851"/>
      <c r="N8" s="851"/>
      <c r="O8" s="851"/>
      <c r="P8" s="851"/>
      <c r="Q8" s="851"/>
      <c r="R8" s="851"/>
    </row>
    <row r="9" spans="1:19" ht="14.45" customHeight="1">
      <c r="B9" s="851" t="s">
        <v>894</v>
      </c>
      <c r="C9" s="851"/>
      <c r="D9" s="851"/>
      <c r="E9" s="851"/>
      <c r="F9" s="851"/>
      <c r="G9" s="851"/>
      <c r="H9" s="851"/>
      <c r="I9" s="851"/>
      <c r="J9" s="851"/>
      <c r="K9" s="851"/>
      <c r="L9" s="851"/>
      <c r="M9" s="851"/>
      <c r="N9" s="851"/>
      <c r="O9" s="851"/>
      <c r="P9" s="851"/>
      <c r="Q9" s="851"/>
      <c r="R9" s="851"/>
    </row>
    <row r="11" spans="1:19" ht="35.450000000000003" customHeight="1">
      <c r="A11" s="862"/>
      <c r="B11" s="855" t="s">
        <v>363</v>
      </c>
      <c r="C11" s="855" t="s">
        <v>362</v>
      </c>
      <c r="D11" s="855" t="s">
        <v>361</v>
      </c>
      <c r="E11" s="855" t="s">
        <v>360</v>
      </c>
      <c r="F11" s="856" t="s">
        <v>144</v>
      </c>
      <c r="G11" s="856" t="s">
        <v>145</v>
      </c>
      <c r="H11" s="856"/>
      <c r="I11" s="856"/>
      <c r="J11" s="856"/>
      <c r="K11" s="869" t="s">
        <v>756</v>
      </c>
      <c r="L11" s="870"/>
      <c r="M11" s="870"/>
      <c r="N11" s="870"/>
      <c r="O11" s="870"/>
      <c r="P11" s="870"/>
      <c r="Q11" s="871"/>
      <c r="R11" s="855" t="s">
        <v>359</v>
      </c>
    </row>
    <row r="12" spans="1:19" ht="14.45" customHeight="1">
      <c r="A12" s="862"/>
      <c r="B12" s="855"/>
      <c r="C12" s="855"/>
      <c r="D12" s="855"/>
      <c r="E12" s="855"/>
      <c r="F12" s="856"/>
      <c r="G12" s="856"/>
      <c r="H12" s="856"/>
      <c r="I12" s="856"/>
      <c r="J12" s="856"/>
      <c r="K12" s="867" t="s">
        <v>891</v>
      </c>
      <c r="L12" s="869" t="s">
        <v>892</v>
      </c>
      <c r="M12" s="870"/>
      <c r="N12" s="870"/>
      <c r="O12" s="871"/>
      <c r="P12" s="867" t="s">
        <v>383</v>
      </c>
      <c r="Q12" s="867" t="s">
        <v>384</v>
      </c>
      <c r="R12" s="855"/>
    </row>
    <row r="13" spans="1:19" ht="51.75" customHeight="1">
      <c r="A13" s="862"/>
      <c r="B13" s="855"/>
      <c r="C13" s="855"/>
      <c r="D13" s="855"/>
      <c r="E13" s="855"/>
      <c r="F13" s="856"/>
      <c r="G13" s="321" t="s">
        <v>146</v>
      </c>
      <c r="H13" s="321" t="s">
        <v>147</v>
      </c>
      <c r="I13" s="321" t="s">
        <v>148</v>
      </c>
      <c r="J13" s="321" t="s">
        <v>149</v>
      </c>
      <c r="K13" s="868"/>
      <c r="L13" s="451" t="s">
        <v>146</v>
      </c>
      <c r="M13" s="451" t="s">
        <v>147</v>
      </c>
      <c r="N13" s="451" t="s">
        <v>148</v>
      </c>
      <c r="O13" s="451" t="s">
        <v>149</v>
      </c>
      <c r="P13" s="868"/>
      <c r="Q13" s="868"/>
      <c r="R13" s="855"/>
    </row>
    <row r="14" spans="1:19">
      <c r="A14" s="862"/>
      <c r="B14" s="322">
        <v>1</v>
      </c>
      <c r="C14" s="322">
        <v>2</v>
      </c>
      <c r="D14" s="322">
        <v>3</v>
      </c>
      <c r="E14" s="322">
        <v>4</v>
      </c>
      <c r="F14" s="321">
        <v>5</v>
      </c>
      <c r="G14" s="321">
        <v>6</v>
      </c>
      <c r="H14" s="321">
        <v>7</v>
      </c>
      <c r="I14" s="321">
        <v>8</v>
      </c>
      <c r="J14" s="321">
        <v>9</v>
      </c>
      <c r="K14" s="321">
        <v>5</v>
      </c>
      <c r="L14" s="321">
        <v>6</v>
      </c>
      <c r="M14" s="321">
        <v>7</v>
      </c>
      <c r="N14" s="321">
        <v>8</v>
      </c>
      <c r="O14" s="321">
        <v>9</v>
      </c>
      <c r="P14" s="321">
        <v>10</v>
      </c>
      <c r="Q14" s="321">
        <v>11</v>
      </c>
      <c r="R14" s="322">
        <v>12</v>
      </c>
    </row>
    <row r="15" spans="1:19" ht="31.15" customHeight="1">
      <c r="A15" s="862"/>
      <c r="B15" s="858" t="s">
        <v>716</v>
      </c>
      <c r="C15" s="858"/>
      <c r="D15" s="858"/>
      <c r="E15" s="858"/>
      <c r="F15" s="858"/>
      <c r="G15" s="858"/>
      <c r="H15" s="858"/>
      <c r="I15" s="858"/>
      <c r="J15" s="858"/>
      <c r="K15" s="858"/>
      <c r="L15" s="858"/>
      <c r="M15" s="858"/>
      <c r="N15" s="858"/>
      <c r="O15" s="858"/>
      <c r="P15" s="858"/>
      <c r="Q15" s="858"/>
      <c r="R15" s="858"/>
    </row>
    <row r="16" spans="1:19" ht="47.45" customHeight="1">
      <c r="A16" s="862"/>
      <c r="B16" s="858" t="s">
        <v>346</v>
      </c>
      <c r="C16" s="858"/>
      <c r="D16" s="858"/>
      <c r="E16" s="858"/>
      <c r="F16" s="858"/>
      <c r="G16" s="858"/>
      <c r="H16" s="858"/>
      <c r="I16" s="858"/>
      <c r="J16" s="858"/>
      <c r="K16" s="858"/>
      <c r="L16" s="858"/>
      <c r="M16" s="858"/>
      <c r="N16" s="858"/>
      <c r="O16" s="858"/>
      <c r="P16" s="858"/>
      <c r="Q16" s="858"/>
      <c r="R16" s="858"/>
    </row>
    <row r="17" spans="1:18" ht="98.45" customHeight="1">
      <c r="A17" s="862"/>
      <c r="B17" s="859" t="s">
        <v>358</v>
      </c>
      <c r="C17" s="138" t="s">
        <v>357</v>
      </c>
      <c r="D17" s="322" t="s">
        <v>349</v>
      </c>
      <c r="E17" s="322">
        <v>0.01</v>
      </c>
      <c r="F17" s="133">
        <f>J17</f>
        <v>80.569999999999993</v>
      </c>
      <c r="G17" s="133"/>
      <c r="H17" s="133"/>
      <c r="I17" s="133"/>
      <c r="J17" s="142">
        <v>80.569999999999993</v>
      </c>
      <c r="K17" s="141">
        <f>'прил. 1  (3)'!$N$14</f>
        <v>84.274411314425066</v>
      </c>
      <c r="L17" s="124" t="s">
        <v>276</v>
      </c>
      <c r="M17" s="124" t="s">
        <v>276</v>
      </c>
      <c r="N17" s="124" t="s">
        <v>276</v>
      </c>
      <c r="O17" s="124" t="s">
        <v>276</v>
      </c>
      <c r="P17" s="124">
        <f>'прил. 1  (3)'!$O$14</f>
        <v>84.37494600187685</v>
      </c>
      <c r="Q17" s="124">
        <f>'прил. 1  (3)'!$P$14</f>
        <v>84.475129200488425</v>
      </c>
      <c r="R17" s="117" t="s">
        <v>347</v>
      </c>
    </row>
    <row r="18" spans="1:18" ht="99" customHeight="1">
      <c r="A18" s="862"/>
      <c r="B18" s="860"/>
      <c r="C18" s="138" t="s">
        <v>356</v>
      </c>
      <c r="D18" s="322" t="s">
        <v>355</v>
      </c>
      <c r="E18" s="322">
        <v>0.01</v>
      </c>
      <c r="F18" s="133">
        <f>J18</f>
        <v>57.88</v>
      </c>
      <c r="G18" s="133"/>
      <c r="H18" s="133"/>
      <c r="I18" s="133"/>
      <c r="J18" s="142">
        <v>57.88</v>
      </c>
      <c r="K18" s="141">
        <f>'прил. 1  (3)'!$N$15</f>
        <v>60.211863075196412</v>
      </c>
      <c r="L18" s="124" t="s">
        <v>276</v>
      </c>
      <c r="M18" s="124" t="s">
        <v>276</v>
      </c>
      <c r="N18" s="124" t="s">
        <v>276</v>
      </c>
      <c r="O18" s="124" t="s">
        <v>276</v>
      </c>
      <c r="P18" s="124">
        <f>'прил. 1  (3)'!$O$15</f>
        <v>60.28369248035915</v>
      </c>
      <c r="Q18" s="124">
        <f>'прил. 1  (3)'!$P$15</f>
        <v>60.360011223344557</v>
      </c>
      <c r="R18" s="117" t="s">
        <v>347</v>
      </c>
    </row>
    <row r="19" spans="1:18" ht="127.5" customHeight="1">
      <c r="A19" s="862"/>
      <c r="B19" s="860"/>
      <c r="C19" s="139" t="s">
        <v>354</v>
      </c>
      <c r="D19" s="322" t="s">
        <v>348</v>
      </c>
      <c r="E19" s="322">
        <v>0.01</v>
      </c>
      <c r="F19" s="121">
        <f>J19</f>
        <v>12801.5</v>
      </c>
      <c r="G19" s="133"/>
      <c r="H19" s="133"/>
      <c r="I19" s="133"/>
      <c r="J19" s="132">
        <v>12801.5</v>
      </c>
      <c r="K19" s="128">
        <f>'прил. 1  (3)'!$N$16</f>
        <v>12731.924000000001</v>
      </c>
      <c r="L19" s="124" t="s">
        <v>276</v>
      </c>
      <c r="M19" s="124" t="s">
        <v>276</v>
      </c>
      <c r="N19" s="124" t="s">
        <v>276</v>
      </c>
      <c r="O19" s="124" t="s">
        <v>276</v>
      </c>
      <c r="P19" s="128">
        <f>'прил. 1  (3)'!$O$16</f>
        <v>12731.924000000001</v>
      </c>
      <c r="Q19" s="128">
        <f>'прил. 1  (3)'!$P$16</f>
        <v>12732.924000000001</v>
      </c>
      <c r="R19" s="117" t="s">
        <v>347</v>
      </c>
    </row>
    <row r="20" spans="1:18" ht="148.15" customHeight="1">
      <c r="A20" s="862"/>
      <c r="B20" s="860"/>
      <c r="C20" s="138" t="s">
        <v>752</v>
      </c>
      <c r="D20" s="322" t="s">
        <v>348</v>
      </c>
      <c r="E20" s="322">
        <v>0.08</v>
      </c>
      <c r="F20" s="121">
        <f>J20</f>
        <v>38.299999999999997</v>
      </c>
      <c r="G20" s="133"/>
      <c r="H20" s="133"/>
      <c r="I20" s="133"/>
      <c r="J20" s="120">
        <v>38.299999999999997</v>
      </c>
      <c r="K20" s="128">
        <f>'прил. 1  (3)'!$N$17</f>
        <v>34.485999999999997</v>
      </c>
      <c r="L20" s="124" t="s">
        <v>276</v>
      </c>
      <c r="M20" s="124" t="s">
        <v>276</v>
      </c>
      <c r="N20" s="124" t="s">
        <v>276</v>
      </c>
      <c r="O20" s="124" t="s">
        <v>276</v>
      </c>
      <c r="P20" s="128">
        <f>'прил. 1  (3)'!$O$17</f>
        <v>29.945</v>
      </c>
      <c r="Q20" s="128">
        <f>'прил. 1  (3)'!$P$17</f>
        <v>35</v>
      </c>
      <c r="R20" s="117" t="s">
        <v>347</v>
      </c>
    </row>
    <row r="21" spans="1:18" ht="78.75" customHeight="1">
      <c r="A21" s="862"/>
      <c r="B21" s="860"/>
      <c r="C21" s="288" t="s">
        <v>705</v>
      </c>
      <c r="D21" s="322" t="s">
        <v>736</v>
      </c>
      <c r="E21" s="322">
        <v>0.02</v>
      </c>
      <c r="F21" s="121"/>
      <c r="G21" s="133"/>
      <c r="H21" s="133"/>
      <c r="I21" s="133"/>
      <c r="J21" s="120"/>
      <c r="K21" s="128">
        <f>'прил. 1  (3)'!$N$18</f>
        <v>5</v>
      </c>
      <c r="L21" s="124" t="s">
        <v>276</v>
      </c>
      <c r="M21" s="124"/>
      <c r="N21" s="124"/>
      <c r="O21" s="124"/>
      <c r="P21" s="128">
        <v>5</v>
      </c>
      <c r="Q21" s="128">
        <v>5</v>
      </c>
      <c r="R21" s="117" t="s">
        <v>515</v>
      </c>
    </row>
    <row r="22" spans="1:18" ht="129.6" customHeight="1">
      <c r="A22" s="862"/>
      <c r="B22" s="860"/>
      <c r="C22" s="138" t="s">
        <v>684</v>
      </c>
      <c r="D22" s="322" t="s">
        <v>348</v>
      </c>
      <c r="E22" s="322">
        <v>0.02</v>
      </c>
      <c r="F22" s="121">
        <f>J22</f>
        <v>15.6</v>
      </c>
      <c r="G22" s="133"/>
      <c r="H22" s="133"/>
      <c r="I22" s="133"/>
      <c r="J22" s="120">
        <v>15.6</v>
      </c>
      <c r="K22" s="128">
        <f>'прил. 1  (3)'!$N$19</f>
        <v>1.5</v>
      </c>
      <c r="L22" s="124" t="s">
        <v>276</v>
      </c>
      <c r="M22" s="124" t="s">
        <v>276</v>
      </c>
      <c r="N22" s="124" t="s">
        <v>276</v>
      </c>
      <c r="O22" s="124" t="s">
        <v>276</v>
      </c>
      <c r="P22" s="128">
        <f>'прил. 1  (3)'!$O$19</f>
        <v>0</v>
      </c>
      <c r="Q22" s="128">
        <f>'прил. 1  (3)'!$P$19</f>
        <v>1</v>
      </c>
      <c r="R22" s="117" t="s">
        <v>347</v>
      </c>
    </row>
    <row r="23" spans="1:18" ht="225.75" customHeight="1">
      <c r="A23" s="862"/>
      <c r="B23" s="860"/>
      <c r="C23" s="138" t="s">
        <v>699</v>
      </c>
      <c r="D23" s="322" t="s">
        <v>348</v>
      </c>
      <c r="E23" s="322">
        <v>0.05</v>
      </c>
      <c r="F23" s="121">
        <v>10.9</v>
      </c>
      <c r="G23" s="133"/>
      <c r="H23" s="133"/>
      <c r="I23" s="133"/>
      <c r="J23" s="120">
        <v>10.9</v>
      </c>
      <c r="K23" s="128">
        <f>'прил. 1  (3)'!$N$20</f>
        <v>23.7</v>
      </c>
      <c r="L23" s="124" t="s">
        <v>276</v>
      </c>
      <c r="M23" s="124" t="s">
        <v>276</v>
      </c>
      <c r="N23" s="124" t="s">
        <v>276</v>
      </c>
      <c r="O23" s="124" t="s">
        <v>276</v>
      </c>
      <c r="P23" s="128">
        <f>'прил. 1  (3)'!$O$20</f>
        <v>26.1</v>
      </c>
      <c r="Q23" s="128">
        <f>'прил. 1  (3)'!$P$20</f>
        <v>32.1</v>
      </c>
      <c r="R23" s="117" t="s">
        <v>347</v>
      </c>
    </row>
    <row r="24" spans="1:18" ht="242.25" customHeight="1">
      <c r="A24" s="862"/>
      <c r="B24" s="860"/>
      <c r="C24" s="137" t="s">
        <v>700</v>
      </c>
      <c r="D24" s="322" t="s">
        <v>348</v>
      </c>
      <c r="E24" s="322">
        <v>0.03</v>
      </c>
      <c r="F24" s="121"/>
      <c r="G24" s="133"/>
      <c r="H24" s="133"/>
      <c r="I24" s="133"/>
      <c r="J24" s="120"/>
      <c r="K24" s="287">
        <f>'прил. 1  (3)'!$N$21</f>
        <v>12.486000000000001</v>
      </c>
      <c r="L24" s="287"/>
      <c r="M24" s="287"/>
      <c r="N24" s="287"/>
      <c r="O24" s="287"/>
      <c r="P24" s="287">
        <f>'прил. 1  (3)'!$O$21</f>
        <v>12.8</v>
      </c>
      <c r="Q24" s="287">
        <f>'прил. 1  (3)'!$P$21</f>
        <v>12.6</v>
      </c>
      <c r="R24" s="117" t="s">
        <v>347</v>
      </c>
    </row>
    <row r="25" spans="1:18" ht="178.5">
      <c r="A25" s="862"/>
      <c r="B25" s="860"/>
      <c r="C25" s="307" t="s">
        <v>678</v>
      </c>
      <c r="D25" s="477" t="s">
        <v>349</v>
      </c>
      <c r="E25" s="477">
        <v>0.13900000000000001</v>
      </c>
      <c r="F25" s="121"/>
      <c r="G25" s="133"/>
      <c r="H25" s="133"/>
      <c r="I25" s="133"/>
      <c r="J25" s="120"/>
      <c r="K25" s="532">
        <f>'прил. 1  (3)'!$N$22</f>
        <v>13.99</v>
      </c>
      <c r="L25" s="532"/>
      <c r="M25" s="532" t="s">
        <v>276</v>
      </c>
      <c r="N25" s="532"/>
      <c r="O25" s="532" t="s">
        <v>276</v>
      </c>
      <c r="P25" s="532">
        <f>'прил. 1  (3)'!$O$22</f>
        <v>44.16</v>
      </c>
      <c r="Q25" s="532">
        <f>'прил. 1  (3)'!$P$22</f>
        <v>71.61</v>
      </c>
      <c r="R25" s="117" t="s">
        <v>515</v>
      </c>
    </row>
    <row r="26" spans="1:18" ht="247.5" customHeight="1">
      <c r="A26" s="862"/>
      <c r="B26" s="860"/>
      <c r="C26" s="307" t="s">
        <v>676</v>
      </c>
      <c r="D26" s="477" t="s">
        <v>349</v>
      </c>
      <c r="E26" s="477">
        <v>1E-3</v>
      </c>
      <c r="F26" s="121"/>
      <c r="G26" s="133"/>
      <c r="H26" s="133"/>
      <c r="I26" s="133"/>
      <c r="J26" s="120"/>
      <c r="K26" s="124">
        <f>'прил. 1  (3)'!$N$23</f>
        <v>33.270000000000003</v>
      </c>
      <c r="L26" s="124"/>
      <c r="M26" s="124"/>
      <c r="N26" s="124"/>
      <c r="O26" s="124"/>
      <c r="P26" s="124">
        <f>'прил. 1  (3)'!$O$23</f>
        <v>73.56</v>
      </c>
      <c r="Q26" s="124">
        <f>'прил. 1  (3)'!$P$23</f>
        <v>86.22</v>
      </c>
      <c r="R26" s="117" t="s">
        <v>515</v>
      </c>
    </row>
    <row r="27" spans="1:18" ht="102">
      <c r="A27" s="862"/>
      <c r="B27" s="860"/>
      <c r="C27" s="288" t="s">
        <v>701</v>
      </c>
      <c r="D27" s="322" t="s">
        <v>468</v>
      </c>
      <c r="E27" s="322">
        <v>0.02</v>
      </c>
      <c r="F27" s="121"/>
      <c r="G27" s="133"/>
      <c r="H27" s="133"/>
      <c r="I27" s="133"/>
      <c r="J27" s="120"/>
      <c r="K27" s="128">
        <v>38</v>
      </c>
      <c r="L27" s="124"/>
      <c r="M27" s="124"/>
      <c r="N27" s="124"/>
      <c r="O27" s="124"/>
      <c r="P27" s="124" t="s">
        <v>276</v>
      </c>
      <c r="Q27" s="124" t="s">
        <v>276</v>
      </c>
      <c r="R27" s="117" t="s">
        <v>347</v>
      </c>
    </row>
    <row r="28" spans="1:18" ht="135.6" hidden="1" customHeight="1">
      <c r="A28" s="862"/>
      <c r="B28" s="860"/>
      <c r="C28" s="136" t="s">
        <v>702</v>
      </c>
      <c r="D28" s="322" t="s">
        <v>348</v>
      </c>
      <c r="E28" s="128" t="s">
        <v>276</v>
      </c>
      <c r="F28" s="121"/>
      <c r="G28" s="133"/>
      <c r="H28" s="133"/>
      <c r="I28" s="133"/>
      <c r="J28" s="120"/>
      <c r="K28" s="128" t="s">
        <v>276</v>
      </c>
      <c r="L28" s="124" t="s">
        <v>276</v>
      </c>
      <c r="M28" s="124" t="s">
        <v>276</v>
      </c>
      <c r="N28" s="124" t="s">
        <v>276</v>
      </c>
      <c r="O28" s="124" t="s">
        <v>276</v>
      </c>
      <c r="P28" s="128" t="s">
        <v>276</v>
      </c>
      <c r="Q28" s="128" t="s">
        <v>276</v>
      </c>
      <c r="R28" s="117" t="s">
        <v>704</v>
      </c>
    </row>
    <row r="29" spans="1:18" ht="204">
      <c r="A29" s="862"/>
      <c r="B29" s="860"/>
      <c r="C29" s="136" t="s">
        <v>703</v>
      </c>
      <c r="D29" s="322" t="s">
        <v>349</v>
      </c>
      <c r="E29" s="322">
        <v>0.04</v>
      </c>
      <c r="F29" s="121"/>
      <c r="G29" s="133"/>
      <c r="H29" s="133"/>
      <c r="I29" s="133"/>
      <c r="J29" s="120"/>
      <c r="K29" s="128">
        <f>'прил. 1  (3)'!$N$26</f>
        <v>60.2</v>
      </c>
      <c r="L29" s="124"/>
      <c r="M29" s="124"/>
      <c r="N29" s="124"/>
      <c r="O29" s="124"/>
      <c r="P29" s="128">
        <f>'прил. 1  (3)'!$O$26</f>
        <v>59.026678483485696</v>
      </c>
      <c r="Q29" s="128">
        <f>'прил. 1  (3)'!$P$26</f>
        <v>57.681362112897247</v>
      </c>
      <c r="R29" s="117" t="s">
        <v>347</v>
      </c>
    </row>
    <row r="30" spans="1:18" ht="114.75" hidden="1" customHeight="1">
      <c r="A30" s="862"/>
      <c r="B30" s="860"/>
      <c r="C30" s="135" t="s">
        <v>672</v>
      </c>
      <c r="D30" s="322" t="s">
        <v>348</v>
      </c>
      <c r="E30" s="322">
        <v>0</v>
      </c>
      <c r="F30" s="121"/>
      <c r="G30" s="133"/>
      <c r="H30" s="133"/>
      <c r="I30" s="133"/>
      <c r="J30" s="120"/>
      <c r="K30" s="128">
        <f>'прил. 1  (3)'!$M$27</f>
        <v>6772.6279999999997</v>
      </c>
      <c r="L30" s="124"/>
      <c r="M30" s="124"/>
      <c r="N30" s="124"/>
      <c r="O30" s="124"/>
      <c r="P30" s="128">
        <f>'прил. 1  (3)'!$N$27</f>
        <v>6774.6279999999997</v>
      </c>
      <c r="Q30" s="128">
        <f>'прил. 1  (3)'!$O$27</f>
        <v>6776.6279999999997</v>
      </c>
      <c r="R30" s="117" t="s">
        <v>347</v>
      </c>
    </row>
    <row r="31" spans="1:18" ht="89.25">
      <c r="A31" s="862"/>
      <c r="B31" s="860"/>
      <c r="C31" s="135" t="s">
        <v>815</v>
      </c>
      <c r="D31" s="530" t="s">
        <v>348</v>
      </c>
      <c r="E31" s="530">
        <v>0.01</v>
      </c>
      <c r="F31" s="121"/>
      <c r="G31" s="133"/>
      <c r="H31" s="133"/>
      <c r="I31" s="133"/>
      <c r="J31" s="120"/>
      <c r="K31" s="128">
        <f>'прил. 1  (3)'!$N$28</f>
        <v>2002.1699999999998</v>
      </c>
      <c r="L31" s="124"/>
      <c r="M31" s="124"/>
      <c r="N31" s="124"/>
      <c r="O31" s="124"/>
      <c r="P31" s="128">
        <f>'прил. 1  (3)'!$O$28</f>
        <v>1989.37</v>
      </c>
      <c r="Q31" s="128">
        <f>'прил. 1  (3)'!$P$28</f>
        <v>1974.37</v>
      </c>
      <c r="R31" s="117" t="s">
        <v>347</v>
      </c>
    </row>
    <row r="32" spans="1:18" ht="127.5">
      <c r="A32" s="862"/>
      <c r="B32" s="860"/>
      <c r="C32" s="135" t="s">
        <v>819</v>
      </c>
      <c r="D32" s="530" t="s">
        <v>349</v>
      </c>
      <c r="E32" s="530">
        <v>0.01</v>
      </c>
      <c r="F32" s="121"/>
      <c r="G32" s="133"/>
      <c r="H32" s="133"/>
      <c r="I32" s="133"/>
      <c r="J32" s="120"/>
      <c r="K32" s="532">
        <f>'прил. 1  (3)'!$N$29</f>
        <v>36.4</v>
      </c>
      <c r="L32" s="532"/>
      <c r="M32" s="532"/>
      <c r="N32" s="532"/>
      <c r="O32" s="532"/>
      <c r="P32" s="532">
        <f>'прил. 1  (3)'!$O$29</f>
        <v>70</v>
      </c>
      <c r="Q32" s="532">
        <f>'прил. 1  (3)'!$P$29</f>
        <v>100</v>
      </c>
      <c r="R32" s="117"/>
    </row>
    <row r="33" spans="1:26" ht="15.75" hidden="1" customHeight="1">
      <c r="A33" s="862"/>
      <c r="B33" s="860"/>
      <c r="C33" s="135"/>
      <c r="D33" s="620"/>
      <c r="E33" s="620"/>
      <c r="F33" s="121"/>
      <c r="G33" s="133"/>
      <c r="H33" s="133"/>
      <c r="I33" s="133"/>
      <c r="J33" s="120"/>
      <c r="K33" s="532"/>
      <c r="L33" s="532"/>
      <c r="M33" s="532"/>
      <c r="N33" s="532"/>
      <c r="O33" s="532"/>
      <c r="P33" s="532"/>
      <c r="Q33" s="532"/>
      <c r="R33" s="117"/>
    </row>
    <row r="34" spans="1:26" ht="15.75" hidden="1" customHeight="1">
      <c r="A34" s="862"/>
      <c r="B34" s="860"/>
      <c r="C34" s="135"/>
      <c r="D34" s="620"/>
      <c r="E34" s="620"/>
      <c r="F34" s="121"/>
      <c r="G34" s="133"/>
      <c r="H34" s="133"/>
      <c r="I34" s="133"/>
      <c r="J34" s="120"/>
      <c r="K34" s="532"/>
      <c r="L34" s="532"/>
      <c r="M34" s="532"/>
      <c r="N34" s="532"/>
      <c r="O34" s="532"/>
      <c r="P34" s="532"/>
      <c r="Q34" s="532"/>
      <c r="R34" s="117"/>
    </row>
    <row r="35" spans="1:26" ht="117.75" customHeight="1">
      <c r="A35" s="862"/>
      <c r="B35" s="861"/>
      <c r="C35" s="134" t="s">
        <v>810</v>
      </c>
      <c r="D35" s="322" t="s">
        <v>349</v>
      </c>
      <c r="E35" s="322">
        <v>0.01</v>
      </c>
      <c r="F35" s="121"/>
      <c r="G35" s="133"/>
      <c r="H35" s="133"/>
      <c r="I35" s="133"/>
      <c r="J35" s="120"/>
      <c r="K35" s="532">
        <f>'прил. 1  (3)'!$N$30</f>
        <v>57</v>
      </c>
      <c r="L35" s="532"/>
      <c r="M35" s="532"/>
      <c r="N35" s="532"/>
      <c r="O35" s="532"/>
      <c r="P35" s="532">
        <f>'прил. 1  (3)'!$O$30</f>
        <v>100</v>
      </c>
      <c r="Q35" s="532"/>
      <c r="R35" s="117" t="s">
        <v>347</v>
      </c>
    </row>
    <row r="36" spans="1:26" ht="69" customHeight="1">
      <c r="A36" s="862"/>
      <c r="B36" s="619"/>
      <c r="C36" s="625" t="s">
        <v>1151</v>
      </c>
      <c r="D36" s="620" t="s">
        <v>349</v>
      </c>
      <c r="E36" s="620">
        <v>0.01</v>
      </c>
      <c r="F36" s="121"/>
      <c r="G36" s="133"/>
      <c r="H36" s="133"/>
      <c r="I36" s="133"/>
      <c r="J36" s="120"/>
      <c r="K36" s="532">
        <f>'прил. 1  (3)'!$N$31</f>
        <v>1</v>
      </c>
      <c r="L36" s="532"/>
      <c r="M36" s="532"/>
      <c r="N36" s="532"/>
      <c r="O36" s="532"/>
      <c r="P36" s="532">
        <f>'прил. 1  (3)'!$O$31</f>
        <v>5</v>
      </c>
      <c r="Q36" s="532">
        <f>'прил. 1  (3)'!$P$31</f>
        <v>10</v>
      </c>
      <c r="R36" s="117" t="s">
        <v>515</v>
      </c>
    </row>
    <row r="37" spans="1:26" ht="175.9" customHeight="1">
      <c r="A37" s="862"/>
      <c r="B37" s="864" t="s">
        <v>450</v>
      </c>
      <c r="C37" s="122" t="s">
        <v>812</v>
      </c>
      <c r="D37" s="322" t="s">
        <v>348</v>
      </c>
      <c r="E37" s="322">
        <v>0.09</v>
      </c>
      <c r="F37" s="121">
        <f>J37</f>
        <v>9325.9000000000015</v>
      </c>
      <c r="G37" s="322"/>
      <c r="H37" s="322"/>
      <c r="I37" s="322"/>
      <c r="J37" s="120">
        <f>J38+J39</f>
        <v>9325.9000000000015</v>
      </c>
      <c r="K37" s="128">
        <f>'прил. 1  (3)'!$N$32</f>
        <v>14330.085751999999</v>
      </c>
      <c r="L37" s="124" t="s">
        <v>276</v>
      </c>
      <c r="M37" s="124" t="s">
        <v>276</v>
      </c>
      <c r="N37" s="124" t="s">
        <v>276</v>
      </c>
      <c r="O37" s="124" t="s">
        <v>276</v>
      </c>
      <c r="P37" s="128">
        <f>'прил. 1  (3)'!$O$32</f>
        <v>14497.97615575825</v>
      </c>
      <c r="Q37" s="128">
        <f>'прил. 1  (3)'!$P$32</f>
        <v>14688.787999999999</v>
      </c>
      <c r="R37" s="117" t="s">
        <v>347</v>
      </c>
      <c r="S37" s="129"/>
      <c r="T37" s="129"/>
      <c r="U37" s="129"/>
      <c r="V37" s="129"/>
      <c r="W37" s="129"/>
      <c r="X37" s="129"/>
      <c r="Y37" s="129"/>
      <c r="Z37" s="129"/>
    </row>
    <row r="38" spans="1:26" ht="63.75">
      <c r="A38" s="862"/>
      <c r="B38" s="865"/>
      <c r="C38" s="125" t="s">
        <v>351</v>
      </c>
      <c r="D38" s="322" t="s">
        <v>348</v>
      </c>
      <c r="E38" s="322"/>
      <c r="F38" s="121">
        <f>J38</f>
        <v>4635.6000000000004</v>
      </c>
      <c r="G38" s="322"/>
      <c r="H38" s="322"/>
      <c r="I38" s="322"/>
      <c r="J38" s="132">
        <v>4635.6000000000004</v>
      </c>
      <c r="K38" s="128">
        <f>'прил. 1  (3)'!$N$33</f>
        <v>5067.3057520000002</v>
      </c>
      <c r="L38" s="124" t="s">
        <v>276</v>
      </c>
      <c r="M38" s="124" t="s">
        <v>276</v>
      </c>
      <c r="N38" s="124" t="s">
        <v>276</v>
      </c>
      <c r="O38" s="124" t="s">
        <v>276</v>
      </c>
      <c r="P38" s="128">
        <f>'прил. 1  (3)'!$O$33</f>
        <v>5216.6921557582491</v>
      </c>
      <c r="Q38" s="128">
        <f>'прил. 1  (3)'!$P$33</f>
        <v>5388.4</v>
      </c>
      <c r="R38" s="117"/>
      <c r="S38" s="129"/>
      <c r="T38" s="129"/>
      <c r="U38" s="129"/>
      <c r="V38" s="129"/>
      <c r="W38" s="129"/>
      <c r="X38" s="129"/>
      <c r="Y38" s="129"/>
      <c r="Z38" s="129"/>
    </row>
    <row r="39" spans="1:26" ht="52.9" customHeight="1">
      <c r="A39" s="862"/>
      <c r="B39" s="865"/>
      <c r="C39" s="122" t="s">
        <v>350</v>
      </c>
      <c r="D39" s="322" t="s">
        <v>348</v>
      </c>
      <c r="E39" s="322"/>
      <c r="F39" s="121">
        <f>J39</f>
        <v>4690.3</v>
      </c>
      <c r="G39" s="322"/>
      <c r="H39" s="322"/>
      <c r="I39" s="322"/>
      <c r="J39" s="120">
        <v>4690.3</v>
      </c>
      <c r="K39" s="128">
        <f>'прил. 1  (3)'!$N$34</f>
        <v>9262.7799999999988</v>
      </c>
      <c r="L39" s="124" t="s">
        <v>276</v>
      </c>
      <c r="M39" s="124" t="s">
        <v>276</v>
      </c>
      <c r="N39" s="124" t="s">
        <v>276</v>
      </c>
      <c r="O39" s="124" t="s">
        <v>276</v>
      </c>
      <c r="P39" s="128">
        <f>'прил. 1  (3)'!$O$34</f>
        <v>9281.2839999999997</v>
      </c>
      <c r="Q39" s="128">
        <f>'прил. 1  (3)'!$P$34</f>
        <v>9300.387999999999</v>
      </c>
      <c r="R39" s="117"/>
      <c r="S39" s="129"/>
      <c r="T39" s="129"/>
      <c r="U39" s="129"/>
      <c r="V39" s="129"/>
      <c r="W39" s="129"/>
      <c r="X39" s="129"/>
      <c r="Y39" s="129"/>
      <c r="Z39" s="129"/>
    </row>
    <row r="40" spans="1:26" ht="183.6" customHeight="1">
      <c r="A40" s="862"/>
      <c r="B40" s="865"/>
      <c r="C40" s="122" t="s">
        <v>816</v>
      </c>
      <c r="D40" s="131" t="s">
        <v>348</v>
      </c>
      <c r="E40" s="322">
        <v>0.08</v>
      </c>
      <c r="F40" s="121"/>
      <c r="G40" s="322"/>
      <c r="H40" s="322"/>
      <c r="I40" s="322"/>
      <c r="J40" s="120">
        <f>J41+J42</f>
        <v>202.7</v>
      </c>
      <c r="K40" s="128">
        <f>'прил. 1  (3)'!$N$35</f>
        <v>412.2</v>
      </c>
      <c r="L40" s="124" t="s">
        <v>276</v>
      </c>
      <c r="M40" s="124" t="s">
        <v>276</v>
      </c>
      <c r="N40" s="124" t="s">
        <v>276</v>
      </c>
      <c r="O40" s="124" t="s">
        <v>276</v>
      </c>
      <c r="P40" s="128">
        <f>'прил. 1  (3)'!$O$35</f>
        <v>394.2</v>
      </c>
      <c r="Q40" s="128">
        <f>'прил. 1  (3)'!$P$35</f>
        <v>383</v>
      </c>
      <c r="R40" s="117" t="s">
        <v>352</v>
      </c>
      <c r="S40" s="129"/>
      <c r="T40" s="129"/>
      <c r="U40" s="129"/>
      <c r="V40" s="129"/>
      <c r="W40" s="129"/>
      <c r="X40" s="129"/>
      <c r="Y40" s="129"/>
      <c r="Z40" s="129"/>
    </row>
    <row r="41" spans="1:26" ht="68.25" customHeight="1">
      <c r="A41" s="862"/>
      <c r="B41" s="865"/>
      <c r="C41" s="125" t="s">
        <v>351</v>
      </c>
      <c r="D41" s="131" t="s">
        <v>348</v>
      </c>
      <c r="E41" s="322"/>
      <c r="F41" s="121"/>
      <c r="G41" s="322"/>
      <c r="H41" s="322"/>
      <c r="I41" s="322"/>
      <c r="J41" s="120">
        <f>20+12.7</f>
        <v>32.700000000000003</v>
      </c>
      <c r="K41" s="128">
        <f>'прил. 1  (3)'!$N$36</f>
        <v>162.19999999999999</v>
      </c>
      <c r="L41" s="124" t="s">
        <v>276</v>
      </c>
      <c r="M41" s="124" t="s">
        <v>276</v>
      </c>
      <c r="N41" s="124" t="s">
        <v>276</v>
      </c>
      <c r="O41" s="124" t="s">
        <v>276</v>
      </c>
      <c r="P41" s="128">
        <f>'прил. 1  (3)'!$O$36</f>
        <v>244.2</v>
      </c>
      <c r="Q41" s="128">
        <f>'прил. 1  (3)'!$P$36</f>
        <v>233</v>
      </c>
      <c r="R41" s="117"/>
      <c r="S41" s="129"/>
      <c r="T41" s="129"/>
      <c r="U41" s="129"/>
      <c r="V41" s="129"/>
      <c r="W41" s="129"/>
      <c r="X41" s="129"/>
      <c r="Y41" s="129"/>
      <c r="Z41" s="129"/>
    </row>
    <row r="42" spans="1:26" ht="38.25">
      <c r="A42" s="862"/>
      <c r="B42" s="865"/>
      <c r="C42" s="122" t="s">
        <v>350</v>
      </c>
      <c r="D42" s="131" t="s">
        <v>348</v>
      </c>
      <c r="E42" s="322"/>
      <c r="F42" s="121"/>
      <c r="G42" s="322"/>
      <c r="H42" s="322"/>
      <c r="I42" s="322"/>
      <c r="J42" s="120">
        <v>170</v>
      </c>
      <c r="K42" s="128">
        <f>'прил. 1  (3)'!$N$37</f>
        <v>250</v>
      </c>
      <c r="L42" s="124" t="s">
        <v>276</v>
      </c>
      <c r="M42" s="124" t="s">
        <v>276</v>
      </c>
      <c r="N42" s="124" t="s">
        <v>276</v>
      </c>
      <c r="O42" s="124" t="s">
        <v>276</v>
      </c>
      <c r="P42" s="128">
        <f>'прил. 1  (3)'!$O$37</f>
        <v>150</v>
      </c>
      <c r="Q42" s="128">
        <f>'прил. 1  (3)'!$P$37</f>
        <v>150</v>
      </c>
      <c r="R42" s="117"/>
      <c r="S42" s="129"/>
      <c r="T42" s="129"/>
      <c r="U42" s="129"/>
      <c r="V42" s="129"/>
      <c r="W42" s="129"/>
      <c r="X42" s="129"/>
      <c r="Y42" s="129"/>
      <c r="Z42" s="129"/>
    </row>
    <row r="43" spans="1:26" s="449" customFormat="1" ht="98.25" hidden="1" customHeight="1">
      <c r="A43" s="862"/>
      <c r="B43" s="865"/>
      <c r="C43" s="440" t="s">
        <v>737</v>
      </c>
      <c r="D43" s="441" t="s">
        <v>468</v>
      </c>
      <c r="E43" s="442">
        <v>0</v>
      </c>
      <c r="F43" s="443"/>
      <c r="G43" s="442"/>
      <c r="H43" s="442"/>
      <c r="I43" s="442"/>
      <c r="J43" s="444"/>
      <c r="K43" s="445">
        <f>'прил. 1  (3)'!$M$38</f>
        <v>16</v>
      </c>
      <c r="L43" s="446"/>
      <c r="M43" s="446"/>
      <c r="N43" s="446"/>
      <c r="O43" s="446"/>
      <c r="P43" s="445">
        <f>'прил. 1  (3)'!$N$38</f>
        <v>7</v>
      </c>
      <c r="Q43" s="445">
        <f>'прил. 1  (3)'!$O$38</f>
        <v>5</v>
      </c>
      <c r="R43" s="447" t="s">
        <v>347</v>
      </c>
      <c r="S43" s="448"/>
      <c r="T43" s="448"/>
      <c r="U43" s="448"/>
      <c r="V43" s="448"/>
      <c r="W43" s="448"/>
      <c r="X43" s="448"/>
      <c r="Y43" s="448"/>
      <c r="Z43" s="448"/>
    </row>
    <row r="44" spans="1:26" ht="114.75" hidden="1">
      <c r="A44" s="862"/>
      <c r="B44" s="865"/>
      <c r="C44" s="122" t="s">
        <v>817</v>
      </c>
      <c r="D44" s="131" t="s">
        <v>348</v>
      </c>
      <c r="E44" s="322">
        <v>0</v>
      </c>
      <c r="F44" s="121"/>
      <c r="G44" s="322"/>
      <c r="H44" s="322"/>
      <c r="I44" s="322"/>
      <c r="J44" s="120"/>
      <c r="K44" s="128">
        <v>0</v>
      </c>
      <c r="L44" s="124"/>
      <c r="M44" s="124"/>
      <c r="N44" s="124"/>
      <c r="O44" s="124"/>
      <c r="P44" s="128" t="s">
        <v>276</v>
      </c>
      <c r="Q44" s="128" t="s">
        <v>276</v>
      </c>
      <c r="R44" s="117" t="s">
        <v>347</v>
      </c>
      <c r="S44" s="129"/>
      <c r="T44" s="129"/>
      <c r="U44" s="129"/>
      <c r="V44" s="129"/>
      <c r="W44" s="129"/>
      <c r="X44" s="129"/>
      <c r="Y44" s="129"/>
      <c r="Z44" s="129"/>
    </row>
    <row r="45" spans="1:26" ht="153">
      <c r="A45" s="862"/>
      <c r="B45" s="865"/>
      <c r="C45" s="122" t="s">
        <v>1044</v>
      </c>
      <c r="D45" s="131" t="s">
        <v>349</v>
      </c>
      <c r="E45" s="322">
        <v>0.1</v>
      </c>
      <c r="F45" s="121"/>
      <c r="G45" s="322"/>
      <c r="H45" s="322"/>
      <c r="I45" s="322"/>
      <c r="J45" s="130">
        <f>J37/SUM(J19+J50)</f>
        <v>0.36759123857423842</v>
      </c>
      <c r="K45" s="128">
        <v>52.2</v>
      </c>
      <c r="L45" s="124" t="s">
        <v>276</v>
      </c>
      <c r="M45" s="124" t="s">
        <v>276</v>
      </c>
      <c r="N45" s="124" t="s">
        <v>276</v>
      </c>
      <c r="O45" s="124" t="s">
        <v>276</v>
      </c>
      <c r="P45" s="128">
        <v>52.8</v>
      </c>
      <c r="Q45" s="128">
        <v>53.5</v>
      </c>
      <c r="R45" s="117" t="s">
        <v>347</v>
      </c>
      <c r="S45" s="129"/>
      <c r="T45" s="129"/>
      <c r="U45" s="129"/>
      <c r="V45" s="129"/>
      <c r="W45" s="129"/>
      <c r="X45" s="129"/>
      <c r="Y45" s="129"/>
      <c r="Z45" s="129"/>
    </row>
    <row r="46" spans="1:26" ht="63.75">
      <c r="A46" s="862"/>
      <c r="B46" s="865"/>
      <c r="C46" s="125" t="s">
        <v>351</v>
      </c>
      <c r="D46" s="131" t="s">
        <v>349</v>
      </c>
      <c r="E46" s="322"/>
      <c r="F46" s="121"/>
      <c r="G46" s="322"/>
      <c r="H46" s="322"/>
      <c r="I46" s="322"/>
      <c r="J46" s="130">
        <f>J38/J19</f>
        <v>0.36211381478732962</v>
      </c>
      <c r="K46" s="128">
        <f>'прил. 1  (3)'!$N$41</f>
        <v>39.799999999999997</v>
      </c>
      <c r="L46" s="124" t="s">
        <v>276</v>
      </c>
      <c r="M46" s="124" t="s">
        <v>276</v>
      </c>
      <c r="N46" s="124" t="s">
        <v>276</v>
      </c>
      <c r="O46" s="124" t="s">
        <v>276</v>
      </c>
      <c r="P46" s="128">
        <f>'прил. 1  (3)'!$O$41</f>
        <v>40.973321516514304</v>
      </c>
      <c r="Q46" s="128">
        <f>'прил. 1  (3)'!$P$41</f>
        <v>42.318637887102753</v>
      </c>
      <c r="R46" s="117"/>
      <c r="S46" s="129"/>
      <c r="T46" s="129"/>
      <c r="U46" s="129"/>
      <c r="V46" s="129"/>
      <c r="W46" s="129"/>
      <c r="X46" s="129"/>
      <c r="Y46" s="129"/>
      <c r="Z46" s="129"/>
    </row>
    <row r="47" spans="1:26" ht="38.25">
      <c r="A47" s="862"/>
      <c r="B47" s="865"/>
      <c r="C47" s="122" t="s">
        <v>350</v>
      </c>
      <c r="D47" s="131" t="s">
        <v>349</v>
      </c>
      <c r="E47" s="322"/>
      <c r="F47" s="121"/>
      <c r="G47" s="322"/>
      <c r="H47" s="322"/>
      <c r="I47" s="322"/>
      <c r="J47" s="130">
        <f>J39/J50</f>
        <v>0.37317007192412965</v>
      </c>
      <c r="K47" s="123">
        <v>63</v>
      </c>
      <c r="L47" s="124" t="s">
        <v>276</v>
      </c>
      <c r="M47" s="124" t="s">
        <v>276</v>
      </c>
      <c r="N47" s="124" t="s">
        <v>276</v>
      </c>
      <c r="O47" s="124" t="s">
        <v>276</v>
      </c>
      <c r="P47" s="123">
        <v>63.1</v>
      </c>
      <c r="Q47" s="123">
        <v>63.2</v>
      </c>
      <c r="R47" s="117"/>
      <c r="S47" s="129"/>
      <c r="T47" s="129"/>
      <c r="U47" s="129"/>
      <c r="V47" s="129"/>
      <c r="W47" s="129"/>
      <c r="X47" s="129"/>
      <c r="Y47" s="129"/>
      <c r="Z47" s="129"/>
    </row>
    <row r="48" spans="1:26" ht="15.75" hidden="1" customHeight="1">
      <c r="A48" s="862"/>
      <c r="B48" s="865"/>
      <c r="C48" s="126" t="s">
        <v>859</v>
      </c>
      <c r="D48" s="322"/>
      <c r="E48" s="322"/>
      <c r="F48" s="121"/>
      <c r="G48" s="322"/>
      <c r="H48" s="322"/>
      <c r="I48" s="322"/>
      <c r="J48" s="128"/>
      <c r="K48" s="124"/>
      <c r="L48" s="124"/>
      <c r="M48" s="124"/>
      <c r="N48" s="124"/>
      <c r="O48" s="124"/>
      <c r="P48" s="127"/>
      <c r="Q48" s="127"/>
      <c r="R48" s="117"/>
    </row>
    <row r="49" spans="1:18" ht="114.75">
      <c r="A49" s="862"/>
      <c r="B49" s="865"/>
      <c r="C49" s="126" t="s">
        <v>1046</v>
      </c>
      <c r="D49" s="322" t="s">
        <v>349</v>
      </c>
      <c r="E49" s="322">
        <v>0.04</v>
      </c>
      <c r="F49" s="121">
        <f t="shared" ref="F49:F53" si="0">J49</f>
        <v>18.5</v>
      </c>
      <c r="G49" s="322"/>
      <c r="H49" s="322"/>
      <c r="I49" s="322"/>
      <c r="J49" s="322">
        <v>18.5</v>
      </c>
      <c r="K49" s="128">
        <f>'прил. 1  (3)'!$N$44</f>
        <v>19.11</v>
      </c>
      <c r="L49" s="124" t="s">
        <v>276</v>
      </c>
      <c r="M49" s="124" t="s">
        <v>276</v>
      </c>
      <c r="N49" s="124" t="s">
        <v>276</v>
      </c>
      <c r="O49" s="124" t="s">
        <v>276</v>
      </c>
      <c r="P49" s="123">
        <f>'прил. 1  (3)'!$O$44</f>
        <v>19.009999999999998</v>
      </c>
      <c r="Q49" s="123">
        <f>'прил. 1  (3)'!$P$44</f>
        <v>18.909999999999997</v>
      </c>
      <c r="R49" s="117" t="s">
        <v>347</v>
      </c>
    </row>
    <row r="50" spans="1:18" ht="76.5">
      <c r="A50" s="862"/>
      <c r="B50" s="865"/>
      <c r="C50" s="125" t="s">
        <v>1047</v>
      </c>
      <c r="D50" s="322" t="s">
        <v>348</v>
      </c>
      <c r="E50" s="322">
        <v>0.01</v>
      </c>
      <c r="F50" s="121">
        <f t="shared" si="0"/>
        <v>12568.8</v>
      </c>
      <c r="G50" s="322"/>
      <c r="H50" s="322"/>
      <c r="I50" s="322"/>
      <c r="J50" s="120">
        <v>12568.8</v>
      </c>
      <c r="K50" s="128">
        <f>'прил. 1  (3)'!$N$45</f>
        <v>14714.1</v>
      </c>
      <c r="L50" s="124" t="s">
        <v>276</v>
      </c>
      <c r="M50" s="124" t="s">
        <v>276</v>
      </c>
      <c r="N50" s="124" t="s">
        <v>276</v>
      </c>
      <c r="O50" s="124" t="s">
        <v>276</v>
      </c>
      <c r="P50" s="123">
        <f>'прил. 1  (3)'!$O$45</f>
        <v>14714.800000000001</v>
      </c>
      <c r="Q50" s="123">
        <f>'прил. 1  (3)'!$P$45</f>
        <v>14715.1</v>
      </c>
      <c r="R50" s="117" t="s">
        <v>347</v>
      </c>
    </row>
    <row r="51" spans="1:18" ht="89.25">
      <c r="A51" s="862"/>
      <c r="B51" s="865"/>
      <c r="C51" s="122" t="s">
        <v>1048</v>
      </c>
      <c r="D51" s="322" t="s">
        <v>348</v>
      </c>
      <c r="E51" s="322">
        <v>0.05</v>
      </c>
      <c r="F51" s="121">
        <f t="shared" si="0"/>
        <v>10.5</v>
      </c>
      <c r="G51" s="322"/>
      <c r="H51" s="322"/>
      <c r="I51" s="322"/>
      <c r="J51" s="120">
        <v>10.5</v>
      </c>
      <c r="K51" s="128">
        <f>'прил. 1  (3)'!$N$46</f>
        <v>4.5</v>
      </c>
      <c r="L51" s="124" t="s">
        <v>276</v>
      </c>
      <c r="M51" s="124" t="s">
        <v>276</v>
      </c>
      <c r="N51" s="124" t="s">
        <v>276</v>
      </c>
      <c r="O51" s="124" t="s">
        <v>276</v>
      </c>
      <c r="P51" s="123">
        <f>'прил. 1  (3)'!$O$46</f>
        <v>4.9000000000000004</v>
      </c>
      <c r="Q51" s="123">
        <f>'прил. 1  (3)'!$P$46</f>
        <v>9.5</v>
      </c>
      <c r="R51" s="117" t="s">
        <v>347</v>
      </c>
    </row>
    <row r="52" spans="1:18" ht="102">
      <c r="A52" s="862"/>
      <c r="B52" s="865"/>
      <c r="C52" s="122" t="s">
        <v>1049</v>
      </c>
      <c r="D52" s="322" t="s">
        <v>348</v>
      </c>
      <c r="E52" s="322">
        <v>0.03</v>
      </c>
      <c r="F52" s="121">
        <f t="shared" si="0"/>
        <v>3</v>
      </c>
      <c r="G52" s="322"/>
      <c r="H52" s="322"/>
      <c r="I52" s="322"/>
      <c r="J52" s="120">
        <v>3</v>
      </c>
      <c r="K52" s="128">
        <f>'прил. 1  (3)'!$N$47</f>
        <v>0.5</v>
      </c>
      <c r="L52" s="124" t="s">
        <v>276</v>
      </c>
      <c r="M52" s="124" t="s">
        <v>276</v>
      </c>
      <c r="N52" s="124" t="s">
        <v>276</v>
      </c>
      <c r="O52" s="124" t="s">
        <v>276</v>
      </c>
      <c r="P52" s="123">
        <f>'прил. 1  (3)'!$O$47</f>
        <v>0.7</v>
      </c>
      <c r="Q52" s="123">
        <f>'прил. 1  (3)'!$P$47</f>
        <v>0.3</v>
      </c>
      <c r="R52" s="117" t="s">
        <v>347</v>
      </c>
    </row>
    <row r="53" spans="1:18" ht="165.75">
      <c r="A53" s="862"/>
      <c r="B53" s="865"/>
      <c r="C53" s="122" t="s">
        <v>1050</v>
      </c>
      <c r="D53" s="322" t="s">
        <v>348</v>
      </c>
      <c r="E53" s="322">
        <v>0.02</v>
      </c>
      <c r="F53" s="121">
        <f t="shared" si="0"/>
        <v>7.5</v>
      </c>
      <c r="G53" s="322"/>
      <c r="H53" s="322"/>
      <c r="I53" s="322"/>
      <c r="J53" s="120">
        <v>7.5</v>
      </c>
      <c r="K53" s="128">
        <f>'прил. 1  (3)'!$N$48</f>
        <v>4</v>
      </c>
      <c r="L53" s="124" t="s">
        <v>276</v>
      </c>
      <c r="M53" s="124" t="s">
        <v>276</v>
      </c>
      <c r="N53" s="124" t="s">
        <v>276</v>
      </c>
      <c r="O53" s="124" t="s">
        <v>276</v>
      </c>
      <c r="P53" s="123">
        <f>'прил. 1  (3)'!$O$48</f>
        <v>4.2</v>
      </c>
      <c r="Q53" s="123">
        <f>'прил. 1  (3)'!$P$48</f>
        <v>9.1999999999999993</v>
      </c>
      <c r="R53" s="117" t="s">
        <v>347</v>
      </c>
    </row>
    <row r="54" spans="1:18" ht="89.25" hidden="1" customHeight="1">
      <c r="A54" s="862"/>
      <c r="B54" s="865"/>
      <c r="C54" s="122" t="s">
        <v>818</v>
      </c>
      <c r="D54" s="322" t="s">
        <v>348</v>
      </c>
      <c r="E54" s="322">
        <v>0</v>
      </c>
      <c r="F54" s="121"/>
      <c r="G54" s="322"/>
      <c r="H54" s="322"/>
      <c r="I54" s="322"/>
      <c r="J54" s="120"/>
      <c r="K54" s="119">
        <f>'прил. 1  (3)'!$M$49</f>
        <v>4162.1000000000004</v>
      </c>
      <c r="L54" s="119"/>
      <c r="M54" s="119"/>
      <c r="N54" s="119"/>
      <c r="O54" s="119"/>
      <c r="P54" s="118">
        <f>'прил. 1  (3)'!$N$49</f>
        <v>4172.1000000000004</v>
      </c>
      <c r="Q54" s="118">
        <f>'прил. 1  (3)'!$O$49</f>
        <v>4182.1000000000004</v>
      </c>
      <c r="R54" s="117" t="s">
        <v>347</v>
      </c>
    </row>
    <row r="55" spans="1:18" ht="76.5">
      <c r="A55" s="862"/>
      <c r="B55" s="865"/>
      <c r="C55" s="116" t="s">
        <v>1051</v>
      </c>
      <c r="D55" s="412" t="s">
        <v>348</v>
      </c>
      <c r="E55" s="412">
        <v>0.01</v>
      </c>
      <c r="F55" s="413">
        <v>7.5</v>
      </c>
      <c r="G55" s="412"/>
      <c r="H55" s="412"/>
      <c r="I55" s="412"/>
      <c r="J55" s="414">
        <v>7.5</v>
      </c>
      <c r="K55" s="415">
        <f>'прил. 1  (3)'!$N$50</f>
        <v>5814</v>
      </c>
      <c r="L55" s="415" t="s">
        <v>276</v>
      </c>
      <c r="M55" s="415" t="s">
        <v>276</v>
      </c>
      <c r="N55" s="415" t="s">
        <v>276</v>
      </c>
      <c r="O55" s="415" t="s">
        <v>276</v>
      </c>
      <c r="P55" s="416">
        <f>'прил. 1  (3)'!$O$50</f>
        <v>5799</v>
      </c>
      <c r="Q55" s="416">
        <f>'прил. 1  (3)'!$P$50</f>
        <v>5784</v>
      </c>
      <c r="R55" s="140" t="s">
        <v>347</v>
      </c>
    </row>
    <row r="56" spans="1:18" ht="102.75" customHeight="1">
      <c r="A56" s="862"/>
      <c r="B56" s="865"/>
      <c r="C56" s="138" t="s">
        <v>1058</v>
      </c>
      <c r="D56" s="115" t="s">
        <v>349</v>
      </c>
      <c r="E56" s="115">
        <v>0.02</v>
      </c>
      <c r="F56" s="115">
        <v>7.5</v>
      </c>
      <c r="G56" s="115"/>
      <c r="H56" s="115"/>
      <c r="I56" s="115"/>
      <c r="J56" s="115">
        <v>7.5</v>
      </c>
      <c r="K56" s="114">
        <f>'прил. 1  (3)'!$N$51</f>
        <v>63.4</v>
      </c>
      <c r="L56" s="114" t="s">
        <v>276</v>
      </c>
      <c r="M56" s="114" t="s">
        <v>276</v>
      </c>
      <c r="N56" s="114" t="s">
        <v>276</v>
      </c>
      <c r="O56" s="114" t="s">
        <v>276</v>
      </c>
      <c r="P56" s="114">
        <f>'прил. 1  (3)'!$O$51</f>
        <v>69.2</v>
      </c>
      <c r="Q56" s="114">
        <f>'прил. 1  (3)'!$P$51</f>
        <v>73.8</v>
      </c>
      <c r="R56" s="323" t="s">
        <v>347</v>
      </c>
    </row>
    <row r="57" spans="1:18" ht="94.5" customHeight="1">
      <c r="A57" s="862"/>
      <c r="B57" s="865"/>
      <c r="C57" s="433" t="s">
        <v>1059</v>
      </c>
      <c r="D57" s="115" t="s">
        <v>349</v>
      </c>
      <c r="E57" s="115">
        <v>0.02</v>
      </c>
      <c r="F57" s="115"/>
      <c r="G57" s="115"/>
      <c r="H57" s="115"/>
      <c r="I57" s="115"/>
      <c r="J57" s="115"/>
      <c r="K57" s="435">
        <f>'прил. 1  (3)'!$N$52</f>
        <v>1.42</v>
      </c>
      <c r="L57" s="435" t="s">
        <v>276</v>
      </c>
      <c r="M57" s="435" t="s">
        <v>276</v>
      </c>
      <c r="N57" s="435" t="s">
        <v>276</v>
      </c>
      <c r="O57" s="435" t="s">
        <v>276</v>
      </c>
      <c r="P57" s="435">
        <f>'прил. 1  (3)'!$O$52</f>
        <v>1.33</v>
      </c>
      <c r="Q57" s="435">
        <f>'прил. 1  (3)'!$P$52</f>
        <v>1.3</v>
      </c>
      <c r="R57" s="429" t="s">
        <v>347</v>
      </c>
    </row>
    <row r="58" spans="1:18" ht="102.75">
      <c r="A58" s="862"/>
      <c r="B58" s="865"/>
      <c r="C58" s="432" t="s">
        <v>1060</v>
      </c>
      <c r="D58" s="115" t="s">
        <v>349</v>
      </c>
      <c r="E58" s="115">
        <v>0.02</v>
      </c>
      <c r="F58" s="115"/>
      <c r="G58" s="115"/>
      <c r="H58" s="115"/>
      <c r="I58" s="115"/>
      <c r="J58" s="115"/>
      <c r="K58" s="114">
        <f>'прил. 1  (3)'!$N$53</f>
        <v>79.099999999999994</v>
      </c>
      <c r="L58" s="114" t="s">
        <v>276</v>
      </c>
      <c r="M58" s="114" t="s">
        <v>276</v>
      </c>
      <c r="N58" s="114" t="s">
        <v>276</v>
      </c>
      <c r="O58" s="114" t="s">
        <v>276</v>
      </c>
      <c r="P58" s="114">
        <f>'прил. 1  (3)'!$O$53</f>
        <v>72.099999999999994</v>
      </c>
      <c r="Q58" s="114">
        <f>'прил. 1  (3)'!$P$53</f>
        <v>65.099999999999994</v>
      </c>
      <c r="R58" s="429" t="s">
        <v>347</v>
      </c>
    </row>
    <row r="59" spans="1:18" ht="312.75" customHeight="1">
      <c r="A59" s="862"/>
      <c r="B59" s="865"/>
      <c r="C59" s="534" t="s">
        <v>1061</v>
      </c>
      <c r="D59" s="115" t="s">
        <v>349</v>
      </c>
      <c r="E59" s="115">
        <v>0.01</v>
      </c>
      <c r="F59" s="115"/>
      <c r="G59" s="115"/>
      <c r="H59" s="115"/>
      <c r="I59" s="115"/>
      <c r="J59" s="115"/>
      <c r="K59" s="114">
        <f>'прил. 1  (3)'!$N$54</f>
        <v>20</v>
      </c>
      <c r="L59" s="114" t="s">
        <v>276</v>
      </c>
      <c r="M59" s="114" t="s">
        <v>276</v>
      </c>
      <c r="N59" s="114" t="s">
        <v>276</v>
      </c>
      <c r="O59" s="114" t="s">
        <v>276</v>
      </c>
      <c r="P59" s="114">
        <f>'прил. 1  (3)'!$O$54</f>
        <v>40</v>
      </c>
      <c r="Q59" s="114">
        <f>'прил. 1  (3)'!$P$54</f>
        <v>53</v>
      </c>
      <c r="R59" s="429" t="s">
        <v>347</v>
      </c>
    </row>
    <row r="60" spans="1:18" ht="243" customHeight="1">
      <c r="A60" s="862"/>
      <c r="B60" s="865"/>
      <c r="C60" s="534" t="s">
        <v>1062</v>
      </c>
      <c r="D60" s="115" t="s">
        <v>349</v>
      </c>
      <c r="E60" s="115">
        <v>0.01</v>
      </c>
      <c r="F60" s="115"/>
      <c r="G60" s="115"/>
      <c r="H60" s="115"/>
      <c r="I60" s="115"/>
      <c r="J60" s="115"/>
      <c r="K60" s="114">
        <f>'прил. 1  (3)'!$N$55</f>
        <v>20</v>
      </c>
      <c r="L60" s="114" t="s">
        <v>276</v>
      </c>
      <c r="M60" s="114" t="s">
        <v>276</v>
      </c>
      <c r="N60" s="114" t="s">
        <v>276</v>
      </c>
      <c r="O60" s="114" t="s">
        <v>276</v>
      </c>
      <c r="P60" s="114">
        <f>'прил. 1  (3)'!$O$55</f>
        <v>35</v>
      </c>
      <c r="Q60" s="114">
        <f>'прил. 1  (3)'!$P$55</f>
        <v>50</v>
      </c>
      <c r="R60" s="429" t="s">
        <v>347</v>
      </c>
    </row>
    <row r="61" spans="1:18" ht="96.75" customHeight="1">
      <c r="A61" s="863"/>
      <c r="B61" s="866"/>
      <c r="C61" s="747" t="s">
        <v>1063</v>
      </c>
      <c r="D61" s="133" t="s">
        <v>349</v>
      </c>
      <c r="E61" s="133">
        <v>0.02</v>
      </c>
      <c r="F61" s="746"/>
      <c r="G61" s="746"/>
      <c r="H61" s="746"/>
      <c r="I61" s="746"/>
      <c r="J61" s="746"/>
      <c r="K61" s="124">
        <f>'прил. 1  (3)'!$N$56</f>
        <v>40.205649999999999</v>
      </c>
      <c r="L61" s="124" t="s">
        <v>276</v>
      </c>
      <c r="M61" s="124" t="s">
        <v>276</v>
      </c>
      <c r="N61" s="124" t="s">
        <v>276</v>
      </c>
      <c r="O61" s="124" t="s">
        <v>276</v>
      </c>
      <c r="P61" s="124">
        <f>'прил. 1  (3)'!$O$56</f>
        <v>42.560360000000003</v>
      </c>
      <c r="Q61" s="124">
        <f>'прил. 1  (3)'!$P$56</f>
        <v>44.091929999999998</v>
      </c>
      <c r="R61" s="747" t="s">
        <v>515</v>
      </c>
    </row>
    <row r="62" spans="1:18" ht="21" customHeight="1">
      <c r="A62" s="745"/>
      <c r="B62" s="745"/>
      <c r="C62" s="745"/>
      <c r="D62" s="745"/>
      <c r="E62" s="745"/>
      <c r="F62" s="745"/>
      <c r="G62" s="745"/>
      <c r="H62" s="745"/>
      <c r="I62" s="745"/>
      <c r="J62" s="745"/>
      <c r="K62" s="745"/>
      <c r="L62" s="745"/>
      <c r="M62" s="745"/>
      <c r="N62" s="745"/>
      <c r="O62" s="745"/>
      <c r="P62" s="745"/>
      <c r="Q62" s="745"/>
      <c r="R62" s="745"/>
    </row>
    <row r="63" spans="1:18" ht="27" customHeight="1">
      <c r="A63" s="857" t="s">
        <v>753</v>
      </c>
      <c r="B63" s="857"/>
      <c r="C63" s="857"/>
      <c r="D63" s="857"/>
      <c r="E63" s="857"/>
      <c r="F63" s="857"/>
      <c r="G63" s="857"/>
      <c r="H63" s="857"/>
      <c r="I63" s="857"/>
      <c r="J63" s="857"/>
      <c r="K63" s="857"/>
      <c r="L63" s="857"/>
      <c r="M63" s="857"/>
      <c r="N63" s="857"/>
      <c r="O63" s="857"/>
      <c r="P63" s="857"/>
      <c r="Q63" s="857"/>
      <c r="R63" s="857"/>
    </row>
    <row r="64" spans="1:18" ht="16.5" customHeight="1">
      <c r="A64" s="857"/>
      <c r="B64" s="857"/>
      <c r="C64" s="857"/>
      <c r="D64" s="857"/>
      <c r="E64" s="857"/>
      <c r="F64" s="857"/>
      <c r="G64" s="857"/>
      <c r="H64" s="857"/>
      <c r="I64" s="857"/>
      <c r="J64" s="857"/>
      <c r="K64" s="857"/>
      <c r="L64" s="857"/>
      <c r="M64" s="857"/>
      <c r="N64" s="857"/>
      <c r="O64" s="857"/>
      <c r="P64" s="857"/>
      <c r="Q64" s="857"/>
      <c r="R64" s="857"/>
    </row>
    <row r="65" spans="1:18" ht="6" customHeight="1"/>
    <row r="66" spans="1:18" hidden="1">
      <c r="A66" s="403" t="s">
        <v>467</v>
      </c>
      <c r="B66" s="403" t="s">
        <v>475</v>
      </c>
      <c r="C66" s="403"/>
      <c r="D66" s="403"/>
      <c r="E66" s="403"/>
      <c r="F66" s="403"/>
      <c r="G66" s="403"/>
      <c r="H66" s="403"/>
      <c r="I66" s="403"/>
      <c r="J66" s="403"/>
      <c r="K66" s="403"/>
      <c r="L66" s="403"/>
      <c r="M66" s="403"/>
      <c r="N66" s="403"/>
      <c r="O66" s="403"/>
      <c r="P66" s="403"/>
    </row>
    <row r="67" spans="1:18" ht="11.25" customHeight="1">
      <c r="A67" s="850" t="s">
        <v>754</v>
      </c>
      <c r="B67" s="850"/>
      <c r="C67" s="850"/>
      <c r="D67" s="850"/>
      <c r="E67" s="850"/>
      <c r="F67" s="850"/>
      <c r="G67" s="850"/>
      <c r="H67" s="850"/>
      <c r="I67" s="850"/>
      <c r="J67" s="850"/>
      <c r="K67" s="850"/>
      <c r="L67" s="850"/>
      <c r="M67" s="850"/>
      <c r="N67" s="850"/>
      <c r="O67" s="850"/>
      <c r="P67" s="850"/>
      <c r="Q67" s="850"/>
      <c r="R67" s="850"/>
    </row>
    <row r="68" spans="1:18">
      <c r="A68" s="850"/>
      <c r="B68" s="850"/>
      <c r="C68" s="850"/>
      <c r="D68" s="850"/>
      <c r="E68" s="850"/>
      <c r="F68" s="850"/>
      <c r="G68" s="850"/>
      <c r="H68" s="850"/>
      <c r="I68" s="850"/>
      <c r="J68" s="850"/>
      <c r="K68" s="850"/>
      <c r="L68" s="850"/>
      <c r="M68" s="850"/>
      <c r="N68" s="850"/>
      <c r="O68" s="850"/>
      <c r="P68" s="850"/>
      <c r="Q68" s="850"/>
      <c r="R68" s="850"/>
    </row>
    <row r="70" spans="1:18">
      <c r="A70" s="113" t="s">
        <v>1064</v>
      </c>
    </row>
  </sheetData>
  <mergeCells count="26">
    <mergeCell ref="B15:R15"/>
    <mergeCell ref="B16:R16"/>
    <mergeCell ref="B17:B35"/>
    <mergeCell ref="A11:A61"/>
    <mergeCell ref="B37:B61"/>
    <mergeCell ref="K12:K13"/>
    <mergeCell ref="L12:O12"/>
    <mergeCell ref="P12:P13"/>
    <mergeCell ref="Q12:Q13"/>
    <mergeCell ref="K11:Q11"/>
    <mergeCell ref="A67:R68"/>
    <mergeCell ref="B8:R8"/>
    <mergeCell ref="K1:R1"/>
    <mergeCell ref="B4:R4"/>
    <mergeCell ref="B5:R5"/>
    <mergeCell ref="K6:R6"/>
    <mergeCell ref="B7:R7"/>
    <mergeCell ref="B9:R9"/>
    <mergeCell ref="B11:B13"/>
    <mergeCell ref="C11:C13"/>
    <mergeCell ref="D11:D13"/>
    <mergeCell ref="E11:E13"/>
    <mergeCell ref="F11:F13"/>
    <mergeCell ref="G11:J12"/>
    <mergeCell ref="A63:R64"/>
    <mergeCell ref="R11:R13"/>
  </mergeCells>
  <printOptions horizontalCentered="1"/>
  <pageMargins left="0.70866141732283472" right="0.70866141732283472" top="0.74803149606299213" bottom="0.74803149606299213" header="0.31496062992125984" footer="0.31496062992125984"/>
  <pageSetup paperSize="9" scale="55"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37"/>
  <sheetViews>
    <sheetView view="pageBreakPreview" zoomScale="85" zoomScaleNormal="90" zoomScaleSheetLayoutView="85" workbookViewId="0">
      <selection activeCell="R196" sqref="R196"/>
    </sheetView>
  </sheetViews>
  <sheetFormatPr defaultColWidth="8.85546875" defaultRowHeight="15"/>
  <cols>
    <col min="1" max="1" width="39.42578125" style="10" customWidth="1"/>
    <col min="2" max="2" width="22.140625" style="824" customWidth="1"/>
    <col min="3" max="3" width="7.5703125" style="10" customWidth="1"/>
    <col min="4" max="5" width="9" style="10" bestFit="1" customWidth="1"/>
    <col min="6" max="6" width="14.140625" style="10" customWidth="1"/>
    <col min="7" max="7" width="7.5703125" style="10" customWidth="1"/>
    <col min="8" max="8" width="14.42578125" style="10" hidden="1" customWidth="1"/>
    <col min="9" max="12" width="13.5703125" style="10" hidden="1" customWidth="1"/>
    <col min="13" max="13" width="0.140625" style="10" hidden="1" customWidth="1"/>
    <col min="14" max="14" width="13.7109375" style="10" hidden="1" customWidth="1"/>
    <col min="15" max="15" width="11.42578125" style="10" hidden="1" customWidth="1"/>
    <col min="16" max="16" width="14.7109375" style="10" hidden="1" customWidth="1"/>
    <col min="17" max="17" width="12.140625" style="10" hidden="1" customWidth="1"/>
    <col min="18" max="21" width="13.5703125" style="10" customWidth="1"/>
    <col min="22" max="22" width="12.85546875" style="10" customWidth="1"/>
    <col min="23" max="24" width="16.140625" style="10" customWidth="1"/>
    <col min="25" max="25" width="15.140625" style="10" customWidth="1"/>
    <col min="26" max="26" width="19.5703125" style="10" customWidth="1"/>
    <col min="27" max="27" width="17.42578125" style="279" hidden="1" customWidth="1"/>
    <col min="28" max="28" width="12.85546875" style="10" hidden="1" customWidth="1"/>
    <col min="29" max="29" width="11.5703125" style="10" hidden="1" customWidth="1"/>
    <col min="30" max="30" width="10.7109375" style="10" hidden="1" customWidth="1"/>
    <col min="31" max="31" width="9.140625" style="10" hidden="1" customWidth="1"/>
    <col min="32" max="32" width="11.5703125" style="10" hidden="1" customWidth="1"/>
    <col min="33" max="34" width="11.7109375" style="10" hidden="1" customWidth="1"/>
    <col min="35" max="35" width="10.7109375" style="10" hidden="1" customWidth="1"/>
    <col min="36" max="53" width="0" style="10" hidden="1" customWidth="1"/>
    <col min="54" max="16384" width="8.85546875" style="10"/>
  </cols>
  <sheetData>
    <row r="1" spans="1:34" ht="37.15" customHeight="1">
      <c r="W1" s="914" t="s">
        <v>893</v>
      </c>
      <c r="X1" s="914"/>
      <c r="Y1" s="914"/>
      <c r="Z1" s="914"/>
    </row>
    <row r="2" spans="1:34" ht="22.9" customHeight="1">
      <c r="Z2" s="20" t="s">
        <v>191</v>
      </c>
    </row>
    <row r="3" spans="1:34" ht="20.45" customHeight="1">
      <c r="A3" s="915" t="s">
        <v>188</v>
      </c>
      <c r="B3" s="915"/>
      <c r="C3" s="915"/>
      <c r="D3" s="915"/>
      <c r="E3" s="915"/>
      <c r="F3" s="915"/>
      <c r="G3" s="915"/>
      <c r="H3" s="915"/>
      <c r="I3" s="915"/>
      <c r="J3" s="915"/>
      <c r="K3" s="915"/>
      <c r="L3" s="915"/>
      <c r="M3" s="915"/>
      <c r="N3" s="915"/>
      <c r="O3" s="915"/>
      <c r="P3" s="915"/>
      <c r="Q3" s="915"/>
      <c r="R3" s="915"/>
      <c r="S3" s="915"/>
      <c r="T3" s="915"/>
      <c r="U3" s="915"/>
      <c r="V3" s="915"/>
      <c r="W3" s="915"/>
      <c r="X3" s="915"/>
      <c r="Y3" s="915"/>
      <c r="Z3" s="915"/>
    </row>
    <row r="4" spans="1:34" ht="26.45" customHeight="1">
      <c r="A4" s="915" t="s">
        <v>189</v>
      </c>
      <c r="B4" s="915"/>
      <c r="C4" s="915"/>
      <c r="D4" s="915"/>
      <c r="E4" s="915"/>
      <c r="F4" s="915"/>
      <c r="G4" s="915"/>
      <c r="H4" s="915"/>
      <c r="I4" s="915"/>
      <c r="J4" s="915"/>
      <c r="K4" s="915"/>
      <c r="L4" s="915"/>
      <c r="M4" s="915"/>
      <c r="N4" s="915"/>
      <c r="O4" s="915"/>
      <c r="P4" s="915"/>
      <c r="Q4" s="915"/>
      <c r="R4" s="915"/>
      <c r="S4" s="915"/>
      <c r="T4" s="915"/>
      <c r="U4" s="915"/>
      <c r="V4" s="915"/>
      <c r="W4" s="915"/>
      <c r="X4" s="915"/>
      <c r="Y4" s="915"/>
      <c r="Z4" s="915"/>
    </row>
    <row r="5" spans="1:34" ht="45" customHeight="1">
      <c r="A5" s="915" t="s">
        <v>545</v>
      </c>
      <c r="B5" s="915"/>
      <c r="C5" s="915"/>
      <c r="D5" s="915"/>
      <c r="E5" s="915"/>
      <c r="F5" s="915"/>
      <c r="G5" s="915"/>
      <c r="H5" s="915"/>
      <c r="I5" s="915"/>
      <c r="J5" s="915"/>
      <c r="K5" s="915"/>
      <c r="L5" s="915"/>
      <c r="M5" s="915"/>
      <c r="N5" s="915"/>
      <c r="O5" s="915"/>
      <c r="P5" s="915"/>
      <c r="Q5" s="915"/>
      <c r="R5" s="915"/>
      <c r="S5" s="915"/>
      <c r="T5" s="915"/>
      <c r="U5" s="915"/>
      <c r="V5" s="915"/>
      <c r="W5" s="915"/>
      <c r="X5" s="915"/>
      <c r="Y5" s="915"/>
      <c r="Z5" s="915"/>
    </row>
    <row r="6" spans="1:34" ht="26.45" customHeight="1">
      <c r="A6" s="915" t="s">
        <v>894</v>
      </c>
      <c r="B6" s="915"/>
      <c r="C6" s="915"/>
      <c r="D6" s="915"/>
      <c r="E6" s="915"/>
      <c r="F6" s="915"/>
      <c r="G6" s="915"/>
      <c r="H6" s="915"/>
      <c r="I6" s="915"/>
      <c r="J6" s="915"/>
      <c r="K6" s="915"/>
      <c r="L6" s="915"/>
      <c r="M6" s="915"/>
      <c r="N6" s="915"/>
      <c r="O6" s="915"/>
      <c r="P6" s="915"/>
      <c r="Q6" s="915"/>
      <c r="R6" s="915"/>
      <c r="S6" s="915"/>
      <c r="T6" s="915"/>
      <c r="U6" s="915"/>
      <c r="V6" s="915"/>
      <c r="W6" s="915"/>
      <c r="X6" s="915"/>
      <c r="Y6" s="915"/>
      <c r="Z6" s="915"/>
    </row>
    <row r="7" spans="1:34">
      <c r="A7" s="21"/>
    </row>
    <row r="8" spans="1:34" ht="21" customHeight="1">
      <c r="A8" s="856" t="s">
        <v>0</v>
      </c>
      <c r="B8" s="911" t="s">
        <v>1</v>
      </c>
      <c r="C8" s="908" t="s">
        <v>143</v>
      </c>
      <c r="D8" s="919"/>
      <c r="E8" s="919"/>
      <c r="F8" s="919"/>
      <c r="G8" s="920"/>
      <c r="H8" s="908" t="s">
        <v>144</v>
      </c>
      <c r="I8" s="856" t="s">
        <v>145</v>
      </c>
      <c r="J8" s="856"/>
      <c r="K8" s="856"/>
      <c r="L8" s="856"/>
      <c r="M8" s="856" t="s">
        <v>8</v>
      </c>
      <c r="N8" s="856" t="s">
        <v>265</v>
      </c>
      <c r="O8" s="856"/>
      <c r="P8" s="856"/>
      <c r="Q8" s="856"/>
      <c r="R8" s="856" t="s">
        <v>458</v>
      </c>
      <c r="S8" s="908" t="s">
        <v>959</v>
      </c>
      <c r="T8" s="919"/>
      <c r="U8" s="919"/>
      <c r="V8" s="920"/>
      <c r="W8" s="856" t="s">
        <v>518</v>
      </c>
      <c r="X8" s="867" t="s">
        <v>896</v>
      </c>
      <c r="Y8" s="856" t="s">
        <v>2</v>
      </c>
      <c r="Z8" s="856" t="s">
        <v>3</v>
      </c>
    </row>
    <row r="9" spans="1:34">
      <c r="A9" s="856"/>
      <c r="B9" s="912"/>
      <c r="C9" s="910"/>
      <c r="D9" s="921"/>
      <c r="E9" s="921"/>
      <c r="F9" s="921"/>
      <c r="G9" s="922"/>
      <c r="H9" s="909"/>
      <c r="I9" s="856"/>
      <c r="J9" s="856"/>
      <c r="K9" s="856"/>
      <c r="L9" s="856"/>
      <c r="M9" s="856"/>
      <c r="N9" s="856"/>
      <c r="O9" s="856"/>
      <c r="P9" s="856"/>
      <c r="Q9" s="856"/>
      <c r="R9" s="856"/>
      <c r="S9" s="910"/>
      <c r="T9" s="921"/>
      <c r="U9" s="921"/>
      <c r="V9" s="922"/>
      <c r="W9" s="856"/>
      <c r="X9" s="906"/>
      <c r="Y9" s="856"/>
      <c r="Z9" s="856"/>
    </row>
    <row r="10" spans="1:34" ht="45" customHeight="1">
      <c r="A10" s="856"/>
      <c r="B10" s="913"/>
      <c r="C10" s="808" t="s">
        <v>4</v>
      </c>
      <c r="D10" s="808" t="s">
        <v>485</v>
      </c>
      <c r="E10" s="808" t="s">
        <v>486</v>
      </c>
      <c r="F10" s="808" t="s">
        <v>6</v>
      </c>
      <c r="G10" s="808" t="s">
        <v>7</v>
      </c>
      <c r="H10" s="910"/>
      <c r="I10" s="808" t="s">
        <v>146</v>
      </c>
      <c r="J10" s="808" t="s">
        <v>147</v>
      </c>
      <c r="K10" s="808" t="s">
        <v>148</v>
      </c>
      <c r="L10" s="808" t="s">
        <v>149</v>
      </c>
      <c r="M10" s="856"/>
      <c r="N10" s="808" t="s">
        <v>146</v>
      </c>
      <c r="O10" s="808" t="s">
        <v>147</v>
      </c>
      <c r="P10" s="808" t="s">
        <v>148</v>
      </c>
      <c r="Q10" s="808" t="s">
        <v>149</v>
      </c>
      <c r="R10" s="856"/>
      <c r="S10" s="808" t="s">
        <v>146</v>
      </c>
      <c r="T10" s="808" t="s">
        <v>147</v>
      </c>
      <c r="U10" s="808" t="s">
        <v>148</v>
      </c>
      <c r="V10" s="808" t="s">
        <v>149</v>
      </c>
      <c r="W10" s="856"/>
      <c r="X10" s="868"/>
      <c r="Y10" s="856"/>
      <c r="Z10" s="856"/>
    </row>
    <row r="11" spans="1:34" ht="14.45" customHeight="1">
      <c r="A11" s="808">
        <v>1</v>
      </c>
      <c r="B11" s="535">
        <v>2</v>
      </c>
      <c r="C11" s="808">
        <v>3</v>
      </c>
      <c r="D11" s="808">
        <v>4</v>
      </c>
      <c r="E11" s="808">
        <v>5</v>
      </c>
      <c r="F11" s="808">
        <v>6</v>
      </c>
      <c r="G11" s="808">
        <v>7</v>
      </c>
      <c r="H11" s="808">
        <v>7</v>
      </c>
      <c r="I11" s="808">
        <v>8</v>
      </c>
      <c r="J11" s="808">
        <v>9</v>
      </c>
      <c r="K11" s="808">
        <v>10</v>
      </c>
      <c r="L11" s="808">
        <v>11</v>
      </c>
      <c r="M11" s="808">
        <v>7</v>
      </c>
      <c r="N11" s="808">
        <v>8</v>
      </c>
      <c r="O11" s="808">
        <v>9</v>
      </c>
      <c r="P11" s="808">
        <v>10</v>
      </c>
      <c r="Q11" s="808">
        <v>11</v>
      </c>
      <c r="R11" s="808">
        <v>8</v>
      </c>
      <c r="S11" s="808">
        <v>9</v>
      </c>
      <c r="T11" s="808">
        <v>10</v>
      </c>
      <c r="U11" s="808">
        <v>11</v>
      </c>
      <c r="V11" s="808">
        <v>12</v>
      </c>
      <c r="W11" s="808">
        <v>13</v>
      </c>
      <c r="X11" s="808">
        <v>14</v>
      </c>
      <c r="Y11" s="808">
        <v>15</v>
      </c>
      <c r="Z11" s="808">
        <v>16</v>
      </c>
    </row>
    <row r="12" spans="1:34" ht="28.15" customHeight="1">
      <c r="A12" s="907" t="s">
        <v>277</v>
      </c>
      <c r="B12" s="907"/>
      <c r="C12" s="907"/>
      <c r="D12" s="907"/>
      <c r="E12" s="907"/>
      <c r="F12" s="907"/>
      <c r="G12" s="907"/>
      <c r="H12" s="907"/>
      <c r="I12" s="907"/>
      <c r="J12" s="907"/>
      <c r="K12" s="907"/>
      <c r="L12" s="907"/>
      <c r="M12" s="907"/>
      <c r="N12" s="907"/>
      <c r="O12" s="907"/>
      <c r="P12" s="907"/>
      <c r="Q12" s="907"/>
      <c r="R12" s="907"/>
      <c r="S12" s="907"/>
      <c r="T12" s="907"/>
      <c r="U12" s="907"/>
      <c r="V12" s="907"/>
      <c r="W12" s="907"/>
      <c r="X12" s="907"/>
      <c r="Y12" s="907"/>
      <c r="Z12" s="907"/>
    </row>
    <row r="13" spans="1:34" ht="28.15" customHeight="1">
      <c r="A13" s="872" t="s">
        <v>801</v>
      </c>
      <c r="B13" s="826" t="s">
        <v>174</v>
      </c>
      <c r="C13" s="826"/>
      <c r="D13" s="826"/>
      <c r="E13" s="826"/>
      <c r="F13" s="826"/>
      <c r="G13" s="826"/>
      <c r="H13" s="826"/>
      <c r="I13" s="826"/>
      <c r="J13" s="826"/>
      <c r="K13" s="826"/>
      <c r="L13" s="826"/>
      <c r="M13" s="826"/>
      <c r="N13" s="826"/>
      <c r="O13" s="826"/>
      <c r="P13" s="826"/>
      <c r="Q13" s="826"/>
      <c r="R13" s="826"/>
      <c r="S13" s="826"/>
      <c r="T13" s="826"/>
      <c r="U13" s="826"/>
      <c r="V13" s="826"/>
      <c r="W13" s="826"/>
      <c r="X13" s="826"/>
      <c r="Y13" s="929" t="s">
        <v>869</v>
      </c>
      <c r="Z13" s="891" t="s">
        <v>750</v>
      </c>
    </row>
    <row r="14" spans="1:34" ht="28.15" customHeight="1">
      <c r="A14" s="873"/>
      <c r="B14" s="826" t="s">
        <v>646</v>
      </c>
      <c r="C14" s="826"/>
      <c r="D14" s="826"/>
      <c r="E14" s="826"/>
      <c r="F14" s="826"/>
      <c r="G14" s="826"/>
      <c r="H14" s="826"/>
      <c r="I14" s="826"/>
      <c r="J14" s="826"/>
      <c r="K14" s="826"/>
      <c r="L14" s="826"/>
      <c r="M14" s="826"/>
      <c r="N14" s="826"/>
      <c r="O14" s="826"/>
      <c r="P14" s="826"/>
      <c r="Q14" s="826"/>
      <c r="R14" s="826"/>
      <c r="S14" s="58" t="s">
        <v>489</v>
      </c>
      <c r="T14" s="58" t="s">
        <v>489</v>
      </c>
      <c r="U14" s="58" t="s">
        <v>489</v>
      </c>
      <c r="V14" s="659" t="s">
        <v>489</v>
      </c>
      <c r="W14" s="826"/>
      <c r="X14" s="826"/>
      <c r="Y14" s="930"/>
      <c r="Z14" s="892"/>
    </row>
    <row r="15" spans="1:34" ht="31.5" customHeight="1">
      <c r="A15" s="873"/>
      <c r="B15" s="840" t="s">
        <v>1142</v>
      </c>
      <c r="C15" s="659"/>
      <c r="D15" s="102"/>
      <c r="E15" s="102"/>
      <c r="F15" s="659"/>
      <c r="G15" s="659"/>
      <c r="H15" s="826"/>
      <c r="I15" s="826"/>
      <c r="J15" s="826"/>
      <c r="K15" s="826"/>
      <c r="L15" s="826"/>
      <c r="M15" s="826"/>
      <c r="N15" s="826"/>
      <c r="O15" s="826"/>
      <c r="P15" s="826"/>
      <c r="Q15" s="826"/>
      <c r="R15" s="58">
        <f t="shared" ref="R15:X15" si="0">R16+R17+R19+R18</f>
        <v>4676410.4000000004</v>
      </c>
      <c r="S15" s="58">
        <f t="shared" si="0"/>
        <v>9582.7999999999993</v>
      </c>
      <c r="T15" s="58">
        <f t="shared" si="0"/>
        <v>0</v>
      </c>
      <c r="U15" s="58">
        <f t="shared" si="0"/>
        <v>0</v>
      </c>
      <c r="V15" s="58">
        <f t="shared" si="0"/>
        <v>4666827.5999999996</v>
      </c>
      <c r="W15" s="58">
        <f t="shared" si="0"/>
        <v>6478204.5</v>
      </c>
      <c r="X15" s="58">
        <f t="shared" si="0"/>
        <v>4698758.3000000007</v>
      </c>
      <c r="Y15" s="930"/>
      <c r="Z15" s="892"/>
    </row>
    <row r="16" spans="1:34" ht="29.25" customHeight="1">
      <c r="A16" s="873"/>
      <c r="B16" s="841" t="s">
        <v>10</v>
      </c>
      <c r="C16" s="659">
        <v>176</v>
      </c>
      <c r="D16" s="102" t="s">
        <v>487</v>
      </c>
      <c r="E16" s="102" t="s">
        <v>488</v>
      </c>
      <c r="F16" s="659" t="s">
        <v>717</v>
      </c>
      <c r="G16" s="659" t="s">
        <v>28</v>
      </c>
      <c r="H16" s="826"/>
      <c r="I16" s="826"/>
      <c r="J16" s="826"/>
      <c r="K16" s="826"/>
      <c r="L16" s="826"/>
      <c r="M16" s="826"/>
      <c r="N16" s="826"/>
      <c r="O16" s="826"/>
      <c r="P16" s="826"/>
      <c r="Q16" s="826"/>
      <c r="R16" s="58">
        <f t="shared" ref="R16:X16" si="1">R25+R51+R73+R81</f>
        <v>2403963.2000000002</v>
      </c>
      <c r="S16" s="58">
        <f t="shared" si="1"/>
        <v>9582.7999999999993</v>
      </c>
      <c r="T16" s="58">
        <f t="shared" si="1"/>
        <v>0</v>
      </c>
      <c r="U16" s="58">
        <f t="shared" si="1"/>
        <v>0</v>
      </c>
      <c r="V16" s="58">
        <f t="shared" si="1"/>
        <v>2394380.4</v>
      </c>
      <c r="W16" s="58">
        <f t="shared" si="1"/>
        <v>5106323.5</v>
      </c>
      <c r="X16" s="58">
        <f t="shared" si="1"/>
        <v>4429562.4000000004</v>
      </c>
      <c r="Y16" s="930"/>
      <c r="Z16" s="892"/>
      <c r="AH16" s="71"/>
    </row>
    <row r="17" spans="1:26" ht="28.5" customHeight="1">
      <c r="A17" s="873"/>
      <c r="B17" s="826" t="s">
        <v>436</v>
      </c>
      <c r="C17" s="659">
        <v>176</v>
      </c>
      <c r="D17" s="102" t="s">
        <v>487</v>
      </c>
      <c r="E17" s="102" t="s">
        <v>488</v>
      </c>
      <c r="F17" s="659" t="s">
        <v>717</v>
      </c>
      <c r="G17" s="659" t="s">
        <v>28</v>
      </c>
      <c r="H17" s="659"/>
      <c r="I17" s="659"/>
      <c r="J17" s="659"/>
      <c r="K17" s="659"/>
      <c r="L17" s="659"/>
      <c r="M17" s="659"/>
      <c r="N17" s="659"/>
      <c r="O17" s="659"/>
      <c r="P17" s="659"/>
      <c r="Q17" s="659"/>
      <c r="R17" s="58">
        <f>'Подробный перечень(БКАД)'!$G$1190</f>
        <v>1494153.2</v>
      </c>
      <c r="S17" s="58">
        <f>'Подробный перечень(БКАД)'!$H$1190</f>
        <v>0</v>
      </c>
      <c r="T17" s="58">
        <f>'Подробный перечень(БКАД)'!$I$1190</f>
        <v>0</v>
      </c>
      <c r="U17" s="58">
        <f>'Подробный перечень(БКАД)'!$J$1190</f>
        <v>0</v>
      </c>
      <c r="V17" s="58">
        <f>'Подробный перечень(БКАД)'!$K$1190</f>
        <v>1494153.2</v>
      </c>
      <c r="W17" s="58">
        <f>'Подробный перечень(БКАД)'!$L$1190</f>
        <v>1000000</v>
      </c>
      <c r="X17" s="58">
        <f>'Подробный перечень(БКАД)'!$M$1190</f>
        <v>0</v>
      </c>
      <c r="Y17" s="930"/>
      <c r="Z17" s="892"/>
    </row>
    <row r="18" spans="1:26" ht="20.25" customHeight="1">
      <c r="A18" s="873"/>
      <c r="B18" s="826" t="s">
        <v>863</v>
      </c>
      <c r="C18" s="659">
        <v>124</v>
      </c>
      <c r="D18" s="659" t="s">
        <v>487</v>
      </c>
      <c r="E18" s="659" t="s">
        <v>488</v>
      </c>
      <c r="F18" s="659" t="s">
        <v>717</v>
      </c>
      <c r="G18" s="659" t="s">
        <v>28</v>
      </c>
      <c r="H18" s="659"/>
      <c r="I18" s="659"/>
      <c r="J18" s="659"/>
      <c r="K18" s="659"/>
      <c r="L18" s="659"/>
      <c r="M18" s="659"/>
      <c r="N18" s="659"/>
      <c r="O18" s="659"/>
      <c r="P18" s="659"/>
      <c r="Q18" s="659"/>
      <c r="R18" s="58">
        <f t="shared" ref="R18:X18" si="2">R27</f>
        <v>0</v>
      </c>
      <c r="S18" s="58">
        <f t="shared" si="2"/>
        <v>0</v>
      </c>
      <c r="T18" s="58">
        <f t="shared" si="2"/>
        <v>0</v>
      </c>
      <c r="U18" s="58">
        <f t="shared" si="2"/>
        <v>0</v>
      </c>
      <c r="V18" s="58">
        <f t="shared" si="2"/>
        <v>0</v>
      </c>
      <c r="W18" s="58">
        <f t="shared" si="2"/>
        <v>0</v>
      </c>
      <c r="X18" s="58">
        <f t="shared" si="2"/>
        <v>0</v>
      </c>
      <c r="Y18" s="930"/>
      <c r="Z18" s="892"/>
    </row>
    <row r="19" spans="1:26" ht="25.5" customHeight="1">
      <c r="A19" s="873"/>
      <c r="B19" s="826" t="s">
        <v>651</v>
      </c>
      <c r="C19" s="659"/>
      <c r="D19" s="659"/>
      <c r="E19" s="659"/>
      <c r="F19" s="659"/>
      <c r="G19" s="659"/>
      <c r="H19" s="659"/>
      <c r="I19" s="659"/>
      <c r="J19" s="659"/>
      <c r="K19" s="659"/>
      <c r="L19" s="659"/>
      <c r="M19" s="659"/>
      <c r="N19" s="659"/>
      <c r="O19" s="659"/>
      <c r="P19" s="659"/>
      <c r="Q19" s="659"/>
      <c r="R19" s="58">
        <f>'Подробный перечень(БКАД)'!$G$1191</f>
        <v>778294</v>
      </c>
      <c r="S19" s="58">
        <f>'Подробный перечень(БКАД)'!$H$1191</f>
        <v>0</v>
      </c>
      <c r="T19" s="58">
        <f>'Подробный перечень(БКАД)'!$I$1191</f>
        <v>0</v>
      </c>
      <c r="U19" s="58">
        <f>'Подробный перечень(БКАД)'!$J$1191</f>
        <v>0</v>
      </c>
      <c r="V19" s="58">
        <f>'Подробный перечень(БКАД)'!$K$1191</f>
        <v>778294</v>
      </c>
      <c r="W19" s="58">
        <f>'Подробный перечень(БКАД)'!$L$1191</f>
        <v>371881</v>
      </c>
      <c r="X19" s="58">
        <f>'Подробный перечень(БКАД)'!$M$1191</f>
        <v>269195.90000000002</v>
      </c>
      <c r="Y19" s="931"/>
      <c r="Z19" s="893"/>
    </row>
    <row r="20" spans="1:26" ht="25.5" customHeight="1">
      <c r="A20" s="873"/>
      <c r="B20" s="826" t="s">
        <v>447</v>
      </c>
      <c r="C20" s="659"/>
      <c r="D20" s="659"/>
      <c r="E20" s="659"/>
      <c r="F20" s="659"/>
      <c r="G20" s="659"/>
      <c r="H20" s="659"/>
      <c r="I20" s="659"/>
      <c r="J20" s="659"/>
      <c r="K20" s="659"/>
      <c r="L20" s="659"/>
      <c r="M20" s="659"/>
      <c r="N20" s="659"/>
      <c r="O20" s="659"/>
      <c r="P20" s="659"/>
      <c r="Q20" s="659"/>
      <c r="R20" s="58"/>
      <c r="S20" s="58"/>
      <c r="T20" s="58"/>
      <c r="U20" s="58"/>
      <c r="V20" s="58"/>
      <c r="W20" s="58"/>
      <c r="X20" s="58"/>
      <c r="Y20" s="815"/>
      <c r="Z20" s="809"/>
    </row>
    <row r="21" spans="1:26" ht="25.5" customHeight="1">
      <c r="A21" s="874"/>
      <c r="B21" s="826" t="s">
        <v>1010</v>
      </c>
      <c r="C21" s="659"/>
      <c r="D21" s="659"/>
      <c r="E21" s="659"/>
      <c r="F21" s="659"/>
      <c r="G21" s="659"/>
      <c r="H21" s="659"/>
      <c r="I21" s="659"/>
      <c r="J21" s="659"/>
      <c r="K21" s="659"/>
      <c r="L21" s="659"/>
      <c r="M21" s="659"/>
      <c r="N21" s="659"/>
      <c r="O21" s="659"/>
      <c r="P21" s="659"/>
      <c r="Q21" s="659"/>
      <c r="R21" s="58"/>
      <c r="S21" s="58"/>
      <c r="T21" s="58"/>
      <c r="U21" s="58"/>
      <c r="V21" s="58"/>
      <c r="W21" s="58"/>
      <c r="X21" s="58"/>
      <c r="Y21" s="815"/>
      <c r="Z21" s="809"/>
    </row>
    <row r="22" spans="1:26" ht="24.75" customHeight="1">
      <c r="A22" s="890" t="s">
        <v>783</v>
      </c>
      <c r="B22" s="826" t="s">
        <v>174</v>
      </c>
      <c r="C22" s="659"/>
      <c r="D22" s="659"/>
      <c r="E22" s="659"/>
      <c r="F22" s="659"/>
      <c r="G22" s="659"/>
      <c r="H22" s="659"/>
      <c r="I22" s="659"/>
      <c r="J22" s="659"/>
      <c r="K22" s="659"/>
      <c r="L22" s="659"/>
      <c r="M22" s="659"/>
      <c r="N22" s="659"/>
      <c r="O22" s="659"/>
      <c r="P22" s="659"/>
      <c r="Q22" s="659"/>
      <c r="R22" s="58">
        <f>V22</f>
        <v>17.859323092576776</v>
      </c>
      <c r="S22" s="58"/>
      <c r="T22" s="58"/>
      <c r="U22" s="58"/>
      <c r="V22" s="58">
        <f>'Подробный перечень(БКАД)'!$K$11</f>
        <v>17.859323092576776</v>
      </c>
      <c r="W22" s="58">
        <f>'Подробный перечень(БКАД)'!$L$11</f>
        <v>13.299999999999999</v>
      </c>
      <c r="X22" s="58">
        <f>'Подробный перечень(БКАД)'!$M$11</f>
        <v>19</v>
      </c>
      <c r="Y22" s="891" t="s">
        <v>870</v>
      </c>
      <c r="Z22" s="895" t="s">
        <v>1128</v>
      </c>
    </row>
    <row r="23" spans="1:26" ht="27.75" customHeight="1">
      <c r="A23" s="890"/>
      <c r="B23" s="841" t="s">
        <v>646</v>
      </c>
      <c r="C23" s="659"/>
      <c r="D23" s="659"/>
      <c r="E23" s="659"/>
      <c r="F23" s="659"/>
      <c r="G23" s="659"/>
      <c r="H23" s="659"/>
      <c r="I23" s="659"/>
      <c r="J23" s="659"/>
      <c r="K23" s="659"/>
      <c r="L23" s="659"/>
      <c r="M23" s="659"/>
      <c r="N23" s="659"/>
      <c r="O23" s="659"/>
      <c r="P23" s="659"/>
      <c r="Q23" s="659"/>
      <c r="R23" s="637">
        <f>R32</f>
        <v>79349.899999999994</v>
      </c>
      <c r="S23" s="637" t="s">
        <v>489</v>
      </c>
      <c r="T23" s="637" t="s">
        <v>489</v>
      </c>
      <c r="U23" s="637" t="s">
        <v>489</v>
      </c>
      <c r="V23" s="637" t="s">
        <v>489</v>
      </c>
      <c r="W23" s="637">
        <f>W32</f>
        <v>141406.01503759398</v>
      </c>
      <c r="X23" s="637">
        <f>X32</f>
        <v>62132.889473684205</v>
      </c>
      <c r="Y23" s="892"/>
      <c r="Z23" s="895"/>
    </row>
    <row r="24" spans="1:26" ht="24" customHeight="1">
      <c r="A24" s="890"/>
      <c r="B24" s="840" t="s">
        <v>1142</v>
      </c>
      <c r="C24" s="659">
        <v>176</v>
      </c>
      <c r="D24" s="659" t="s">
        <v>487</v>
      </c>
      <c r="E24" s="659" t="s">
        <v>488</v>
      </c>
      <c r="F24" s="659" t="s">
        <v>553</v>
      </c>
      <c r="G24" s="659" t="s">
        <v>28</v>
      </c>
      <c r="H24" s="659"/>
      <c r="I24" s="659"/>
      <c r="J24" s="659"/>
      <c r="K24" s="659"/>
      <c r="L24" s="659"/>
      <c r="M24" s="659"/>
      <c r="N24" s="659"/>
      <c r="O24" s="659"/>
      <c r="P24" s="659"/>
      <c r="Q24" s="659"/>
      <c r="R24" s="58">
        <f>R25+R26+R27</f>
        <v>1430253</v>
      </c>
      <c r="S24" s="58">
        <f>S25+S26+S27</f>
        <v>5736.3</v>
      </c>
      <c r="T24" s="58">
        <f>T25+T26+T27</f>
        <v>0</v>
      </c>
      <c r="U24" s="58">
        <f>U25+U26+U27</f>
        <v>0</v>
      </c>
      <c r="V24" s="58">
        <f>V25+V26+V27</f>
        <v>1424516.7</v>
      </c>
      <c r="W24" s="58">
        <f>W25+W26</f>
        <v>1880700</v>
      </c>
      <c r="X24" s="58">
        <f>X25+X26</f>
        <v>1180524.8999999999</v>
      </c>
      <c r="Y24" s="892"/>
      <c r="Z24" s="895"/>
    </row>
    <row r="25" spans="1:26" ht="24" customHeight="1">
      <c r="A25" s="890"/>
      <c r="B25" s="826" t="s">
        <v>10</v>
      </c>
      <c r="C25" s="659">
        <v>176</v>
      </c>
      <c r="D25" s="659" t="s">
        <v>487</v>
      </c>
      <c r="E25" s="659" t="s">
        <v>488</v>
      </c>
      <c r="F25" s="659" t="s">
        <v>553</v>
      </c>
      <c r="G25" s="659" t="s">
        <v>28</v>
      </c>
      <c r="H25" s="659"/>
      <c r="I25" s="659"/>
      <c r="J25" s="659"/>
      <c r="K25" s="659"/>
      <c r="L25" s="659"/>
      <c r="M25" s="659"/>
      <c r="N25" s="659"/>
      <c r="O25" s="659"/>
      <c r="P25" s="659"/>
      <c r="Q25" s="659"/>
      <c r="R25" s="58">
        <f>'Подробный перечень(БКАД)'!$G$15</f>
        <v>568299.80000000005</v>
      </c>
      <c r="S25" s="58">
        <f>'Подробный перечень(БКАД)'!$H$15</f>
        <v>5736.3</v>
      </c>
      <c r="T25" s="58">
        <f>'Подробный перечень(БКАД)'!$H$1190</f>
        <v>0</v>
      </c>
      <c r="U25" s="58">
        <v>0</v>
      </c>
      <c r="V25" s="58">
        <f>'Подробный перечень(БКАД)'!$K$15</f>
        <v>562563.5</v>
      </c>
      <c r="W25" s="58">
        <f>'Подробный перечень(БКАД)'!$L$15</f>
        <v>910700</v>
      </c>
      <c r="X25" s="58">
        <f>'Подробный перечень(БКАД)'!$M$15</f>
        <v>1180524.8999999999</v>
      </c>
      <c r="Y25" s="892"/>
      <c r="Z25" s="895"/>
    </row>
    <row r="26" spans="1:26" ht="24" customHeight="1">
      <c r="A26" s="890"/>
      <c r="B26" s="826" t="s">
        <v>436</v>
      </c>
      <c r="C26" s="659">
        <v>176</v>
      </c>
      <c r="D26" s="659" t="s">
        <v>487</v>
      </c>
      <c r="E26" s="659" t="s">
        <v>488</v>
      </c>
      <c r="F26" s="659" t="s">
        <v>553</v>
      </c>
      <c r="G26" s="659" t="s">
        <v>28</v>
      </c>
      <c r="H26" s="659"/>
      <c r="I26" s="659"/>
      <c r="J26" s="659"/>
      <c r="K26" s="659"/>
      <c r="L26" s="659"/>
      <c r="M26" s="659"/>
      <c r="N26" s="659"/>
      <c r="O26" s="659"/>
      <c r="P26" s="659"/>
      <c r="Q26" s="659"/>
      <c r="R26" s="58">
        <f>'Подробный перечень(БКАД)'!$G$16</f>
        <v>861953.2</v>
      </c>
      <c r="S26" s="58">
        <f>'Подробный перечень(БКАД)'!$H$1190</f>
        <v>0</v>
      </c>
      <c r="T26" s="58">
        <f>'Подробный перечень(БКАД)'!$H$1190</f>
        <v>0</v>
      </c>
      <c r="U26" s="58">
        <v>0</v>
      </c>
      <c r="V26" s="58">
        <f>'Подробный перечень(БКАД)'!$K$16</f>
        <v>861953.2</v>
      </c>
      <c r="W26" s="58">
        <f>'Подробный перечень(БКАД)'!$L$16</f>
        <v>970000</v>
      </c>
      <c r="X26" s="58">
        <f>'Подробный перечень(БКАД)'!$M$16</f>
        <v>0</v>
      </c>
      <c r="Y26" s="892"/>
      <c r="Z26" s="895"/>
    </row>
    <row r="27" spans="1:26" ht="24" customHeight="1">
      <c r="A27" s="890"/>
      <c r="B27" s="826" t="s">
        <v>436</v>
      </c>
      <c r="C27" s="659">
        <v>124</v>
      </c>
      <c r="D27" s="659" t="s">
        <v>487</v>
      </c>
      <c r="E27" s="659" t="s">
        <v>488</v>
      </c>
      <c r="F27" s="659" t="s">
        <v>553</v>
      </c>
      <c r="G27" s="659" t="s">
        <v>28</v>
      </c>
      <c r="H27" s="659"/>
      <c r="I27" s="659"/>
      <c r="J27" s="659"/>
      <c r="K27" s="659"/>
      <c r="L27" s="659"/>
      <c r="M27" s="659"/>
      <c r="N27" s="659"/>
      <c r="O27" s="659"/>
      <c r="P27" s="659"/>
      <c r="Q27" s="659"/>
      <c r="R27" s="58">
        <f>'Подробный перечень(БКАД)'!$G$17</f>
        <v>0</v>
      </c>
      <c r="S27" s="58"/>
      <c r="T27" s="58"/>
      <c r="U27" s="58"/>
      <c r="V27" s="58">
        <f>'Подробный перечень(БКАД)'!$K$17</f>
        <v>0</v>
      </c>
      <c r="W27" s="58"/>
      <c r="X27" s="58"/>
      <c r="Y27" s="892"/>
      <c r="Z27" s="895"/>
    </row>
    <row r="28" spans="1:26" ht="24" customHeight="1">
      <c r="A28" s="890"/>
      <c r="B28" s="826" t="s">
        <v>651</v>
      </c>
      <c r="C28" s="659"/>
      <c r="D28" s="659"/>
      <c r="E28" s="659"/>
      <c r="F28" s="659"/>
      <c r="G28" s="659"/>
      <c r="H28" s="659"/>
      <c r="I28" s="659"/>
      <c r="J28" s="659"/>
      <c r="K28" s="659"/>
      <c r="L28" s="659"/>
      <c r="M28" s="659"/>
      <c r="N28" s="659"/>
      <c r="O28" s="659"/>
      <c r="P28" s="659"/>
      <c r="Q28" s="659"/>
      <c r="R28" s="58"/>
      <c r="S28" s="58"/>
      <c r="T28" s="58"/>
      <c r="U28" s="58"/>
      <c r="V28" s="58"/>
      <c r="W28" s="58"/>
      <c r="X28" s="58"/>
      <c r="Y28" s="892"/>
      <c r="Z28" s="895"/>
    </row>
    <row r="29" spans="1:26" ht="24" customHeight="1">
      <c r="A29" s="890"/>
      <c r="B29" s="826" t="s">
        <v>447</v>
      </c>
      <c r="C29" s="659"/>
      <c r="D29" s="659"/>
      <c r="E29" s="659"/>
      <c r="F29" s="659"/>
      <c r="G29" s="659"/>
      <c r="H29" s="659"/>
      <c r="I29" s="659"/>
      <c r="J29" s="659"/>
      <c r="K29" s="659"/>
      <c r="L29" s="659"/>
      <c r="M29" s="659"/>
      <c r="N29" s="659"/>
      <c r="O29" s="659"/>
      <c r="P29" s="659"/>
      <c r="Q29" s="659"/>
      <c r="R29" s="58"/>
      <c r="S29" s="58"/>
      <c r="T29" s="58"/>
      <c r="U29" s="58"/>
      <c r="V29" s="58"/>
      <c r="W29" s="58"/>
      <c r="X29" s="58"/>
      <c r="Y29" s="892"/>
      <c r="Z29" s="895"/>
    </row>
    <row r="30" spans="1:26" ht="19.5" customHeight="1">
      <c r="A30" s="890"/>
      <c r="B30" s="826" t="s">
        <v>1010</v>
      </c>
      <c r="C30" s="659"/>
      <c r="D30" s="659"/>
      <c r="E30" s="659"/>
      <c r="F30" s="659"/>
      <c r="G30" s="659"/>
      <c r="H30" s="659"/>
      <c r="I30" s="659"/>
      <c r="J30" s="659"/>
      <c r="K30" s="659"/>
      <c r="L30" s="659"/>
      <c r="M30" s="659"/>
      <c r="N30" s="659"/>
      <c r="O30" s="659"/>
      <c r="P30" s="659"/>
      <c r="Q30" s="659"/>
      <c r="R30" s="58"/>
      <c r="S30" s="58"/>
      <c r="T30" s="58"/>
      <c r="U30" s="58"/>
      <c r="V30" s="58"/>
      <c r="W30" s="58"/>
      <c r="X30" s="58"/>
      <c r="Y30" s="892"/>
      <c r="Z30" s="895"/>
    </row>
    <row r="31" spans="1:26" ht="31.5" customHeight="1">
      <c r="A31" s="890" t="s">
        <v>784</v>
      </c>
      <c r="B31" s="826" t="s">
        <v>174</v>
      </c>
      <c r="C31" s="659"/>
      <c r="D31" s="659"/>
      <c r="E31" s="659"/>
      <c r="F31" s="659"/>
      <c r="G31" s="659"/>
      <c r="H31" s="659"/>
      <c r="I31" s="659"/>
      <c r="J31" s="659"/>
      <c r="K31" s="659"/>
      <c r="L31" s="659"/>
      <c r="M31" s="659"/>
      <c r="N31" s="659"/>
      <c r="O31" s="659"/>
      <c r="P31" s="659"/>
      <c r="Q31" s="659"/>
      <c r="R31" s="58">
        <f>R22</f>
        <v>17.859323092576776</v>
      </c>
      <c r="S31" s="58"/>
      <c r="T31" s="58"/>
      <c r="U31" s="58"/>
      <c r="V31" s="58">
        <f>V22</f>
        <v>17.859323092576776</v>
      </c>
      <c r="W31" s="58">
        <f>W22</f>
        <v>13.299999999999999</v>
      </c>
      <c r="X31" s="58">
        <f>X22</f>
        <v>19</v>
      </c>
      <c r="Y31" s="892"/>
      <c r="Z31" s="895"/>
    </row>
    <row r="32" spans="1:26" ht="31.5" customHeight="1">
      <c r="A32" s="890"/>
      <c r="B32" s="841" t="s">
        <v>646</v>
      </c>
      <c r="C32" s="659"/>
      <c r="D32" s="659"/>
      <c r="E32" s="659"/>
      <c r="F32" s="659"/>
      <c r="G32" s="659"/>
      <c r="H32" s="659"/>
      <c r="I32" s="659"/>
      <c r="J32" s="659"/>
      <c r="K32" s="659"/>
      <c r="L32" s="659"/>
      <c r="M32" s="659"/>
      <c r="N32" s="659"/>
      <c r="O32" s="659"/>
      <c r="P32" s="659"/>
      <c r="Q32" s="659"/>
      <c r="R32" s="637">
        <f>'Подробный перечень(БКАД)'!$G$21</f>
        <v>79349.899999999994</v>
      </c>
      <c r="S32" s="637" t="s">
        <v>489</v>
      </c>
      <c r="T32" s="637" t="s">
        <v>489</v>
      </c>
      <c r="U32" s="637" t="s">
        <v>489</v>
      </c>
      <c r="V32" s="637" t="s">
        <v>489</v>
      </c>
      <c r="W32" s="637">
        <f>'Подробный перечень(БКАД)'!$L$21</f>
        <v>141406.01503759398</v>
      </c>
      <c r="X32" s="637">
        <f>'Подробный перечень(БКАД)'!$M$21</f>
        <v>62132.889473684205</v>
      </c>
      <c r="Y32" s="892"/>
      <c r="Z32" s="895"/>
    </row>
    <row r="33" spans="1:26" ht="33.75" customHeight="1">
      <c r="A33" s="890"/>
      <c r="B33" s="840" t="s">
        <v>1142</v>
      </c>
      <c r="C33" s="659">
        <v>176</v>
      </c>
      <c r="D33" s="659" t="s">
        <v>487</v>
      </c>
      <c r="E33" s="659" t="s">
        <v>488</v>
      </c>
      <c r="F33" s="659" t="s">
        <v>553</v>
      </c>
      <c r="G33" s="659" t="s">
        <v>28</v>
      </c>
      <c r="H33" s="659"/>
      <c r="I33" s="659"/>
      <c r="J33" s="659"/>
      <c r="K33" s="659"/>
      <c r="L33" s="659"/>
      <c r="M33" s="659"/>
      <c r="N33" s="659"/>
      <c r="O33" s="659"/>
      <c r="P33" s="659"/>
      <c r="Q33" s="659"/>
      <c r="R33" s="58">
        <f>R34+R35+R36</f>
        <v>1424516.7</v>
      </c>
      <c r="S33" s="58">
        <f>S34+S35+S36</f>
        <v>0</v>
      </c>
      <c r="T33" s="58">
        <f>T34+T35+T36</f>
        <v>0</v>
      </c>
      <c r="U33" s="58">
        <f>U34+U35+U36</f>
        <v>0</v>
      </c>
      <c r="V33" s="58">
        <f>V34+V35+V36</f>
        <v>1424516.7</v>
      </c>
      <c r="W33" s="58">
        <f>W34+W35</f>
        <v>1880700</v>
      </c>
      <c r="X33" s="58">
        <f>X34+X35</f>
        <v>1180524.8999999999</v>
      </c>
      <c r="Y33" s="892"/>
      <c r="Z33" s="895"/>
    </row>
    <row r="34" spans="1:26" ht="27" customHeight="1">
      <c r="A34" s="890"/>
      <c r="B34" s="826" t="s">
        <v>10</v>
      </c>
      <c r="C34" s="659">
        <v>176</v>
      </c>
      <c r="D34" s="659" t="s">
        <v>487</v>
      </c>
      <c r="E34" s="659" t="s">
        <v>488</v>
      </c>
      <c r="F34" s="659" t="s">
        <v>553</v>
      </c>
      <c r="G34" s="659" t="s">
        <v>28</v>
      </c>
      <c r="H34" s="659"/>
      <c r="I34" s="659"/>
      <c r="J34" s="659"/>
      <c r="K34" s="659"/>
      <c r="L34" s="659"/>
      <c r="M34" s="659"/>
      <c r="N34" s="659"/>
      <c r="O34" s="659"/>
      <c r="P34" s="659"/>
      <c r="Q34" s="659"/>
      <c r="R34" s="58">
        <f>R25-R43</f>
        <v>562563.5</v>
      </c>
      <c r="S34" s="58">
        <f>S25-S43</f>
        <v>0</v>
      </c>
      <c r="T34" s="58">
        <f>T25-T43</f>
        <v>0</v>
      </c>
      <c r="U34" s="58">
        <f>U25-U43</f>
        <v>0</v>
      </c>
      <c r="V34" s="58">
        <f t="shared" ref="V34:X35" si="3">V25</f>
        <v>562563.5</v>
      </c>
      <c r="W34" s="58">
        <f t="shared" si="3"/>
        <v>910700</v>
      </c>
      <c r="X34" s="58">
        <f t="shared" si="3"/>
        <v>1180524.8999999999</v>
      </c>
      <c r="Y34" s="892"/>
      <c r="Z34" s="895"/>
    </row>
    <row r="35" spans="1:26" ht="22.5" customHeight="1">
      <c r="A35" s="890"/>
      <c r="B35" s="826" t="s">
        <v>436</v>
      </c>
      <c r="C35" s="659">
        <v>176</v>
      </c>
      <c r="D35" s="659" t="s">
        <v>487</v>
      </c>
      <c r="E35" s="659" t="s">
        <v>488</v>
      </c>
      <c r="F35" s="659" t="s">
        <v>553</v>
      </c>
      <c r="G35" s="659" t="s">
        <v>28</v>
      </c>
      <c r="H35" s="659"/>
      <c r="I35" s="659"/>
      <c r="J35" s="659"/>
      <c r="K35" s="659"/>
      <c r="L35" s="659"/>
      <c r="M35" s="659"/>
      <c r="N35" s="659"/>
      <c r="O35" s="659"/>
      <c r="P35" s="659"/>
      <c r="Q35" s="659"/>
      <c r="R35" s="58">
        <f>V35</f>
        <v>861953.2</v>
      </c>
      <c r="S35" s="58">
        <v>0</v>
      </c>
      <c r="T35" s="58">
        <v>0</v>
      </c>
      <c r="U35" s="58">
        <v>0</v>
      </c>
      <c r="V35" s="58">
        <f t="shared" si="3"/>
        <v>861953.2</v>
      </c>
      <c r="W35" s="58">
        <f t="shared" si="3"/>
        <v>970000</v>
      </c>
      <c r="X35" s="58">
        <f t="shared" si="3"/>
        <v>0</v>
      </c>
      <c r="Y35" s="892"/>
      <c r="Z35" s="895"/>
    </row>
    <row r="36" spans="1:26" ht="22.5" hidden="1" customHeight="1">
      <c r="A36" s="890"/>
      <c r="B36" s="826" t="s">
        <v>436</v>
      </c>
      <c r="C36" s="659">
        <v>124</v>
      </c>
      <c r="D36" s="659" t="s">
        <v>487</v>
      </c>
      <c r="E36" s="659" t="s">
        <v>488</v>
      </c>
      <c r="F36" s="659" t="s">
        <v>553</v>
      </c>
      <c r="G36" s="659" t="s">
        <v>28</v>
      </c>
      <c r="H36" s="659"/>
      <c r="I36" s="659"/>
      <c r="J36" s="659"/>
      <c r="K36" s="659"/>
      <c r="L36" s="659"/>
      <c r="M36" s="659"/>
      <c r="N36" s="659"/>
      <c r="O36" s="659"/>
      <c r="P36" s="659"/>
      <c r="Q36" s="659"/>
      <c r="R36" s="58">
        <f>R27</f>
        <v>0</v>
      </c>
      <c r="S36" s="58"/>
      <c r="T36" s="58"/>
      <c r="U36" s="58"/>
      <c r="V36" s="58">
        <f>V27</f>
        <v>0</v>
      </c>
      <c r="W36" s="58"/>
      <c r="X36" s="58"/>
      <c r="Y36" s="892"/>
      <c r="Z36" s="895"/>
    </row>
    <row r="37" spans="1:26" ht="22.5" customHeight="1">
      <c r="A37" s="890"/>
      <c r="B37" s="826" t="s">
        <v>651</v>
      </c>
      <c r="C37" s="659"/>
      <c r="D37" s="659"/>
      <c r="E37" s="659"/>
      <c r="F37" s="659"/>
      <c r="G37" s="659"/>
      <c r="H37" s="659"/>
      <c r="I37" s="659"/>
      <c r="J37" s="659"/>
      <c r="K37" s="659"/>
      <c r="L37" s="659"/>
      <c r="M37" s="659"/>
      <c r="N37" s="659"/>
      <c r="O37" s="659"/>
      <c r="P37" s="659"/>
      <c r="Q37" s="659"/>
      <c r="R37" s="58"/>
      <c r="S37" s="58"/>
      <c r="T37" s="58"/>
      <c r="U37" s="58"/>
      <c r="V37" s="58"/>
      <c r="W37" s="58"/>
      <c r="X37" s="58"/>
      <c r="Y37" s="892"/>
      <c r="Z37" s="895"/>
    </row>
    <row r="38" spans="1:26" ht="22.5" customHeight="1">
      <c r="A38" s="890"/>
      <c r="B38" s="826" t="s">
        <v>447</v>
      </c>
      <c r="C38" s="659"/>
      <c r="D38" s="659"/>
      <c r="E38" s="659"/>
      <c r="F38" s="659"/>
      <c r="G38" s="659"/>
      <c r="H38" s="659"/>
      <c r="I38" s="659"/>
      <c r="J38" s="659"/>
      <c r="K38" s="659"/>
      <c r="L38" s="659"/>
      <c r="M38" s="659"/>
      <c r="N38" s="659"/>
      <c r="O38" s="659"/>
      <c r="P38" s="659"/>
      <c r="Q38" s="659"/>
      <c r="R38" s="58"/>
      <c r="S38" s="58"/>
      <c r="T38" s="58"/>
      <c r="U38" s="58"/>
      <c r="V38" s="58"/>
      <c r="W38" s="58"/>
      <c r="X38" s="58"/>
      <c r="Y38" s="892"/>
      <c r="Z38" s="895"/>
    </row>
    <row r="39" spans="1:26" ht="27.75" customHeight="1">
      <c r="A39" s="890"/>
      <c r="B39" s="826" t="s">
        <v>1010</v>
      </c>
      <c r="C39" s="659"/>
      <c r="D39" s="659"/>
      <c r="E39" s="659"/>
      <c r="F39" s="659"/>
      <c r="G39" s="659"/>
      <c r="H39" s="659"/>
      <c r="I39" s="659"/>
      <c r="J39" s="659"/>
      <c r="K39" s="659"/>
      <c r="L39" s="659"/>
      <c r="M39" s="659"/>
      <c r="N39" s="659"/>
      <c r="O39" s="659"/>
      <c r="P39" s="659"/>
      <c r="Q39" s="659"/>
      <c r="R39" s="58"/>
      <c r="S39" s="58"/>
      <c r="T39" s="58"/>
      <c r="U39" s="58"/>
      <c r="V39" s="58"/>
      <c r="W39" s="58"/>
      <c r="X39" s="58"/>
      <c r="Y39" s="892"/>
      <c r="Z39" s="895"/>
    </row>
    <row r="40" spans="1:26" ht="31.5" customHeight="1">
      <c r="A40" s="872" t="s">
        <v>897</v>
      </c>
      <c r="B40" s="826" t="s">
        <v>89</v>
      </c>
      <c r="C40" s="659"/>
      <c r="D40" s="659"/>
      <c r="E40" s="659"/>
      <c r="F40" s="659"/>
      <c r="G40" s="659"/>
      <c r="H40" s="659"/>
      <c r="I40" s="659"/>
      <c r="J40" s="659"/>
      <c r="K40" s="659"/>
      <c r="L40" s="659"/>
      <c r="M40" s="659"/>
      <c r="N40" s="659"/>
      <c r="O40" s="659"/>
      <c r="P40" s="659"/>
      <c r="Q40" s="659"/>
      <c r="R40" s="58"/>
      <c r="S40" s="58"/>
      <c r="T40" s="58"/>
      <c r="U40" s="58"/>
      <c r="V40" s="58"/>
      <c r="W40" s="58"/>
      <c r="X40" s="58"/>
      <c r="Y40" s="892"/>
      <c r="Z40" s="884" t="s">
        <v>898</v>
      </c>
    </row>
    <row r="41" spans="1:26" ht="31.5" customHeight="1">
      <c r="A41" s="873"/>
      <c r="B41" s="826" t="s">
        <v>646</v>
      </c>
      <c r="C41" s="659"/>
      <c r="D41" s="659"/>
      <c r="E41" s="659"/>
      <c r="F41" s="659"/>
      <c r="G41" s="659"/>
      <c r="H41" s="659"/>
      <c r="I41" s="659"/>
      <c r="J41" s="659"/>
      <c r="K41" s="659"/>
      <c r="L41" s="659"/>
      <c r="M41" s="659"/>
      <c r="N41" s="659"/>
      <c r="O41" s="659"/>
      <c r="P41" s="659"/>
      <c r="Q41" s="659"/>
      <c r="R41" s="58"/>
      <c r="S41" s="58"/>
      <c r="T41" s="58"/>
      <c r="U41" s="58"/>
      <c r="V41" s="58"/>
      <c r="W41" s="58"/>
      <c r="X41" s="58"/>
      <c r="Y41" s="892"/>
      <c r="Z41" s="885"/>
    </row>
    <row r="42" spans="1:26" ht="31.5" customHeight="1">
      <c r="A42" s="873"/>
      <c r="B42" s="840" t="s">
        <v>1142</v>
      </c>
      <c r="C42" s="659">
        <v>176</v>
      </c>
      <c r="D42" s="659" t="s">
        <v>487</v>
      </c>
      <c r="E42" s="659" t="s">
        <v>488</v>
      </c>
      <c r="F42" s="659" t="s">
        <v>553</v>
      </c>
      <c r="G42" s="659" t="s">
        <v>28</v>
      </c>
      <c r="H42" s="659"/>
      <c r="I42" s="659"/>
      <c r="J42" s="659"/>
      <c r="K42" s="659"/>
      <c r="L42" s="659"/>
      <c r="M42" s="659"/>
      <c r="N42" s="659"/>
      <c r="O42" s="659"/>
      <c r="P42" s="659"/>
      <c r="Q42" s="659"/>
      <c r="R42" s="58">
        <f>R43</f>
        <v>5736.3</v>
      </c>
      <c r="S42" s="58">
        <f>S43</f>
        <v>5736.3</v>
      </c>
      <c r="T42" s="58">
        <v>0</v>
      </c>
      <c r="U42" s="58">
        <v>0</v>
      </c>
      <c r="V42" s="58">
        <v>0</v>
      </c>
      <c r="W42" s="58">
        <v>0</v>
      </c>
      <c r="X42" s="58">
        <v>0</v>
      </c>
      <c r="Y42" s="892"/>
      <c r="Z42" s="885"/>
    </row>
    <row r="43" spans="1:26" ht="18.75" customHeight="1">
      <c r="A43" s="873"/>
      <c r="B43" s="826" t="s">
        <v>10</v>
      </c>
      <c r="C43" s="659">
        <v>176</v>
      </c>
      <c r="D43" s="659" t="s">
        <v>487</v>
      </c>
      <c r="E43" s="659" t="s">
        <v>488</v>
      </c>
      <c r="F43" s="659" t="s">
        <v>553</v>
      </c>
      <c r="G43" s="659" t="s">
        <v>28</v>
      </c>
      <c r="H43" s="659"/>
      <c r="I43" s="659"/>
      <c r="J43" s="659"/>
      <c r="K43" s="659"/>
      <c r="L43" s="659"/>
      <c r="M43" s="659"/>
      <c r="N43" s="659"/>
      <c r="O43" s="659"/>
      <c r="P43" s="659"/>
      <c r="Q43" s="659"/>
      <c r="R43" s="58">
        <f>'Подробный перечень(БКАД)'!$G$437</f>
        <v>5736.3</v>
      </c>
      <c r="S43" s="58">
        <f>'Подробный перечень(БКАД)'!$H$437</f>
        <v>5736.3</v>
      </c>
      <c r="T43" s="58">
        <v>0</v>
      </c>
      <c r="U43" s="58">
        <v>0</v>
      </c>
      <c r="V43" s="58">
        <v>0</v>
      </c>
      <c r="W43" s="58">
        <v>0</v>
      </c>
      <c r="X43" s="58">
        <v>0</v>
      </c>
      <c r="Y43" s="892"/>
      <c r="Z43" s="885"/>
    </row>
    <row r="44" spans="1:26" ht="32.25" customHeight="1">
      <c r="A44" s="873"/>
      <c r="B44" s="826" t="s">
        <v>436</v>
      </c>
      <c r="C44" s="659">
        <v>176</v>
      </c>
      <c r="D44" s="659" t="s">
        <v>487</v>
      </c>
      <c r="E44" s="659" t="s">
        <v>488</v>
      </c>
      <c r="F44" s="659" t="s">
        <v>553</v>
      </c>
      <c r="G44" s="659" t="s">
        <v>28</v>
      </c>
      <c r="H44" s="659"/>
      <c r="I44" s="659"/>
      <c r="J44" s="659"/>
      <c r="K44" s="659"/>
      <c r="L44" s="659"/>
      <c r="M44" s="659"/>
      <c r="N44" s="659"/>
      <c r="O44" s="659"/>
      <c r="P44" s="659"/>
      <c r="Q44" s="659"/>
      <c r="R44" s="58">
        <v>0</v>
      </c>
      <c r="S44" s="58">
        <v>0</v>
      </c>
      <c r="T44" s="58">
        <v>0</v>
      </c>
      <c r="U44" s="58">
        <v>0</v>
      </c>
      <c r="V44" s="58">
        <v>0</v>
      </c>
      <c r="W44" s="58">
        <v>0</v>
      </c>
      <c r="X44" s="58">
        <v>0</v>
      </c>
      <c r="Y44" s="892"/>
      <c r="Z44" s="885"/>
    </row>
    <row r="45" spans="1:26" ht="32.25" customHeight="1">
      <c r="A45" s="873"/>
      <c r="B45" s="826" t="s">
        <v>651</v>
      </c>
      <c r="C45" s="659"/>
      <c r="D45" s="659"/>
      <c r="E45" s="659"/>
      <c r="F45" s="659"/>
      <c r="G45" s="659"/>
      <c r="H45" s="659"/>
      <c r="I45" s="659"/>
      <c r="J45" s="659"/>
      <c r="K45" s="659"/>
      <c r="L45" s="659"/>
      <c r="M45" s="659"/>
      <c r="N45" s="659"/>
      <c r="O45" s="659"/>
      <c r="P45" s="659"/>
      <c r="Q45" s="659"/>
      <c r="R45" s="58"/>
      <c r="S45" s="58"/>
      <c r="T45" s="58"/>
      <c r="U45" s="58"/>
      <c r="V45" s="58"/>
      <c r="W45" s="58"/>
      <c r="X45" s="58"/>
      <c r="Y45" s="892"/>
      <c r="Z45" s="885"/>
    </row>
    <row r="46" spans="1:26" ht="32.25" customHeight="1">
      <c r="A46" s="873"/>
      <c r="B46" s="826" t="s">
        <v>447</v>
      </c>
      <c r="C46" s="659"/>
      <c r="D46" s="659"/>
      <c r="E46" s="659"/>
      <c r="F46" s="659"/>
      <c r="G46" s="659"/>
      <c r="H46" s="659"/>
      <c r="I46" s="659"/>
      <c r="J46" s="659"/>
      <c r="K46" s="659"/>
      <c r="L46" s="659"/>
      <c r="M46" s="659"/>
      <c r="N46" s="659"/>
      <c r="O46" s="659"/>
      <c r="P46" s="659"/>
      <c r="Q46" s="659"/>
      <c r="R46" s="58"/>
      <c r="S46" s="58"/>
      <c r="T46" s="58"/>
      <c r="U46" s="58"/>
      <c r="V46" s="58"/>
      <c r="W46" s="58"/>
      <c r="X46" s="58"/>
      <c r="Y46" s="892"/>
      <c r="Z46" s="885"/>
    </row>
    <row r="47" spans="1:26" ht="21.75" customHeight="1">
      <c r="A47" s="874"/>
      <c r="B47" s="826" t="s">
        <v>1010</v>
      </c>
      <c r="C47" s="659"/>
      <c r="D47" s="659"/>
      <c r="E47" s="659"/>
      <c r="F47" s="659"/>
      <c r="G47" s="659"/>
      <c r="H47" s="659"/>
      <c r="I47" s="659"/>
      <c r="J47" s="659"/>
      <c r="K47" s="659"/>
      <c r="L47" s="659"/>
      <c r="M47" s="659"/>
      <c r="N47" s="659"/>
      <c r="O47" s="659"/>
      <c r="P47" s="659"/>
      <c r="Q47" s="659"/>
      <c r="R47" s="58"/>
      <c r="S47" s="58"/>
      <c r="T47" s="58"/>
      <c r="U47" s="58"/>
      <c r="V47" s="58"/>
      <c r="W47" s="58"/>
      <c r="X47" s="58"/>
      <c r="Y47" s="893"/>
      <c r="Z47" s="886"/>
    </row>
    <row r="48" spans="1:26" ht="36" customHeight="1">
      <c r="A48" s="872" t="s">
        <v>785</v>
      </c>
      <c r="B48" s="826" t="s">
        <v>721</v>
      </c>
      <c r="C48" s="659"/>
      <c r="D48" s="659"/>
      <c r="E48" s="659"/>
      <c r="F48" s="659"/>
      <c r="G48" s="659"/>
      <c r="H48" s="659"/>
      <c r="I48" s="659"/>
      <c r="J48" s="659"/>
      <c r="K48" s="659"/>
      <c r="L48" s="659"/>
      <c r="M48" s="659"/>
      <c r="N48" s="659"/>
      <c r="O48" s="659"/>
      <c r="P48" s="659"/>
      <c r="Q48" s="659"/>
      <c r="R48" s="637">
        <f>'Подробный перечень(БКАД)'!$G$446</f>
        <v>5.048</v>
      </c>
      <c r="S48" s="637"/>
      <c r="T48" s="637"/>
      <c r="U48" s="637"/>
      <c r="V48" s="637">
        <f>'Подробный перечень(БКАД)'!$K$446</f>
        <v>5.048</v>
      </c>
      <c r="W48" s="637">
        <f>'Подробный перечень(БКАД)'!$L$446</f>
        <v>4</v>
      </c>
      <c r="X48" s="637">
        <f>'Подробный перечень(БКАД)'!$M$446</f>
        <v>1</v>
      </c>
      <c r="Y48" s="872" t="s">
        <v>26</v>
      </c>
      <c r="Z48" s="884" t="s">
        <v>1133</v>
      </c>
    </row>
    <row r="49" spans="1:35" ht="29.25" customHeight="1">
      <c r="A49" s="873"/>
      <c r="B49" s="841" t="s">
        <v>646</v>
      </c>
      <c r="C49" s="659"/>
      <c r="D49" s="659"/>
      <c r="E49" s="659"/>
      <c r="F49" s="659"/>
      <c r="G49" s="659"/>
      <c r="H49" s="659"/>
      <c r="I49" s="659"/>
      <c r="J49" s="659"/>
      <c r="K49" s="659"/>
      <c r="L49" s="659"/>
      <c r="M49" s="659"/>
      <c r="N49" s="659"/>
      <c r="O49" s="659"/>
      <c r="P49" s="659"/>
      <c r="Q49" s="659"/>
      <c r="R49" s="637">
        <v>60700.4</v>
      </c>
      <c r="S49" s="637" t="s">
        <v>489</v>
      </c>
      <c r="T49" s="637" t="s">
        <v>489</v>
      </c>
      <c r="U49" s="637" t="s">
        <v>489</v>
      </c>
      <c r="V49" s="637" t="s">
        <v>489</v>
      </c>
      <c r="W49" s="637">
        <f>W50/W48</f>
        <v>77961.125</v>
      </c>
      <c r="X49" s="637">
        <v>0</v>
      </c>
      <c r="Y49" s="873"/>
      <c r="Z49" s="885"/>
    </row>
    <row r="50" spans="1:35" ht="26.25" customHeight="1">
      <c r="A50" s="873"/>
      <c r="B50" s="840" t="s">
        <v>1142</v>
      </c>
      <c r="C50" s="659">
        <v>176</v>
      </c>
      <c r="D50" s="659" t="s">
        <v>487</v>
      </c>
      <c r="E50" s="659" t="s">
        <v>488</v>
      </c>
      <c r="F50" s="659" t="s">
        <v>640</v>
      </c>
      <c r="G50" s="659" t="s">
        <v>28</v>
      </c>
      <c r="H50" s="659"/>
      <c r="I50" s="659"/>
      <c r="J50" s="659"/>
      <c r="K50" s="659"/>
      <c r="L50" s="659"/>
      <c r="M50" s="659"/>
      <c r="N50" s="659"/>
      <c r="O50" s="659"/>
      <c r="P50" s="659"/>
      <c r="Q50" s="659"/>
      <c r="R50" s="58">
        <f t="shared" ref="R50:X50" si="4">R51+R52</f>
        <v>198780.49999999997</v>
      </c>
      <c r="S50" s="58">
        <f t="shared" si="4"/>
        <v>3846.5</v>
      </c>
      <c r="T50" s="58">
        <f t="shared" si="4"/>
        <v>0</v>
      </c>
      <c r="U50" s="58">
        <f t="shared" si="4"/>
        <v>0</v>
      </c>
      <c r="V50" s="58">
        <f t="shared" si="4"/>
        <v>194933.99999999997</v>
      </c>
      <c r="W50" s="58">
        <f t="shared" si="4"/>
        <v>311844.5</v>
      </c>
      <c r="X50" s="58">
        <f t="shared" si="4"/>
        <v>68000</v>
      </c>
      <c r="Y50" s="873"/>
      <c r="Z50" s="885"/>
    </row>
    <row r="51" spans="1:35" ht="21.75" customHeight="1">
      <c r="A51" s="873"/>
      <c r="B51" s="826" t="s">
        <v>10</v>
      </c>
      <c r="C51" s="659">
        <v>176</v>
      </c>
      <c r="D51" s="659" t="s">
        <v>487</v>
      </c>
      <c r="E51" s="659" t="s">
        <v>488</v>
      </c>
      <c r="F51" s="659" t="s">
        <v>640</v>
      </c>
      <c r="G51" s="659" t="s">
        <v>28</v>
      </c>
      <c r="H51" s="659"/>
      <c r="I51" s="659"/>
      <c r="J51" s="659"/>
      <c r="K51" s="659"/>
      <c r="L51" s="659"/>
      <c r="M51" s="659"/>
      <c r="N51" s="659"/>
      <c r="O51" s="659"/>
      <c r="P51" s="659"/>
      <c r="Q51" s="659"/>
      <c r="R51" s="58">
        <f>'Подробный перечень(БКАД)'!$G$442</f>
        <v>188088.09999999998</v>
      </c>
      <c r="S51" s="58">
        <f>'Подробный перечень(БКАД)'!$H$442</f>
        <v>3846.5</v>
      </c>
      <c r="T51" s="58">
        <f>'Подробный перечень(БКАД)'!$H$1190</f>
        <v>0</v>
      </c>
      <c r="U51" s="58">
        <f>'Подробный перечень(БКАД)'!$J$449</f>
        <v>0</v>
      </c>
      <c r="V51" s="58">
        <f>'Подробный перечень(БКАД)'!$K$442</f>
        <v>184241.59999999998</v>
      </c>
      <c r="W51" s="58">
        <f>'Подробный перечень(БКАД)'!$L$442</f>
        <v>311844.5</v>
      </c>
      <c r="X51" s="58">
        <f>'Подробный перечень(БКАД)'!$M$449</f>
        <v>68000</v>
      </c>
      <c r="Y51" s="873"/>
      <c r="Z51" s="885"/>
      <c r="AG51" s="71"/>
      <c r="AH51" s="71"/>
      <c r="AI51" s="71"/>
    </row>
    <row r="52" spans="1:35" ht="25.5" customHeight="1">
      <c r="A52" s="873"/>
      <c r="B52" s="826" t="s">
        <v>436</v>
      </c>
      <c r="C52" s="659">
        <v>176</v>
      </c>
      <c r="D52" s="659" t="s">
        <v>487</v>
      </c>
      <c r="E52" s="659" t="s">
        <v>488</v>
      </c>
      <c r="F52" s="659" t="s">
        <v>640</v>
      </c>
      <c r="G52" s="659" t="s">
        <v>28</v>
      </c>
      <c r="H52" s="659"/>
      <c r="I52" s="659"/>
      <c r="J52" s="659"/>
      <c r="K52" s="659"/>
      <c r="L52" s="659"/>
      <c r="M52" s="659"/>
      <c r="N52" s="659"/>
      <c r="O52" s="659"/>
      <c r="P52" s="659"/>
      <c r="Q52" s="659"/>
      <c r="R52" s="58">
        <f>'Подробный перечень(БКАД)'!$G$443</f>
        <v>10692.4</v>
      </c>
      <c r="S52" s="58">
        <f>'Подробный перечень(БКАД)'!$H$1190</f>
        <v>0</v>
      </c>
      <c r="T52" s="58">
        <f>'Подробный перечень(БКАД)'!$H$1190</f>
        <v>0</v>
      </c>
      <c r="U52" s="58">
        <f>'Подробный перечень(БКАД)'!$J$450</f>
        <v>0</v>
      </c>
      <c r="V52" s="58">
        <f>'Подробный перечень(БКАД)'!$K$443</f>
        <v>10692.4</v>
      </c>
      <c r="W52" s="58">
        <f>'Подробный перечень(БКАД)'!$L$443</f>
        <v>0</v>
      </c>
      <c r="X52" s="58">
        <f>'Подробный перечень(БКАД)'!$M$450</f>
        <v>0</v>
      </c>
      <c r="Y52" s="873"/>
      <c r="Z52" s="885"/>
      <c r="AG52" s="71"/>
      <c r="AH52" s="71"/>
    </row>
    <row r="53" spans="1:35" ht="22.5" customHeight="1">
      <c r="A53" s="873"/>
      <c r="B53" s="826" t="s">
        <v>651</v>
      </c>
      <c r="C53" s="659"/>
      <c r="D53" s="659"/>
      <c r="E53" s="659"/>
      <c r="F53" s="659"/>
      <c r="G53" s="659"/>
      <c r="H53" s="659"/>
      <c r="I53" s="659"/>
      <c r="J53" s="659"/>
      <c r="K53" s="659"/>
      <c r="L53" s="659"/>
      <c r="M53" s="659"/>
      <c r="N53" s="659"/>
      <c r="O53" s="659"/>
      <c r="P53" s="659"/>
      <c r="Q53" s="659"/>
      <c r="R53" s="58"/>
      <c r="S53" s="58"/>
      <c r="T53" s="58"/>
      <c r="U53" s="58"/>
      <c r="V53" s="58"/>
      <c r="W53" s="58"/>
      <c r="X53" s="58"/>
      <c r="Y53" s="873"/>
      <c r="Z53" s="885"/>
      <c r="AG53" s="71"/>
      <c r="AH53" s="71"/>
    </row>
    <row r="54" spans="1:35" ht="36" customHeight="1">
      <c r="A54" s="873"/>
      <c r="B54" s="826" t="s">
        <v>447</v>
      </c>
      <c r="C54" s="659"/>
      <c r="D54" s="659"/>
      <c r="E54" s="659"/>
      <c r="F54" s="659"/>
      <c r="G54" s="659"/>
      <c r="H54" s="659"/>
      <c r="I54" s="659"/>
      <c r="J54" s="659"/>
      <c r="K54" s="659"/>
      <c r="L54" s="659"/>
      <c r="M54" s="659"/>
      <c r="N54" s="659"/>
      <c r="O54" s="659"/>
      <c r="P54" s="659"/>
      <c r="Q54" s="659"/>
      <c r="R54" s="58"/>
      <c r="S54" s="58"/>
      <c r="T54" s="58"/>
      <c r="U54" s="58"/>
      <c r="V54" s="58"/>
      <c r="W54" s="58"/>
      <c r="X54" s="58"/>
      <c r="Y54" s="873"/>
      <c r="Z54" s="885"/>
      <c r="AG54" s="71"/>
      <c r="AH54" s="71"/>
    </row>
    <row r="55" spans="1:35" ht="33" customHeight="1">
      <c r="A55" s="874"/>
      <c r="B55" s="826" t="s">
        <v>1010</v>
      </c>
      <c r="C55" s="659"/>
      <c r="D55" s="659"/>
      <c r="E55" s="659"/>
      <c r="F55" s="659"/>
      <c r="G55" s="659"/>
      <c r="H55" s="659"/>
      <c r="I55" s="659"/>
      <c r="J55" s="659"/>
      <c r="K55" s="659"/>
      <c r="L55" s="659"/>
      <c r="M55" s="659"/>
      <c r="N55" s="659"/>
      <c r="O55" s="659"/>
      <c r="P55" s="659"/>
      <c r="Q55" s="659"/>
      <c r="R55" s="58"/>
      <c r="S55" s="58"/>
      <c r="T55" s="58"/>
      <c r="U55" s="58"/>
      <c r="V55" s="58"/>
      <c r="W55" s="58"/>
      <c r="X55" s="58"/>
      <c r="Y55" s="874"/>
      <c r="Z55" s="886"/>
      <c r="AF55" s="71"/>
      <c r="AH55" s="71"/>
    </row>
    <row r="56" spans="1:35" ht="36" customHeight="1">
      <c r="A56" s="872" t="s">
        <v>968</v>
      </c>
      <c r="B56" s="826" t="s">
        <v>721</v>
      </c>
      <c r="C56" s="659"/>
      <c r="D56" s="659"/>
      <c r="E56" s="659"/>
      <c r="F56" s="659"/>
      <c r="G56" s="659"/>
      <c r="H56" s="659"/>
      <c r="I56" s="659"/>
      <c r="J56" s="659"/>
      <c r="K56" s="659"/>
      <c r="L56" s="659"/>
      <c r="M56" s="659"/>
      <c r="N56" s="659"/>
      <c r="O56" s="659"/>
      <c r="P56" s="659"/>
      <c r="Q56" s="659"/>
      <c r="R56" s="637">
        <f>'Подробный перечень(БКАД)'!$G$446</f>
        <v>5.048</v>
      </c>
      <c r="S56" s="637"/>
      <c r="T56" s="637"/>
      <c r="U56" s="637"/>
      <c r="V56" s="637">
        <f>'Подробный перечень(БКАД)'!$K$446</f>
        <v>5.048</v>
      </c>
      <c r="W56" s="637">
        <f>'Подробный перечень(БКАД)'!$L$446</f>
        <v>4</v>
      </c>
      <c r="X56" s="637">
        <f>'Подробный перечень(БКАД)'!$M$446</f>
        <v>1</v>
      </c>
      <c r="Y56" s="872" t="s">
        <v>26</v>
      </c>
      <c r="Z56" s="884" t="s">
        <v>1134</v>
      </c>
    </row>
    <row r="57" spans="1:35" ht="40.5" customHeight="1">
      <c r="A57" s="873"/>
      <c r="B57" s="826" t="s">
        <v>646</v>
      </c>
      <c r="C57" s="659"/>
      <c r="D57" s="659"/>
      <c r="E57" s="659"/>
      <c r="F57" s="659"/>
      <c r="G57" s="659"/>
      <c r="H57" s="659"/>
      <c r="I57" s="659"/>
      <c r="J57" s="659"/>
      <c r="K57" s="659"/>
      <c r="L57" s="659"/>
      <c r="M57" s="659"/>
      <c r="N57" s="659"/>
      <c r="O57" s="659"/>
      <c r="P57" s="659"/>
      <c r="Q57" s="659"/>
      <c r="R57" s="637">
        <f>R58/R56</f>
        <v>761.98494453248816</v>
      </c>
      <c r="S57" s="637" t="s">
        <v>489</v>
      </c>
      <c r="T57" s="637" t="s">
        <v>489</v>
      </c>
      <c r="U57" s="637" t="s">
        <v>489</v>
      </c>
      <c r="V57" s="637" t="s">
        <v>489</v>
      </c>
      <c r="W57" s="637">
        <f>W58/W56</f>
        <v>77961.125</v>
      </c>
      <c r="X57" s="637">
        <v>0</v>
      </c>
      <c r="Y57" s="873"/>
      <c r="Z57" s="885"/>
    </row>
    <row r="58" spans="1:35" ht="34.5" customHeight="1">
      <c r="A58" s="873"/>
      <c r="B58" s="840" t="s">
        <v>1142</v>
      </c>
      <c r="C58" s="659">
        <v>176</v>
      </c>
      <c r="D58" s="659" t="s">
        <v>487</v>
      </c>
      <c r="E58" s="659" t="s">
        <v>488</v>
      </c>
      <c r="F58" s="659" t="s">
        <v>640</v>
      </c>
      <c r="G58" s="659" t="s">
        <v>28</v>
      </c>
      <c r="H58" s="659"/>
      <c r="I58" s="659"/>
      <c r="J58" s="659"/>
      <c r="K58" s="659"/>
      <c r="L58" s="659"/>
      <c r="M58" s="659"/>
      <c r="N58" s="659"/>
      <c r="O58" s="659"/>
      <c r="P58" s="659"/>
      <c r="Q58" s="659"/>
      <c r="R58" s="58">
        <f>S58</f>
        <v>3846.5</v>
      </c>
      <c r="S58" s="58">
        <f>S59+S60</f>
        <v>3846.5</v>
      </c>
      <c r="T58" s="58">
        <f>T59+T60</f>
        <v>0</v>
      </c>
      <c r="U58" s="58">
        <f>U59+U60</f>
        <v>0</v>
      </c>
      <c r="V58" s="58">
        <f>V59+V60</f>
        <v>194933.99999999997</v>
      </c>
      <c r="W58" s="58">
        <f>'Подробный перечень(БКАД)'!$L$448</f>
        <v>311844.5</v>
      </c>
      <c r="X58" s="58">
        <f>X59+X60</f>
        <v>68000</v>
      </c>
      <c r="Y58" s="873"/>
      <c r="Z58" s="885"/>
    </row>
    <row r="59" spans="1:35" ht="33.75" customHeight="1">
      <c r="A59" s="873"/>
      <c r="B59" s="826" t="s">
        <v>10</v>
      </c>
      <c r="C59" s="659">
        <v>176</v>
      </c>
      <c r="D59" s="659" t="s">
        <v>487</v>
      </c>
      <c r="E59" s="659" t="s">
        <v>488</v>
      </c>
      <c r="F59" s="659" t="s">
        <v>640</v>
      </c>
      <c r="G59" s="659" t="s">
        <v>28</v>
      </c>
      <c r="H59" s="659"/>
      <c r="I59" s="659"/>
      <c r="J59" s="659"/>
      <c r="K59" s="659"/>
      <c r="L59" s="659"/>
      <c r="M59" s="659"/>
      <c r="N59" s="659"/>
      <c r="O59" s="659"/>
      <c r="P59" s="659"/>
      <c r="Q59" s="659"/>
      <c r="R59" s="58">
        <f>S59</f>
        <v>3846.5</v>
      </c>
      <c r="S59" s="58">
        <f>'Подробный перечень(БКАД)'!$H$769</f>
        <v>3846.5</v>
      </c>
      <c r="T59" s="58">
        <f>'Подробный перечень(БКАД)'!$H$1190</f>
        <v>0</v>
      </c>
      <c r="U59" s="58">
        <f>'Подробный перечень(БКАД)'!$J$449</f>
        <v>0</v>
      </c>
      <c r="V59" s="58">
        <f>'Подробный перечень(БКАД)'!$K$449</f>
        <v>184241.59999999998</v>
      </c>
      <c r="W59" s="58">
        <f>'Подробный перечень(БКАД)'!$L$449</f>
        <v>311844.5</v>
      </c>
      <c r="X59" s="58">
        <f>'Подробный перечень(БКАД)'!$M$449</f>
        <v>68000</v>
      </c>
      <c r="Y59" s="873"/>
      <c r="Z59" s="885"/>
      <c r="AG59" s="71"/>
      <c r="AH59" s="71"/>
      <c r="AI59" s="71"/>
    </row>
    <row r="60" spans="1:35" ht="36" customHeight="1">
      <c r="A60" s="873"/>
      <c r="B60" s="826" t="s">
        <v>436</v>
      </c>
      <c r="C60" s="659">
        <v>176</v>
      </c>
      <c r="D60" s="659" t="s">
        <v>487</v>
      </c>
      <c r="E60" s="659" t="s">
        <v>488</v>
      </c>
      <c r="F60" s="659" t="s">
        <v>640</v>
      </c>
      <c r="G60" s="659" t="s">
        <v>28</v>
      </c>
      <c r="H60" s="659"/>
      <c r="I60" s="659"/>
      <c r="J60" s="659"/>
      <c r="K60" s="659"/>
      <c r="L60" s="659"/>
      <c r="M60" s="659"/>
      <c r="N60" s="659"/>
      <c r="O60" s="659"/>
      <c r="P60" s="659"/>
      <c r="Q60" s="659"/>
      <c r="R60" s="58">
        <f>'Подробный перечень(БКАД)'!$G$450</f>
        <v>10692.4</v>
      </c>
      <c r="S60" s="58">
        <f>'Подробный перечень(БКАД)'!$H$1190</f>
        <v>0</v>
      </c>
      <c r="T60" s="58">
        <f>'Подробный перечень(БКАД)'!$H$1190</f>
        <v>0</v>
      </c>
      <c r="U60" s="58">
        <f>'Подробный перечень(БКАД)'!$J$450</f>
        <v>0</v>
      </c>
      <c r="V60" s="58">
        <f>'Подробный перечень(БКАД)'!$K$450</f>
        <v>10692.4</v>
      </c>
      <c r="W60" s="58">
        <f>'Подробный перечень(БКАД)'!$L$450</f>
        <v>0</v>
      </c>
      <c r="X60" s="58">
        <f>'Подробный перечень(БКАД)'!$M$450</f>
        <v>0</v>
      </c>
      <c r="Y60" s="873"/>
      <c r="Z60" s="885"/>
      <c r="AG60" s="71"/>
      <c r="AH60" s="71"/>
    </row>
    <row r="61" spans="1:35" ht="21.75" customHeight="1">
      <c r="A61" s="873"/>
      <c r="B61" s="826" t="s">
        <v>651</v>
      </c>
      <c r="C61" s="659"/>
      <c r="D61" s="659"/>
      <c r="E61" s="659"/>
      <c r="F61" s="659"/>
      <c r="G61" s="659"/>
      <c r="H61" s="659"/>
      <c r="I61" s="659"/>
      <c r="J61" s="659"/>
      <c r="K61" s="659"/>
      <c r="L61" s="659"/>
      <c r="M61" s="659"/>
      <c r="N61" s="659"/>
      <c r="O61" s="659"/>
      <c r="P61" s="659"/>
      <c r="Q61" s="659"/>
      <c r="R61" s="58"/>
      <c r="S61" s="58"/>
      <c r="T61" s="58"/>
      <c r="U61" s="58"/>
      <c r="V61" s="58"/>
      <c r="W61" s="58"/>
      <c r="X61" s="58"/>
      <c r="Y61" s="873"/>
      <c r="Z61" s="885"/>
      <c r="AG61" s="71"/>
      <c r="AH61" s="71"/>
    </row>
    <row r="62" spans="1:35" ht="26.25" customHeight="1">
      <c r="A62" s="873"/>
      <c r="B62" s="826" t="s">
        <v>447</v>
      </c>
      <c r="C62" s="659"/>
      <c r="D62" s="659"/>
      <c r="E62" s="659"/>
      <c r="F62" s="659"/>
      <c r="G62" s="659"/>
      <c r="H62" s="659"/>
      <c r="I62" s="659"/>
      <c r="J62" s="659"/>
      <c r="K62" s="659"/>
      <c r="L62" s="659"/>
      <c r="M62" s="659"/>
      <c r="N62" s="659"/>
      <c r="O62" s="659"/>
      <c r="P62" s="659"/>
      <c r="Q62" s="659"/>
      <c r="R62" s="58"/>
      <c r="S62" s="58"/>
      <c r="T62" s="58"/>
      <c r="U62" s="58"/>
      <c r="V62" s="58"/>
      <c r="W62" s="58"/>
      <c r="X62" s="58"/>
      <c r="Y62" s="873"/>
      <c r="Z62" s="885"/>
      <c r="AG62" s="71"/>
      <c r="AH62" s="71"/>
    </row>
    <row r="63" spans="1:35" ht="23.25" customHeight="1">
      <c r="A63" s="874"/>
      <c r="B63" s="826" t="s">
        <v>1010</v>
      </c>
      <c r="C63" s="659"/>
      <c r="D63" s="659"/>
      <c r="E63" s="659"/>
      <c r="F63" s="659"/>
      <c r="G63" s="659"/>
      <c r="H63" s="659"/>
      <c r="I63" s="659"/>
      <c r="J63" s="659"/>
      <c r="K63" s="659"/>
      <c r="L63" s="659"/>
      <c r="M63" s="659"/>
      <c r="N63" s="659"/>
      <c r="O63" s="659"/>
      <c r="P63" s="659"/>
      <c r="Q63" s="659"/>
      <c r="R63" s="58"/>
      <c r="S63" s="58"/>
      <c r="T63" s="58"/>
      <c r="U63" s="58"/>
      <c r="V63" s="58"/>
      <c r="W63" s="58"/>
      <c r="X63" s="58"/>
      <c r="Y63" s="874"/>
      <c r="Z63" s="886"/>
      <c r="AF63" s="71"/>
      <c r="AH63" s="71"/>
    </row>
    <row r="64" spans="1:35" ht="36" customHeight="1">
      <c r="A64" s="872" t="s">
        <v>956</v>
      </c>
      <c r="B64" s="840" t="s">
        <v>1142</v>
      </c>
      <c r="C64" s="659">
        <v>176</v>
      </c>
      <c r="D64" s="659" t="s">
        <v>487</v>
      </c>
      <c r="E64" s="659" t="s">
        <v>488</v>
      </c>
      <c r="F64" s="659" t="s">
        <v>640</v>
      </c>
      <c r="G64" s="659" t="s">
        <v>28</v>
      </c>
      <c r="H64" s="659"/>
      <c r="I64" s="659"/>
      <c r="J64" s="659"/>
      <c r="K64" s="659"/>
      <c r="L64" s="659"/>
      <c r="M64" s="659"/>
      <c r="N64" s="659"/>
      <c r="O64" s="659"/>
      <c r="P64" s="659"/>
      <c r="Q64" s="659"/>
      <c r="R64" s="637">
        <f>'Подробный перечень(БКАД)'!$G$768</f>
        <v>3846.5</v>
      </c>
      <c r="S64" s="637">
        <f>'Подробный перечень(БКАД)'!$H$768</f>
        <v>3846.5</v>
      </c>
      <c r="T64" s="637"/>
      <c r="U64" s="637"/>
      <c r="V64" s="58">
        <f>'Подробный перечень(БКАД)'!$H$770</f>
        <v>0</v>
      </c>
      <c r="W64" s="58">
        <f>'Подробный перечень(БКАД)'!$H$770</f>
        <v>0</v>
      </c>
      <c r="X64" s="58">
        <f>'Подробный перечень(БКАД)'!$H$770</f>
        <v>0</v>
      </c>
      <c r="Y64" s="872" t="s">
        <v>26</v>
      </c>
      <c r="Z64" s="884" t="s">
        <v>898</v>
      </c>
    </row>
    <row r="65" spans="1:33" ht="24.75" customHeight="1">
      <c r="A65" s="873"/>
      <c r="B65" s="826" t="s">
        <v>10</v>
      </c>
      <c r="C65" s="659">
        <v>176</v>
      </c>
      <c r="D65" s="659" t="s">
        <v>487</v>
      </c>
      <c r="E65" s="659" t="s">
        <v>488</v>
      </c>
      <c r="F65" s="659" t="s">
        <v>640</v>
      </c>
      <c r="G65" s="659" t="s">
        <v>28</v>
      </c>
      <c r="H65" s="659"/>
      <c r="I65" s="659"/>
      <c r="J65" s="659"/>
      <c r="K65" s="659"/>
      <c r="L65" s="659"/>
      <c r="M65" s="659"/>
      <c r="N65" s="659"/>
      <c r="O65" s="659"/>
      <c r="P65" s="659"/>
      <c r="Q65" s="659"/>
      <c r="R65" s="637">
        <f>'Подробный перечень(БКАД)'!$G$769</f>
        <v>3846.5</v>
      </c>
      <c r="S65" s="637">
        <f>'Подробный перечень(БКАД)'!$H$769</f>
        <v>3846.5</v>
      </c>
      <c r="T65" s="637">
        <v>0</v>
      </c>
      <c r="U65" s="637">
        <v>0</v>
      </c>
      <c r="V65" s="637">
        <v>0</v>
      </c>
      <c r="W65" s="58">
        <f>'Подробный перечень(БКАД)'!$H$770</f>
        <v>0</v>
      </c>
      <c r="X65" s="58">
        <f>'Подробный перечень(БКАД)'!$H$770</f>
        <v>0</v>
      </c>
      <c r="Y65" s="873"/>
      <c r="Z65" s="885"/>
    </row>
    <row r="66" spans="1:33" ht="24" customHeight="1">
      <c r="A66" s="873"/>
      <c r="B66" s="826" t="s">
        <v>436</v>
      </c>
      <c r="C66" s="659">
        <v>176</v>
      </c>
      <c r="D66" s="659" t="s">
        <v>487</v>
      </c>
      <c r="E66" s="659" t="s">
        <v>488</v>
      </c>
      <c r="F66" s="659" t="s">
        <v>640</v>
      </c>
      <c r="G66" s="659" t="s">
        <v>28</v>
      </c>
      <c r="H66" s="659"/>
      <c r="I66" s="659"/>
      <c r="J66" s="659"/>
      <c r="K66" s="659"/>
      <c r="L66" s="659"/>
      <c r="M66" s="659"/>
      <c r="N66" s="659"/>
      <c r="O66" s="659"/>
      <c r="P66" s="659"/>
      <c r="Q66" s="659"/>
      <c r="R66" s="58">
        <f>'Подробный перечень(БКАД)'!$G$770</f>
        <v>0</v>
      </c>
      <c r="S66" s="58">
        <f>'Подробный перечень(БКАД)'!$H$770</f>
        <v>0</v>
      </c>
      <c r="T66" s="58">
        <v>0</v>
      </c>
      <c r="U66" s="58">
        <v>0</v>
      </c>
      <c r="V66" s="58">
        <v>0</v>
      </c>
      <c r="W66" s="58">
        <f>'Подробный перечень(БКАД)'!$H$770</f>
        <v>0</v>
      </c>
      <c r="X66" s="58">
        <f>'Подробный перечень(БКАД)'!$H$770</f>
        <v>0</v>
      </c>
      <c r="Y66" s="873"/>
      <c r="Z66" s="885"/>
    </row>
    <row r="67" spans="1:33" ht="24" customHeight="1">
      <c r="A67" s="818"/>
      <c r="B67" s="826" t="s">
        <v>651</v>
      </c>
      <c r="C67" s="659"/>
      <c r="D67" s="659"/>
      <c r="E67" s="659"/>
      <c r="F67" s="659"/>
      <c r="G67" s="659"/>
      <c r="H67" s="659"/>
      <c r="I67" s="659"/>
      <c r="J67" s="659"/>
      <c r="K67" s="659"/>
      <c r="L67" s="659"/>
      <c r="M67" s="659"/>
      <c r="N67" s="659"/>
      <c r="O67" s="659"/>
      <c r="P67" s="659"/>
      <c r="Q67" s="659"/>
      <c r="R67" s="58"/>
      <c r="S67" s="58"/>
      <c r="T67" s="58"/>
      <c r="U67" s="58"/>
      <c r="V67" s="58"/>
      <c r="W67" s="58"/>
      <c r="X67" s="58"/>
      <c r="Y67" s="818"/>
      <c r="Z67" s="885"/>
    </row>
    <row r="68" spans="1:33" ht="24" customHeight="1">
      <c r="A68" s="818"/>
      <c r="B68" s="826" t="s">
        <v>447</v>
      </c>
      <c r="C68" s="659"/>
      <c r="D68" s="659"/>
      <c r="E68" s="659"/>
      <c r="F68" s="659"/>
      <c r="G68" s="659"/>
      <c r="H68" s="659"/>
      <c r="I68" s="659"/>
      <c r="J68" s="659"/>
      <c r="K68" s="659"/>
      <c r="L68" s="659"/>
      <c r="M68" s="659"/>
      <c r="N68" s="659"/>
      <c r="O68" s="659"/>
      <c r="P68" s="659"/>
      <c r="Q68" s="659"/>
      <c r="R68" s="58"/>
      <c r="S68" s="58"/>
      <c r="T68" s="58"/>
      <c r="U68" s="58"/>
      <c r="V68" s="58"/>
      <c r="W68" s="58"/>
      <c r="X68" s="58"/>
      <c r="Y68" s="818"/>
      <c r="Z68" s="885"/>
    </row>
    <row r="69" spans="1:33" ht="20.25" customHeight="1">
      <c r="A69" s="818"/>
      <c r="B69" s="826" t="s">
        <v>1010</v>
      </c>
      <c r="C69" s="659"/>
      <c r="D69" s="659"/>
      <c r="E69" s="659"/>
      <c r="F69" s="659"/>
      <c r="G69" s="659"/>
      <c r="H69" s="659"/>
      <c r="I69" s="659"/>
      <c r="J69" s="659"/>
      <c r="K69" s="659"/>
      <c r="L69" s="659"/>
      <c r="M69" s="659"/>
      <c r="N69" s="659"/>
      <c r="O69" s="659"/>
      <c r="P69" s="659"/>
      <c r="Q69" s="659"/>
      <c r="R69" s="58"/>
      <c r="S69" s="58"/>
      <c r="T69" s="58"/>
      <c r="U69" s="58"/>
      <c r="V69" s="58"/>
      <c r="W69" s="58"/>
      <c r="X69" s="58"/>
      <c r="Y69" s="818"/>
      <c r="Z69" s="886"/>
    </row>
    <row r="70" spans="1:33" ht="25.5" customHeight="1">
      <c r="A70" s="872" t="s">
        <v>786</v>
      </c>
      <c r="B70" s="826" t="s">
        <v>89</v>
      </c>
      <c r="C70" s="659"/>
      <c r="D70" s="659"/>
      <c r="E70" s="659"/>
      <c r="F70" s="659"/>
      <c r="G70" s="659"/>
      <c r="H70" s="659"/>
      <c r="I70" s="659"/>
      <c r="J70" s="659"/>
      <c r="K70" s="659"/>
      <c r="L70" s="659"/>
      <c r="M70" s="659"/>
      <c r="N70" s="659"/>
      <c r="O70" s="659"/>
      <c r="P70" s="659"/>
      <c r="Q70" s="659"/>
      <c r="R70" s="58">
        <f>'Подробный перечень(БКАД)'!$G$771</f>
        <v>89.4</v>
      </c>
      <c r="S70" s="58"/>
      <c r="T70" s="58"/>
      <c r="U70" s="58"/>
      <c r="V70" s="58">
        <f>'Подробный перечень(БКАД)'!$K$771</f>
        <v>89.4</v>
      </c>
      <c r="W70" s="58">
        <f>'Подробный перечень(БКАД)'!$L$771</f>
        <v>230.20000000000002</v>
      </c>
      <c r="X70" s="58">
        <f>'Подробный перечень(БКАД)'!$M$771</f>
        <v>147.9</v>
      </c>
      <c r="Y70" s="872" t="s">
        <v>26</v>
      </c>
      <c r="Z70" s="884" t="s">
        <v>1119</v>
      </c>
    </row>
    <row r="71" spans="1:33" ht="25.5" customHeight="1">
      <c r="A71" s="873"/>
      <c r="B71" s="826" t="s">
        <v>646</v>
      </c>
      <c r="C71" s="659"/>
      <c r="D71" s="659"/>
      <c r="E71" s="659"/>
      <c r="F71" s="659"/>
      <c r="G71" s="659"/>
      <c r="H71" s="659"/>
      <c r="I71" s="659"/>
      <c r="J71" s="659"/>
      <c r="K71" s="659"/>
      <c r="L71" s="659"/>
      <c r="M71" s="659"/>
      <c r="N71" s="659"/>
      <c r="O71" s="659"/>
      <c r="P71" s="659"/>
      <c r="Q71" s="659"/>
      <c r="R71" s="637">
        <f>R72/R70</f>
        <v>12344.003355704699</v>
      </c>
      <c r="S71" s="637" t="s">
        <v>489</v>
      </c>
      <c r="T71" s="637" t="s">
        <v>489</v>
      </c>
      <c r="U71" s="637" t="s">
        <v>489</v>
      </c>
      <c r="V71" s="637" t="s">
        <v>489</v>
      </c>
      <c r="W71" s="637">
        <f>W72/W70</f>
        <v>12504.904430929626</v>
      </c>
      <c r="X71" s="637">
        <f>X72/X70</f>
        <v>14509.043272481405</v>
      </c>
      <c r="Y71" s="873"/>
      <c r="Z71" s="885"/>
    </row>
    <row r="72" spans="1:33" ht="40.5" customHeight="1">
      <c r="A72" s="873"/>
      <c r="B72" s="840" t="s">
        <v>1142</v>
      </c>
      <c r="C72" s="659">
        <v>176</v>
      </c>
      <c r="D72" s="659" t="s">
        <v>487</v>
      </c>
      <c r="E72" s="659" t="s">
        <v>488</v>
      </c>
      <c r="F72" s="659" t="s">
        <v>640</v>
      </c>
      <c r="G72" s="659" t="s">
        <v>28</v>
      </c>
      <c r="H72" s="659"/>
      <c r="I72" s="659"/>
      <c r="J72" s="659"/>
      <c r="K72" s="659"/>
      <c r="L72" s="659"/>
      <c r="M72" s="659"/>
      <c r="N72" s="659"/>
      <c r="O72" s="659"/>
      <c r="P72" s="659"/>
      <c r="Q72" s="659"/>
      <c r="R72" s="58">
        <f t="shared" ref="R72:X72" si="5">R73+R74</f>
        <v>1103553.9000000001</v>
      </c>
      <c r="S72" s="58">
        <f t="shared" si="5"/>
        <v>0</v>
      </c>
      <c r="T72" s="58">
        <f t="shared" si="5"/>
        <v>0</v>
      </c>
      <c r="U72" s="58">
        <f t="shared" si="5"/>
        <v>0</v>
      </c>
      <c r="V72" s="58">
        <f t="shared" si="5"/>
        <v>1103553.9000000001</v>
      </c>
      <c r="W72" s="58">
        <f t="shared" si="5"/>
        <v>2878629</v>
      </c>
      <c r="X72" s="58">
        <f t="shared" si="5"/>
        <v>2145887.5</v>
      </c>
      <c r="Y72" s="873"/>
      <c r="Z72" s="885"/>
    </row>
    <row r="73" spans="1:33" ht="29.25" customHeight="1">
      <c r="A73" s="873"/>
      <c r="B73" s="826" t="s">
        <v>10</v>
      </c>
      <c r="C73" s="659">
        <v>176</v>
      </c>
      <c r="D73" s="659" t="s">
        <v>487</v>
      </c>
      <c r="E73" s="659" t="s">
        <v>488</v>
      </c>
      <c r="F73" s="659" t="s">
        <v>640</v>
      </c>
      <c r="G73" s="659" t="s">
        <v>28</v>
      </c>
      <c r="H73" s="659"/>
      <c r="I73" s="659"/>
      <c r="J73" s="659"/>
      <c r="K73" s="659"/>
      <c r="L73" s="659"/>
      <c r="M73" s="659"/>
      <c r="N73" s="659"/>
      <c r="O73" s="659"/>
      <c r="P73" s="659"/>
      <c r="Q73" s="659"/>
      <c r="R73" s="58">
        <f>'Подробный перечень(БКАД)'!$G$774</f>
        <v>972046.3</v>
      </c>
      <c r="S73" s="58">
        <f>'Подробный перечень(БКАД)'!$H$774</f>
        <v>0</v>
      </c>
      <c r="T73" s="58">
        <f>'Подробный перечень(БКАД)'!$H$1190</f>
        <v>0</v>
      </c>
      <c r="U73" s="58">
        <f>'Подробный перечень(БКАД)'!$H$1190</f>
        <v>0</v>
      </c>
      <c r="V73" s="58">
        <f>'Подробный перечень(БКАД)'!$K$774</f>
        <v>972046.3</v>
      </c>
      <c r="W73" s="58">
        <f>'Подробный перечень(БКАД)'!$L$774</f>
        <v>2848629</v>
      </c>
      <c r="X73" s="58">
        <f>'Подробный перечень(БКАД)'!$M$774</f>
        <v>2145887.5</v>
      </c>
      <c r="Y73" s="873"/>
      <c r="Z73" s="885"/>
    </row>
    <row r="74" spans="1:33" ht="28.5" customHeight="1">
      <c r="A74" s="873"/>
      <c r="B74" s="826" t="s">
        <v>436</v>
      </c>
      <c r="C74" s="659">
        <v>176</v>
      </c>
      <c r="D74" s="659" t="s">
        <v>487</v>
      </c>
      <c r="E74" s="659" t="s">
        <v>488</v>
      </c>
      <c r="F74" s="659" t="s">
        <v>640</v>
      </c>
      <c r="G74" s="659" t="s">
        <v>28</v>
      </c>
      <c r="H74" s="659"/>
      <c r="I74" s="659"/>
      <c r="J74" s="659"/>
      <c r="K74" s="659"/>
      <c r="L74" s="659"/>
      <c r="M74" s="659"/>
      <c r="N74" s="659"/>
      <c r="O74" s="659"/>
      <c r="P74" s="659"/>
      <c r="Q74" s="659"/>
      <c r="R74" s="58">
        <f>'Подробный перечень(БКАД)'!$G$775</f>
        <v>131507.6</v>
      </c>
      <c r="S74" s="58">
        <v>0</v>
      </c>
      <c r="T74" s="58">
        <f>'Подробный перечень(БКАД)'!$H$1190</f>
        <v>0</v>
      </c>
      <c r="U74" s="58">
        <f>'Подробный перечень(БКАД)'!$H$1190</f>
        <v>0</v>
      </c>
      <c r="V74" s="58">
        <f>'Подробный перечень(БКАД)'!$K$775</f>
        <v>131507.6</v>
      </c>
      <c r="W74" s="58">
        <f>'Подробный перечень(БКАД)'!$L$775</f>
        <v>30000</v>
      </c>
      <c r="X74" s="58">
        <f>'Подробный перечень(БКАД)'!$M$775</f>
        <v>0</v>
      </c>
      <c r="Y74" s="873"/>
      <c r="Z74" s="885"/>
    </row>
    <row r="75" spans="1:33" ht="18" customHeight="1">
      <c r="A75" s="873"/>
      <c r="B75" s="826" t="s">
        <v>651</v>
      </c>
      <c r="C75" s="659"/>
      <c r="D75" s="659"/>
      <c r="E75" s="659"/>
      <c r="F75" s="659"/>
      <c r="G75" s="659"/>
      <c r="H75" s="659"/>
      <c r="I75" s="659"/>
      <c r="J75" s="659"/>
      <c r="K75" s="659"/>
      <c r="L75" s="659"/>
      <c r="M75" s="659"/>
      <c r="N75" s="659"/>
      <c r="O75" s="659"/>
      <c r="P75" s="659"/>
      <c r="Q75" s="659"/>
      <c r="R75" s="58"/>
      <c r="S75" s="58"/>
      <c r="T75" s="58"/>
      <c r="U75" s="58"/>
      <c r="V75" s="58"/>
      <c r="W75" s="58"/>
      <c r="X75" s="58"/>
      <c r="Y75" s="873"/>
      <c r="Z75" s="885"/>
    </row>
    <row r="76" spans="1:33" ht="28.5" customHeight="1">
      <c r="A76" s="873"/>
      <c r="B76" s="826" t="s">
        <v>447</v>
      </c>
      <c r="C76" s="659"/>
      <c r="D76" s="659"/>
      <c r="E76" s="659"/>
      <c r="F76" s="659"/>
      <c r="G76" s="659"/>
      <c r="H76" s="659"/>
      <c r="I76" s="659"/>
      <c r="J76" s="659"/>
      <c r="K76" s="659"/>
      <c r="L76" s="659"/>
      <c r="M76" s="659"/>
      <c r="N76" s="659"/>
      <c r="O76" s="659"/>
      <c r="P76" s="659"/>
      <c r="Q76" s="659"/>
      <c r="R76" s="58"/>
      <c r="S76" s="58"/>
      <c r="T76" s="58"/>
      <c r="U76" s="58"/>
      <c r="V76" s="58"/>
      <c r="W76" s="58"/>
      <c r="X76" s="58"/>
      <c r="Y76" s="873"/>
      <c r="Z76" s="885"/>
    </row>
    <row r="77" spans="1:33" ht="27" customHeight="1">
      <c r="A77" s="874"/>
      <c r="B77" s="826" t="s">
        <v>1010</v>
      </c>
      <c r="C77" s="659"/>
      <c r="D77" s="659"/>
      <c r="E77" s="659"/>
      <c r="F77" s="659"/>
      <c r="G77" s="659"/>
      <c r="H77" s="659"/>
      <c r="I77" s="659"/>
      <c r="J77" s="659"/>
      <c r="K77" s="659"/>
      <c r="L77" s="659"/>
      <c r="M77" s="659"/>
      <c r="N77" s="659"/>
      <c r="O77" s="659"/>
      <c r="P77" s="659"/>
      <c r="Q77" s="659"/>
      <c r="R77" s="58"/>
      <c r="S77" s="58"/>
      <c r="T77" s="58"/>
      <c r="U77" s="58"/>
      <c r="V77" s="58"/>
      <c r="W77" s="58"/>
      <c r="X77" s="58"/>
      <c r="Y77" s="874"/>
      <c r="Z77" s="886"/>
      <c r="AG77" s="71"/>
    </row>
    <row r="78" spans="1:33" ht="45.75" customHeight="1">
      <c r="A78" s="872" t="s">
        <v>787</v>
      </c>
      <c r="B78" s="826" t="s">
        <v>74</v>
      </c>
      <c r="C78" s="659"/>
      <c r="D78" s="659"/>
      <c r="E78" s="659"/>
      <c r="F78" s="659"/>
      <c r="G78" s="659"/>
      <c r="H78" s="659"/>
      <c r="I78" s="659"/>
      <c r="J78" s="659"/>
      <c r="K78" s="659"/>
      <c r="L78" s="659"/>
      <c r="M78" s="659"/>
      <c r="N78" s="659"/>
      <c r="O78" s="659"/>
      <c r="P78" s="659"/>
      <c r="Q78" s="659"/>
      <c r="R78" s="58">
        <v>5</v>
      </c>
      <c r="S78" s="58"/>
      <c r="T78" s="58"/>
      <c r="U78" s="58"/>
      <c r="V78" s="58">
        <v>5</v>
      </c>
      <c r="W78" s="58">
        <v>5</v>
      </c>
      <c r="X78" s="58">
        <v>5</v>
      </c>
      <c r="Y78" s="872" t="s">
        <v>186</v>
      </c>
      <c r="Z78" s="884" t="s">
        <v>1145</v>
      </c>
    </row>
    <row r="79" spans="1:33" ht="25.5" customHeight="1">
      <c r="A79" s="873"/>
      <c r="B79" s="841" t="s">
        <v>646</v>
      </c>
      <c r="C79" s="659"/>
      <c r="D79" s="659"/>
      <c r="E79" s="659"/>
      <c r="F79" s="659"/>
      <c r="G79" s="659"/>
      <c r="H79" s="659"/>
      <c r="I79" s="659"/>
      <c r="J79" s="659"/>
      <c r="K79" s="659"/>
      <c r="L79" s="659"/>
      <c r="M79" s="659"/>
      <c r="N79" s="659"/>
      <c r="O79" s="659"/>
      <c r="P79" s="659"/>
      <c r="Q79" s="659"/>
      <c r="R79" s="58">
        <f>R80/R78</f>
        <v>388764.6</v>
      </c>
      <c r="S79" s="58" t="s">
        <v>489</v>
      </c>
      <c r="T79" s="58" t="s">
        <v>489</v>
      </c>
      <c r="U79" s="58" t="s">
        <v>489</v>
      </c>
      <c r="V79" s="58" t="s">
        <v>489</v>
      </c>
      <c r="W79" s="58">
        <f>W80/W78</f>
        <v>281406.2</v>
      </c>
      <c r="X79" s="58">
        <f>X80/X78</f>
        <v>260869.18</v>
      </c>
      <c r="Y79" s="873"/>
      <c r="Z79" s="885"/>
    </row>
    <row r="80" spans="1:33" ht="25.5" customHeight="1">
      <c r="A80" s="873"/>
      <c r="B80" s="840" t="s">
        <v>1142</v>
      </c>
      <c r="C80" s="659">
        <v>176</v>
      </c>
      <c r="D80" s="659" t="s">
        <v>487</v>
      </c>
      <c r="E80" s="659" t="s">
        <v>488</v>
      </c>
      <c r="F80" s="659" t="s">
        <v>639</v>
      </c>
      <c r="G80" s="659" t="s">
        <v>28</v>
      </c>
      <c r="H80" s="659"/>
      <c r="I80" s="659"/>
      <c r="J80" s="659"/>
      <c r="K80" s="659"/>
      <c r="L80" s="659"/>
      <c r="M80" s="659"/>
      <c r="N80" s="659"/>
      <c r="O80" s="659"/>
      <c r="P80" s="659"/>
      <c r="Q80" s="659"/>
      <c r="R80" s="58">
        <f t="shared" ref="R80:X80" si="6">R81+R82+R83</f>
        <v>1943823</v>
      </c>
      <c r="S80" s="58">
        <f t="shared" si="6"/>
        <v>0</v>
      </c>
      <c r="T80" s="58">
        <f t="shared" si="6"/>
        <v>0</v>
      </c>
      <c r="U80" s="58">
        <f t="shared" si="6"/>
        <v>0</v>
      </c>
      <c r="V80" s="58">
        <f t="shared" si="6"/>
        <v>1943823</v>
      </c>
      <c r="W80" s="58">
        <f t="shared" si="6"/>
        <v>1407031</v>
      </c>
      <c r="X80" s="58">
        <f t="shared" si="6"/>
        <v>1304345.8999999999</v>
      </c>
      <c r="Y80" s="873"/>
      <c r="Z80" s="885"/>
    </row>
    <row r="81" spans="1:26" ht="25.5" customHeight="1">
      <c r="A81" s="873"/>
      <c r="B81" s="826" t="s">
        <v>10</v>
      </c>
      <c r="C81" s="659">
        <v>176</v>
      </c>
      <c r="D81" s="659" t="s">
        <v>487</v>
      </c>
      <c r="E81" s="659" t="s">
        <v>488</v>
      </c>
      <c r="F81" s="659" t="s">
        <v>639</v>
      </c>
      <c r="G81" s="659" t="s">
        <v>28</v>
      </c>
      <c r="H81" s="659"/>
      <c r="I81" s="659"/>
      <c r="J81" s="659"/>
      <c r="K81" s="659"/>
      <c r="L81" s="659"/>
      <c r="M81" s="659"/>
      <c r="N81" s="659"/>
      <c r="O81" s="659"/>
      <c r="P81" s="659"/>
      <c r="Q81" s="659"/>
      <c r="R81" s="58">
        <f>'Подробный перечень(БКАД)'!$G$1164</f>
        <v>675529</v>
      </c>
      <c r="S81" s="58">
        <v>0</v>
      </c>
      <c r="T81" s="58">
        <v>0</v>
      </c>
      <c r="U81" s="58">
        <v>0</v>
      </c>
      <c r="V81" s="58">
        <f>'Подробный перечень(БКАД)'!$K$1164</f>
        <v>675529</v>
      </c>
      <c r="W81" s="58">
        <f>'Подробный перечень(БКАД)'!$L$1164</f>
        <v>1035150</v>
      </c>
      <c r="X81" s="58">
        <f>'Подробный перечень(БКАД)'!$M$1164</f>
        <v>1035150</v>
      </c>
      <c r="Y81" s="873"/>
      <c r="Z81" s="885"/>
    </row>
    <row r="82" spans="1:26" ht="25.5" customHeight="1">
      <c r="A82" s="873"/>
      <c r="B82" s="826" t="s">
        <v>436</v>
      </c>
      <c r="C82" s="659">
        <v>176</v>
      </c>
      <c r="D82" s="659" t="s">
        <v>487</v>
      </c>
      <c r="E82" s="659" t="s">
        <v>488</v>
      </c>
      <c r="F82" s="659" t="s">
        <v>639</v>
      </c>
      <c r="G82" s="659" t="s">
        <v>28</v>
      </c>
      <c r="H82" s="659"/>
      <c r="I82" s="659"/>
      <c r="J82" s="659"/>
      <c r="K82" s="659"/>
      <c r="L82" s="659"/>
      <c r="M82" s="659"/>
      <c r="N82" s="659"/>
      <c r="O82" s="659"/>
      <c r="P82" s="659"/>
      <c r="Q82" s="659"/>
      <c r="R82" s="58">
        <f>'Подробный перечень(БКАД)'!$G$1165</f>
        <v>490000</v>
      </c>
      <c r="S82" s="58">
        <v>0</v>
      </c>
      <c r="T82" s="58">
        <v>0</v>
      </c>
      <c r="U82" s="58">
        <v>0</v>
      </c>
      <c r="V82" s="58">
        <f>'Подробный перечень(БКАД)'!$K$1165</f>
        <v>490000</v>
      </c>
      <c r="W82" s="58">
        <f>'Подробный перечень(БКАД)'!$L$1165</f>
        <v>0</v>
      </c>
      <c r="X82" s="58">
        <f>'Подробный перечень(БКАД)'!$M$1165</f>
        <v>0</v>
      </c>
      <c r="Y82" s="873"/>
      <c r="Z82" s="885"/>
    </row>
    <row r="83" spans="1:26" ht="25.5" customHeight="1">
      <c r="A83" s="873"/>
      <c r="B83" s="826" t="s">
        <v>651</v>
      </c>
      <c r="C83" s="297"/>
      <c r="D83" s="297"/>
      <c r="E83" s="297"/>
      <c r="F83" s="297"/>
      <c r="G83" s="297"/>
      <c r="H83" s="297"/>
      <c r="I83" s="297"/>
      <c r="J83" s="297"/>
      <c r="K83" s="297"/>
      <c r="L83" s="297"/>
      <c r="M83" s="297"/>
      <c r="N83" s="297"/>
      <c r="O83" s="297"/>
      <c r="P83" s="297"/>
      <c r="Q83" s="297"/>
      <c r="R83" s="58">
        <f>'Подробный перечень(БКАД)'!$G$1166</f>
        <v>778294</v>
      </c>
      <c r="S83" s="58">
        <v>0</v>
      </c>
      <c r="T83" s="58">
        <v>0</v>
      </c>
      <c r="U83" s="58">
        <v>0</v>
      </c>
      <c r="V83" s="58">
        <f>'Подробный перечень(БКАД)'!$K$1166</f>
        <v>778294</v>
      </c>
      <c r="W83" s="58">
        <f>'Подробный перечень(БКАД)'!$L$1166</f>
        <v>371881</v>
      </c>
      <c r="X83" s="58">
        <f>'Подробный перечень(БКАД)'!$M$1166</f>
        <v>269195.90000000002</v>
      </c>
      <c r="Y83" s="873"/>
      <c r="Z83" s="885"/>
    </row>
    <row r="84" spans="1:26" ht="25.5" customHeight="1">
      <c r="A84" s="873"/>
      <c r="B84" s="826" t="s">
        <v>447</v>
      </c>
      <c r="C84" s="297"/>
      <c r="D84" s="297"/>
      <c r="E84" s="297"/>
      <c r="F84" s="297"/>
      <c r="G84" s="297"/>
      <c r="H84" s="297"/>
      <c r="I84" s="297"/>
      <c r="J84" s="297"/>
      <c r="K84" s="297"/>
      <c r="L84" s="297"/>
      <c r="M84" s="297"/>
      <c r="N84" s="297"/>
      <c r="O84" s="297"/>
      <c r="P84" s="297"/>
      <c r="Q84" s="297"/>
      <c r="R84" s="58"/>
      <c r="S84" s="58"/>
      <c r="T84" s="58"/>
      <c r="U84" s="58"/>
      <c r="V84" s="58"/>
      <c r="W84" s="58"/>
      <c r="X84" s="58"/>
      <c r="Y84" s="873"/>
      <c r="Z84" s="885"/>
    </row>
    <row r="85" spans="1:26" ht="25.5" customHeight="1">
      <c r="A85" s="874"/>
      <c r="B85" s="826" t="s">
        <v>1010</v>
      </c>
      <c r="C85" s="297"/>
      <c r="D85" s="297"/>
      <c r="E85" s="297"/>
      <c r="F85" s="297"/>
      <c r="G85" s="297"/>
      <c r="H85" s="297"/>
      <c r="I85" s="297"/>
      <c r="J85" s="297"/>
      <c r="K85" s="297"/>
      <c r="L85" s="297"/>
      <c r="M85" s="297"/>
      <c r="N85" s="297"/>
      <c r="O85" s="297"/>
      <c r="P85" s="297"/>
      <c r="Q85" s="297"/>
      <c r="R85" s="58"/>
      <c r="S85" s="58"/>
      <c r="T85" s="58"/>
      <c r="U85" s="58"/>
      <c r="V85" s="58"/>
      <c r="W85" s="58"/>
      <c r="X85" s="58"/>
      <c r="Y85" s="874"/>
      <c r="Z85" s="886"/>
    </row>
    <row r="86" spans="1:26" ht="28.15" customHeight="1">
      <c r="A86" s="872" t="s">
        <v>788</v>
      </c>
      <c r="B86" s="826" t="s">
        <v>782</v>
      </c>
      <c r="C86" s="826"/>
      <c r="D86" s="826"/>
      <c r="E86" s="826"/>
      <c r="F86" s="826"/>
      <c r="G86" s="826"/>
      <c r="H86" s="826"/>
      <c r="I86" s="826"/>
      <c r="J86" s="826"/>
      <c r="K86" s="826"/>
      <c r="L86" s="826"/>
      <c r="M86" s="826"/>
      <c r="N86" s="826"/>
      <c r="O86" s="826"/>
      <c r="P86" s="826"/>
      <c r="Q86" s="826"/>
      <c r="R86" s="58"/>
      <c r="S86" s="659"/>
      <c r="T86" s="659"/>
      <c r="U86" s="659"/>
      <c r="V86" s="58"/>
      <c r="W86" s="58"/>
      <c r="X86" s="58"/>
      <c r="Y86" s="872" t="s">
        <v>26</v>
      </c>
      <c r="Z86" s="891" t="s">
        <v>1137</v>
      </c>
    </row>
    <row r="87" spans="1:26" ht="31.5" customHeight="1">
      <c r="A87" s="873"/>
      <c r="B87" s="841" t="s">
        <v>646</v>
      </c>
      <c r="C87" s="826"/>
      <c r="D87" s="826"/>
      <c r="E87" s="826"/>
      <c r="F87" s="826"/>
      <c r="G87" s="826"/>
      <c r="H87" s="826"/>
      <c r="I87" s="826"/>
      <c r="J87" s="826"/>
      <c r="K87" s="826"/>
      <c r="L87" s="826"/>
      <c r="M87" s="826"/>
      <c r="N87" s="826"/>
      <c r="O87" s="826"/>
      <c r="P87" s="826"/>
      <c r="Q87" s="826"/>
      <c r="R87" s="826"/>
      <c r="S87" s="58" t="s">
        <v>489</v>
      </c>
      <c r="T87" s="58" t="s">
        <v>489</v>
      </c>
      <c r="U87" s="58" t="s">
        <v>489</v>
      </c>
      <c r="V87" s="659" t="s">
        <v>489</v>
      </c>
      <c r="W87" s="58"/>
      <c r="X87" s="58"/>
      <c r="Y87" s="873"/>
      <c r="Z87" s="892"/>
    </row>
    <row r="88" spans="1:26" ht="34.5" customHeight="1">
      <c r="A88" s="873"/>
      <c r="B88" s="840" t="s">
        <v>1142</v>
      </c>
      <c r="C88" s="659">
        <v>176</v>
      </c>
      <c r="D88" s="102" t="s">
        <v>487</v>
      </c>
      <c r="E88" s="102" t="s">
        <v>488</v>
      </c>
      <c r="F88" s="659" t="s">
        <v>1138</v>
      </c>
      <c r="G88" s="659">
        <v>244</v>
      </c>
      <c r="H88" s="826"/>
      <c r="I88" s="826"/>
      <c r="J88" s="826"/>
      <c r="K88" s="826"/>
      <c r="L88" s="826"/>
      <c r="M88" s="826"/>
      <c r="N88" s="826"/>
      <c r="O88" s="826"/>
      <c r="P88" s="826"/>
      <c r="Q88" s="826"/>
      <c r="R88" s="58">
        <f>R90</f>
        <v>310000</v>
      </c>
      <c r="S88" s="58">
        <f t="shared" ref="S88:X88" si="7">S90</f>
        <v>0</v>
      </c>
      <c r="T88" s="58">
        <f t="shared" si="7"/>
        <v>0</v>
      </c>
      <c r="U88" s="58">
        <f t="shared" si="7"/>
        <v>0</v>
      </c>
      <c r="V88" s="58">
        <f t="shared" si="7"/>
        <v>310000</v>
      </c>
      <c r="W88" s="58">
        <f t="shared" si="7"/>
        <v>310000</v>
      </c>
      <c r="X88" s="58">
        <f t="shared" si="7"/>
        <v>310000</v>
      </c>
      <c r="Y88" s="873"/>
      <c r="Z88" s="892"/>
    </row>
    <row r="89" spans="1:26" ht="27" customHeight="1">
      <c r="A89" s="873"/>
      <c r="B89" s="826" t="s">
        <v>10</v>
      </c>
      <c r="C89" s="659"/>
      <c r="D89" s="102"/>
      <c r="E89" s="102"/>
      <c r="F89" s="659"/>
      <c r="G89" s="659"/>
      <c r="H89" s="826"/>
      <c r="I89" s="826"/>
      <c r="J89" s="826"/>
      <c r="K89" s="826"/>
      <c r="L89" s="826"/>
      <c r="M89" s="826"/>
      <c r="N89" s="826"/>
      <c r="O89" s="826"/>
      <c r="P89" s="826"/>
      <c r="Q89" s="826"/>
      <c r="R89" s="58"/>
      <c r="S89" s="58"/>
      <c r="T89" s="58"/>
      <c r="U89" s="58"/>
      <c r="V89" s="58"/>
      <c r="W89" s="58"/>
      <c r="X89" s="58"/>
      <c r="Y89" s="873"/>
      <c r="Z89" s="892"/>
    </row>
    <row r="90" spans="1:26" ht="26.25" customHeight="1">
      <c r="A90" s="873"/>
      <c r="B90" s="826" t="s">
        <v>436</v>
      </c>
      <c r="C90" s="659">
        <v>176</v>
      </c>
      <c r="D90" s="102" t="s">
        <v>487</v>
      </c>
      <c r="E90" s="102" t="s">
        <v>488</v>
      </c>
      <c r="F90" s="659" t="s">
        <v>1138</v>
      </c>
      <c r="G90" s="659">
        <v>244</v>
      </c>
      <c r="H90" s="659"/>
      <c r="I90" s="659"/>
      <c r="J90" s="659"/>
      <c r="K90" s="659"/>
      <c r="L90" s="659"/>
      <c r="M90" s="659"/>
      <c r="N90" s="659"/>
      <c r="O90" s="659"/>
      <c r="P90" s="659"/>
      <c r="Q90" s="659"/>
      <c r="R90" s="58">
        <f>R98+R106+R114</f>
        <v>310000</v>
      </c>
      <c r="S90" s="58">
        <f t="shared" ref="S90:X90" si="8">S98+S106+S114</f>
        <v>0</v>
      </c>
      <c r="T90" s="58">
        <f t="shared" si="8"/>
        <v>0</v>
      </c>
      <c r="U90" s="58">
        <f t="shared" si="8"/>
        <v>0</v>
      </c>
      <c r="V90" s="58">
        <f t="shared" si="8"/>
        <v>310000</v>
      </c>
      <c r="W90" s="58">
        <f t="shared" si="8"/>
        <v>310000</v>
      </c>
      <c r="X90" s="58">
        <f t="shared" si="8"/>
        <v>310000</v>
      </c>
      <c r="Y90" s="873"/>
      <c r="Z90" s="892"/>
    </row>
    <row r="91" spans="1:26" ht="24" customHeight="1">
      <c r="A91" s="873"/>
      <c r="B91" s="826" t="s">
        <v>651</v>
      </c>
      <c r="C91" s="659"/>
      <c r="D91" s="659"/>
      <c r="E91" s="659"/>
      <c r="F91" s="659"/>
      <c r="G91" s="659"/>
      <c r="H91" s="659"/>
      <c r="I91" s="659"/>
      <c r="J91" s="659"/>
      <c r="K91" s="659"/>
      <c r="L91" s="659"/>
      <c r="M91" s="659"/>
      <c r="N91" s="659"/>
      <c r="O91" s="659"/>
      <c r="P91" s="659"/>
      <c r="Q91" s="659"/>
      <c r="R91" s="58"/>
      <c r="S91" s="58"/>
      <c r="T91" s="58"/>
      <c r="U91" s="58"/>
      <c r="V91" s="58"/>
      <c r="W91" s="58"/>
      <c r="X91" s="58"/>
      <c r="Y91" s="873"/>
      <c r="Z91" s="892"/>
    </row>
    <row r="92" spans="1:26" ht="25.5">
      <c r="A92" s="873"/>
      <c r="B92" s="826" t="s">
        <v>447</v>
      </c>
      <c r="C92" s="659"/>
      <c r="D92" s="659"/>
      <c r="E92" s="659"/>
      <c r="F92" s="659"/>
      <c r="G92" s="659"/>
      <c r="H92" s="659"/>
      <c r="I92" s="659"/>
      <c r="J92" s="659"/>
      <c r="K92" s="659"/>
      <c r="L92" s="659"/>
      <c r="M92" s="659"/>
      <c r="N92" s="659"/>
      <c r="O92" s="659"/>
      <c r="P92" s="659"/>
      <c r="Q92" s="659"/>
      <c r="R92" s="58"/>
      <c r="S92" s="58"/>
      <c r="T92" s="58"/>
      <c r="U92" s="58"/>
      <c r="V92" s="58"/>
      <c r="W92" s="58"/>
      <c r="X92" s="58"/>
      <c r="Y92" s="873"/>
      <c r="Z92" s="892"/>
    </row>
    <row r="93" spans="1:26">
      <c r="A93" s="874"/>
      <c r="B93" s="826" t="s">
        <v>1010</v>
      </c>
      <c r="C93" s="659"/>
      <c r="D93" s="659"/>
      <c r="E93" s="659"/>
      <c r="F93" s="659"/>
      <c r="G93" s="659"/>
      <c r="H93" s="659"/>
      <c r="I93" s="659"/>
      <c r="J93" s="659"/>
      <c r="K93" s="659"/>
      <c r="L93" s="659"/>
      <c r="M93" s="659"/>
      <c r="N93" s="659"/>
      <c r="O93" s="659"/>
      <c r="P93" s="659"/>
      <c r="Q93" s="659"/>
      <c r="R93" s="58"/>
      <c r="S93" s="58"/>
      <c r="T93" s="58"/>
      <c r="U93" s="58"/>
      <c r="V93" s="58"/>
      <c r="W93" s="58"/>
      <c r="X93" s="58"/>
      <c r="Y93" s="874"/>
      <c r="Z93" s="893"/>
    </row>
    <row r="94" spans="1:26" ht="24.75" customHeight="1">
      <c r="A94" s="890" t="s">
        <v>789</v>
      </c>
      <c r="B94" s="826" t="s">
        <v>782</v>
      </c>
      <c r="C94" s="659"/>
      <c r="D94" s="659"/>
      <c r="E94" s="659"/>
      <c r="F94" s="659"/>
      <c r="G94" s="659"/>
      <c r="H94" s="659"/>
      <c r="I94" s="659"/>
      <c r="J94" s="659"/>
      <c r="K94" s="659"/>
      <c r="L94" s="659"/>
      <c r="M94" s="659"/>
      <c r="N94" s="659"/>
      <c r="O94" s="659"/>
      <c r="P94" s="659"/>
      <c r="Q94" s="659"/>
      <c r="R94" s="58">
        <f>V94</f>
        <v>15</v>
      </c>
      <c r="S94" s="58"/>
      <c r="T94" s="58"/>
      <c r="U94" s="58"/>
      <c r="V94" s="58">
        <v>15</v>
      </c>
      <c r="W94" s="58">
        <v>20</v>
      </c>
      <c r="X94" s="58">
        <v>20</v>
      </c>
      <c r="Y94" s="872" t="s">
        <v>26</v>
      </c>
      <c r="Z94" s="891" t="s">
        <v>1008</v>
      </c>
    </row>
    <row r="95" spans="1:26" ht="27.75" customHeight="1">
      <c r="A95" s="890"/>
      <c r="B95" s="826" t="s">
        <v>646</v>
      </c>
      <c r="C95" s="659"/>
      <c r="D95" s="659"/>
      <c r="E95" s="659"/>
      <c r="F95" s="659"/>
      <c r="G95" s="659"/>
      <c r="H95" s="659"/>
      <c r="I95" s="659"/>
      <c r="J95" s="659"/>
      <c r="K95" s="659"/>
      <c r="L95" s="659"/>
      <c r="M95" s="659"/>
      <c r="N95" s="659"/>
      <c r="O95" s="659"/>
      <c r="P95" s="659"/>
      <c r="Q95" s="659"/>
      <c r="R95" s="58"/>
      <c r="S95" s="58" t="s">
        <v>489</v>
      </c>
      <c r="T95" s="58" t="s">
        <v>489</v>
      </c>
      <c r="U95" s="58" t="s">
        <v>489</v>
      </c>
      <c r="V95" s="58" t="s">
        <v>489</v>
      </c>
      <c r="W95" s="58"/>
      <c r="X95" s="58"/>
      <c r="Y95" s="873"/>
      <c r="Z95" s="892"/>
    </row>
    <row r="96" spans="1:26" ht="31.5" customHeight="1">
      <c r="A96" s="890"/>
      <c r="B96" s="840" t="s">
        <v>1142</v>
      </c>
      <c r="C96" s="659"/>
      <c r="D96" s="659"/>
      <c r="E96" s="659"/>
      <c r="F96" s="659"/>
      <c r="G96" s="659"/>
      <c r="H96" s="659"/>
      <c r="I96" s="659"/>
      <c r="J96" s="659"/>
      <c r="K96" s="659"/>
      <c r="L96" s="659"/>
      <c r="M96" s="659"/>
      <c r="N96" s="659"/>
      <c r="O96" s="659"/>
      <c r="P96" s="659"/>
      <c r="Q96" s="659"/>
      <c r="R96" s="58"/>
      <c r="S96" s="58"/>
      <c r="T96" s="58"/>
      <c r="U96" s="58"/>
      <c r="V96" s="58"/>
      <c r="W96" s="58"/>
      <c r="X96" s="58"/>
      <c r="Y96" s="873"/>
      <c r="Z96" s="892"/>
    </row>
    <row r="97" spans="1:26">
      <c r="A97" s="890"/>
      <c r="B97" s="826" t="s">
        <v>10</v>
      </c>
      <c r="C97" s="659"/>
      <c r="D97" s="659"/>
      <c r="E97" s="659"/>
      <c r="F97" s="659"/>
      <c r="G97" s="659"/>
      <c r="H97" s="659"/>
      <c r="I97" s="659"/>
      <c r="J97" s="659"/>
      <c r="K97" s="659"/>
      <c r="L97" s="659"/>
      <c r="M97" s="659"/>
      <c r="N97" s="659"/>
      <c r="O97" s="659"/>
      <c r="P97" s="659"/>
      <c r="Q97" s="659"/>
      <c r="R97" s="58"/>
      <c r="S97" s="58"/>
      <c r="T97" s="58"/>
      <c r="U97" s="58"/>
      <c r="V97" s="58"/>
      <c r="W97" s="58"/>
      <c r="X97" s="58"/>
      <c r="Y97" s="873"/>
      <c r="Z97" s="892"/>
    </row>
    <row r="98" spans="1:26">
      <c r="A98" s="890"/>
      <c r="B98" s="826" t="s">
        <v>436</v>
      </c>
      <c r="C98" s="659"/>
      <c r="D98" s="659"/>
      <c r="E98" s="659"/>
      <c r="F98" s="659"/>
      <c r="G98" s="659"/>
      <c r="H98" s="659"/>
      <c r="I98" s="659"/>
      <c r="J98" s="659"/>
      <c r="K98" s="659"/>
      <c r="L98" s="659"/>
      <c r="M98" s="659"/>
      <c r="N98" s="659"/>
      <c r="O98" s="659"/>
      <c r="P98" s="659"/>
      <c r="Q98" s="659"/>
      <c r="R98" s="58"/>
      <c r="S98" s="58"/>
      <c r="T98" s="58"/>
      <c r="U98" s="58"/>
      <c r="V98" s="58"/>
      <c r="W98" s="58"/>
      <c r="X98" s="58"/>
      <c r="Y98" s="873"/>
      <c r="Z98" s="892"/>
    </row>
    <row r="99" spans="1:26">
      <c r="A99" s="890"/>
      <c r="B99" s="826" t="s">
        <v>651</v>
      </c>
      <c r="C99" s="659"/>
      <c r="D99" s="659"/>
      <c r="E99" s="659"/>
      <c r="F99" s="659"/>
      <c r="G99" s="659"/>
      <c r="H99" s="659"/>
      <c r="I99" s="659"/>
      <c r="J99" s="659"/>
      <c r="K99" s="659"/>
      <c r="L99" s="659"/>
      <c r="M99" s="659"/>
      <c r="N99" s="659"/>
      <c r="O99" s="659"/>
      <c r="P99" s="659"/>
      <c r="Q99" s="659"/>
      <c r="R99" s="58"/>
      <c r="S99" s="58"/>
      <c r="T99" s="58"/>
      <c r="U99" s="58"/>
      <c r="V99" s="58"/>
      <c r="W99" s="58"/>
      <c r="X99" s="58"/>
      <c r="Y99" s="873"/>
      <c r="Z99" s="892"/>
    </row>
    <row r="100" spans="1:26" ht="25.5">
      <c r="A100" s="890"/>
      <c r="B100" s="826" t="s">
        <v>447</v>
      </c>
      <c r="C100" s="659"/>
      <c r="D100" s="659"/>
      <c r="E100" s="659"/>
      <c r="F100" s="659"/>
      <c r="G100" s="659"/>
      <c r="H100" s="659"/>
      <c r="I100" s="659"/>
      <c r="J100" s="659"/>
      <c r="K100" s="659"/>
      <c r="L100" s="659"/>
      <c r="M100" s="659"/>
      <c r="N100" s="659"/>
      <c r="O100" s="659"/>
      <c r="P100" s="659"/>
      <c r="Q100" s="659"/>
      <c r="R100" s="58"/>
      <c r="S100" s="58"/>
      <c r="T100" s="58"/>
      <c r="U100" s="58"/>
      <c r="V100" s="58"/>
      <c r="W100" s="58"/>
      <c r="X100" s="58"/>
      <c r="Y100" s="873"/>
      <c r="Z100" s="892"/>
    </row>
    <row r="101" spans="1:26">
      <c r="A101" s="890"/>
      <c r="B101" s="826" t="s">
        <v>1010</v>
      </c>
      <c r="C101" s="659"/>
      <c r="D101" s="659"/>
      <c r="E101" s="659"/>
      <c r="F101" s="659"/>
      <c r="G101" s="659"/>
      <c r="H101" s="659"/>
      <c r="I101" s="659"/>
      <c r="J101" s="659"/>
      <c r="K101" s="659"/>
      <c r="L101" s="659"/>
      <c r="M101" s="659"/>
      <c r="N101" s="659"/>
      <c r="O101" s="659"/>
      <c r="P101" s="659"/>
      <c r="Q101" s="659"/>
      <c r="R101" s="58"/>
      <c r="S101" s="58"/>
      <c r="T101" s="58"/>
      <c r="U101" s="58"/>
      <c r="V101" s="58"/>
      <c r="W101" s="58"/>
      <c r="X101" s="58"/>
      <c r="Y101" s="874"/>
      <c r="Z101" s="893"/>
    </row>
    <row r="102" spans="1:26" ht="31.5" customHeight="1">
      <c r="A102" s="890" t="s">
        <v>790</v>
      </c>
      <c r="B102" s="837" t="s">
        <v>782</v>
      </c>
      <c r="C102" s="659"/>
      <c r="D102" s="659"/>
      <c r="E102" s="659"/>
      <c r="F102" s="659"/>
      <c r="G102" s="659"/>
      <c r="H102" s="659"/>
      <c r="I102" s="659"/>
      <c r="J102" s="659"/>
      <c r="K102" s="659"/>
      <c r="L102" s="659"/>
      <c r="M102" s="659"/>
      <c r="N102" s="659"/>
      <c r="O102" s="659"/>
      <c r="P102" s="659"/>
      <c r="Q102" s="659"/>
      <c r="R102" s="58">
        <f>V102</f>
        <v>9</v>
      </c>
      <c r="S102" s="58"/>
      <c r="T102" s="58"/>
      <c r="U102" s="58"/>
      <c r="V102" s="58">
        <v>9</v>
      </c>
      <c r="W102" s="58">
        <v>26</v>
      </c>
      <c r="X102" s="58">
        <v>24</v>
      </c>
      <c r="Y102" s="872" t="s">
        <v>26</v>
      </c>
      <c r="Z102" s="891" t="s">
        <v>1009</v>
      </c>
    </row>
    <row r="103" spans="1:26" ht="25.5">
      <c r="A103" s="890"/>
      <c r="B103" s="837" t="s">
        <v>646</v>
      </c>
      <c r="C103" s="659"/>
      <c r="D103" s="659"/>
      <c r="E103" s="659"/>
      <c r="F103" s="659"/>
      <c r="G103" s="659"/>
      <c r="H103" s="659"/>
      <c r="I103" s="659"/>
      <c r="J103" s="659"/>
      <c r="K103" s="659"/>
      <c r="L103" s="659"/>
      <c r="M103" s="659"/>
      <c r="N103" s="659"/>
      <c r="O103" s="659"/>
      <c r="P103" s="659"/>
      <c r="Q103" s="659"/>
      <c r="R103" s="58"/>
      <c r="S103" s="58" t="s">
        <v>489</v>
      </c>
      <c r="T103" s="58" t="s">
        <v>489</v>
      </c>
      <c r="U103" s="58" t="s">
        <v>489</v>
      </c>
      <c r="V103" s="58" t="s">
        <v>489</v>
      </c>
      <c r="W103" s="58"/>
      <c r="X103" s="58"/>
      <c r="Y103" s="873"/>
      <c r="Z103" s="892"/>
    </row>
    <row r="104" spans="1:26" ht="30.75" customHeight="1">
      <c r="A104" s="890"/>
      <c r="B104" s="840" t="s">
        <v>1142</v>
      </c>
      <c r="C104" s="659"/>
      <c r="D104" s="659"/>
      <c r="E104" s="659"/>
      <c r="F104" s="659"/>
      <c r="G104" s="659"/>
      <c r="H104" s="659"/>
      <c r="I104" s="659"/>
      <c r="J104" s="659"/>
      <c r="K104" s="659"/>
      <c r="L104" s="659"/>
      <c r="M104" s="659"/>
      <c r="N104" s="659"/>
      <c r="O104" s="659"/>
      <c r="P104" s="659"/>
      <c r="Q104" s="659"/>
      <c r="R104" s="58"/>
      <c r="S104" s="58"/>
      <c r="T104" s="58"/>
      <c r="U104" s="58"/>
      <c r="V104" s="58"/>
      <c r="W104" s="58"/>
      <c r="X104" s="58"/>
      <c r="Y104" s="873"/>
      <c r="Z104" s="892"/>
    </row>
    <row r="105" spans="1:26">
      <c r="A105" s="890"/>
      <c r="B105" s="837" t="s">
        <v>10</v>
      </c>
      <c r="C105" s="659"/>
      <c r="D105" s="659"/>
      <c r="E105" s="659"/>
      <c r="F105" s="659"/>
      <c r="G105" s="659"/>
      <c r="H105" s="659"/>
      <c r="I105" s="659"/>
      <c r="J105" s="659"/>
      <c r="K105" s="659"/>
      <c r="L105" s="659"/>
      <c r="M105" s="659"/>
      <c r="N105" s="659"/>
      <c r="O105" s="659"/>
      <c r="P105" s="659"/>
      <c r="Q105" s="659"/>
      <c r="R105" s="58"/>
      <c r="S105" s="58"/>
      <c r="T105" s="58"/>
      <c r="U105" s="58"/>
      <c r="V105" s="58"/>
      <c r="W105" s="58"/>
      <c r="X105" s="58"/>
      <c r="Y105" s="873"/>
      <c r="Z105" s="892"/>
    </row>
    <row r="106" spans="1:26" ht="18.75" customHeight="1">
      <c r="A106" s="890"/>
      <c r="B106" s="837" t="s">
        <v>436</v>
      </c>
      <c r="C106" s="659"/>
      <c r="D106" s="659"/>
      <c r="E106" s="659"/>
      <c r="F106" s="659"/>
      <c r="G106" s="659"/>
      <c r="H106" s="659"/>
      <c r="I106" s="659"/>
      <c r="J106" s="659"/>
      <c r="K106" s="659"/>
      <c r="L106" s="659"/>
      <c r="M106" s="659"/>
      <c r="N106" s="659"/>
      <c r="O106" s="659"/>
      <c r="P106" s="659"/>
      <c r="Q106" s="659"/>
      <c r="R106" s="58"/>
      <c r="S106" s="58"/>
      <c r="T106" s="58"/>
      <c r="U106" s="58"/>
      <c r="V106" s="58"/>
      <c r="W106" s="58"/>
      <c r="X106" s="58"/>
      <c r="Y106" s="873"/>
      <c r="Z106" s="892"/>
    </row>
    <row r="107" spans="1:26" ht="18" customHeight="1">
      <c r="A107" s="890"/>
      <c r="B107" s="837" t="s">
        <v>651</v>
      </c>
      <c r="C107" s="659"/>
      <c r="D107" s="659"/>
      <c r="E107" s="659"/>
      <c r="F107" s="659"/>
      <c r="G107" s="659"/>
      <c r="H107" s="659"/>
      <c r="I107" s="659"/>
      <c r="J107" s="659"/>
      <c r="K107" s="659"/>
      <c r="L107" s="659"/>
      <c r="M107" s="659"/>
      <c r="N107" s="659"/>
      <c r="O107" s="659"/>
      <c r="P107" s="659"/>
      <c r="Q107" s="659"/>
      <c r="R107" s="58"/>
      <c r="S107" s="58"/>
      <c r="T107" s="58"/>
      <c r="U107" s="58"/>
      <c r="V107" s="58"/>
      <c r="W107" s="58"/>
      <c r="X107" s="58"/>
      <c r="Y107" s="873"/>
      <c r="Z107" s="892"/>
    </row>
    <row r="108" spans="1:26" ht="25.5">
      <c r="A108" s="890"/>
      <c r="B108" s="837" t="s">
        <v>447</v>
      </c>
      <c r="C108" s="659"/>
      <c r="D108" s="659"/>
      <c r="E108" s="659"/>
      <c r="F108" s="659"/>
      <c r="G108" s="659"/>
      <c r="H108" s="659"/>
      <c r="I108" s="659"/>
      <c r="J108" s="659"/>
      <c r="K108" s="659"/>
      <c r="L108" s="659"/>
      <c r="M108" s="659"/>
      <c r="N108" s="659"/>
      <c r="O108" s="659"/>
      <c r="P108" s="659"/>
      <c r="Q108" s="659"/>
      <c r="R108" s="58"/>
      <c r="S108" s="58"/>
      <c r="T108" s="58"/>
      <c r="U108" s="58"/>
      <c r="V108" s="58"/>
      <c r="W108" s="58"/>
      <c r="X108" s="58"/>
      <c r="Y108" s="873"/>
      <c r="Z108" s="892"/>
    </row>
    <row r="109" spans="1:26">
      <c r="A109" s="890"/>
      <c r="B109" s="837" t="s">
        <v>1010</v>
      </c>
      <c r="C109" s="659"/>
      <c r="D109" s="659"/>
      <c r="E109" s="659"/>
      <c r="F109" s="659"/>
      <c r="G109" s="659"/>
      <c r="H109" s="659"/>
      <c r="I109" s="659"/>
      <c r="J109" s="659"/>
      <c r="K109" s="659"/>
      <c r="L109" s="659"/>
      <c r="M109" s="659"/>
      <c r="N109" s="659"/>
      <c r="O109" s="659"/>
      <c r="P109" s="659"/>
      <c r="Q109" s="659"/>
      <c r="R109" s="58"/>
      <c r="S109" s="58"/>
      <c r="T109" s="58"/>
      <c r="U109" s="58"/>
      <c r="V109" s="58"/>
      <c r="W109" s="58"/>
      <c r="X109" s="58"/>
      <c r="Y109" s="874"/>
      <c r="Z109" s="893"/>
    </row>
    <row r="110" spans="1:26" ht="38.25" customHeight="1">
      <c r="A110" s="890" t="s">
        <v>1135</v>
      </c>
      <c r="B110" s="837" t="s">
        <v>546</v>
      </c>
      <c r="C110" s="659"/>
      <c r="D110" s="659"/>
      <c r="E110" s="659"/>
      <c r="F110" s="659"/>
      <c r="G110" s="659"/>
      <c r="H110" s="659"/>
      <c r="I110" s="659"/>
      <c r="J110" s="659"/>
      <c r="K110" s="659"/>
      <c r="L110" s="659"/>
      <c r="M110" s="659"/>
      <c r="N110" s="659"/>
      <c r="O110" s="659"/>
      <c r="P110" s="659"/>
      <c r="Q110" s="659"/>
      <c r="R110" s="58">
        <v>1</v>
      </c>
      <c r="S110" s="58"/>
      <c r="T110" s="58"/>
      <c r="U110" s="58"/>
      <c r="V110" s="58">
        <v>1</v>
      </c>
      <c r="W110" s="58">
        <v>5</v>
      </c>
      <c r="X110" s="58">
        <v>10</v>
      </c>
      <c r="Y110" s="872" t="s">
        <v>26</v>
      </c>
      <c r="Z110" s="891" t="s">
        <v>1136</v>
      </c>
    </row>
    <row r="111" spans="1:26" ht="25.5">
      <c r="A111" s="890"/>
      <c r="B111" s="826" t="s">
        <v>646</v>
      </c>
      <c r="C111" s="659"/>
      <c r="D111" s="659"/>
      <c r="E111" s="659"/>
      <c r="F111" s="659"/>
      <c r="G111" s="659"/>
      <c r="H111" s="659"/>
      <c r="I111" s="659"/>
      <c r="J111" s="659"/>
      <c r="K111" s="659"/>
      <c r="L111" s="659"/>
      <c r="M111" s="659"/>
      <c r="N111" s="659"/>
      <c r="O111" s="659"/>
      <c r="P111" s="659"/>
      <c r="Q111" s="659"/>
      <c r="R111" s="58">
        <f>R112/R110</f>
        <v>310000</v>
      </c>
      <c r="S111" s="58" t="s">
        <v>489</v>
      </c>
      <c r="T111" s="58" t="s">
        <v>489</v>
      </c>
      <c r="U111" s="58" t="s">
        <v>489</v>
      </c>
      <c r="V111" s="58" t="s">
        <v>489</v>
      </c>
      <c r="W111" s="58">
        <f>W112/W110</f>
        <v>62000</v>
      </c>
      <c r="X111" s="58">
        <f>X112/X110</f>
        <v>31000</v>
      </c>
      <c r="Y111" s="873"/>
      <c r="Z111" s="892"/>
    </row>
    <row r="112" spans="1:26" ht="26.25" customHeight="1">
      <c r="A112" s="890"/>
      <c r="B112" s="840" t="s">
        <v>1142</v>
      </c>
      <c r="C112" s="659">
        <v>176</v>
      </c>
      <c r="D112" s="659" t="s">
        <v>487</v>
      </c>
      <c r="E112" s="659" t="s">
        <v>488</v>
      </c>
      <c r="F112" s="659" t="s">
        <v>1138</v>
      </c>
      <c r="G112" s="659">
        <v>244</v>
      </c>
      <c r="H112" s="659"/>
      <c r="I112" s="659"/>
      <c r="J112" s="659"/>
      <c r="K112" s="659"/>
      <c r="L112" s="659"/>
      <c r="M112" s="659"/>
      <c r="N112" s="659"/>
      <c r="O112" s="659"/>
      <c r="P112" s="659"/>
      <c r="Q112" s="659"/>
      <c r="R112" s="58">
        <f>R114</f>
        <v>310000</v>
      </c>
      <c r="S112" s="58">
        <f t="shared" ref="S112:X112" si="9">S114</f>
        <v>0</v>
      </c>
      <c r="T112" s="58">
        <f t="shared" si="9"/>
        <v>0</v>
      </c>
      <c r="U112" s="58">
        <f t="shared" si="9"/>
        <v>0</v>
      </c>
      <c r="V112" s="58">
        <f t="shared" si="9"/>
        <v>310000</v>
      </c>
      <c r="W112" s="58">
        <f t="shared" si="9"/>
        <v>310000</v>
      </c>
      <c r="X112" s="58">
        <f t="shared" si="9"/>
        <v>310000</v>
      </c>
      <c r="Y112" s="873"/>
      <c r="Z112" s="892"/>
    </row>
    <row r="113" spans="1:26" ht="24.75" customHeight="1">
      <c r="A113" s="890"/>
      <c r="B113" s="826" t="s">
        <v>10</v>
      </c>
      <c r="C113" s="659"/>
      <c r="D113" s="659"/>
      <c r="E113" s="659"/>
      <c r="F113" s="659"/>
      <c r="G113" s="659"/>
      <c r="H113" s="659"/>
      <c r="I113" s="659"/>
      <c r="J113" s="659"/>
      <c r="K113" s="659"/>
      <c r="L113" s="659"/>
      <c r="M113" s="659"/>
      <c r="N113" s="659"/>
      <c r="O113" s="659"/>
      <c r="P113" s="659"/>
      <c r="Q113" s="659"/>
      <c r="R113" s="58"/>
      <c r="S113" s="58"/>
      <c r="T113" s="58"/>
      <c r="U113" s="58"/>
      <c r="V113" s="58"/>
      <c r="W113" s="58"/>
      <c r="X113" s="58"/>
      <c r="Y113" s="873"/>
      <c r="Z113" s="892"/>
    </row>
    <row r="114" spans="1:26" ht="24" customHeight="1">
      <c r="A114" s="890"/>
      <c r="B114" s="826" t="s">
        <v>436</v>
      </c>
      <c r="C114" s="659">
        <v>176</v>
      </c>
      <c r="D114" s="659" t="s">
        <v>487</v>
      </c>
      <c r="E114" s="659" t="s">
        <v>488</v>
      </c>
      <c r="F114" s="659" t="s">
        <v>1138</v>
      </c>
      <c r="G114" s="659">
        <v>244</v>
      </c>
      <c r="H114" s="659"/>
      <c r="I114" s="659"/>
      <c r="J114" s="659"/>
      <c r="K114" s="659"/>
      <c r="L114" s="659"/>
      <c r="M114" s="659"/>
      <c r="N114" s="659"/>
      <c r="O114" s="659"/>
      <c r="P114" s="659"/>
      <c r="Q114" s="659"/>
      <c r="R114" s="58">
        <f>V114</f>
        <v>310000</v>
      </c>
      <c r="S114" s="58"/>
      <c r="T114" s="58"/>
      <c r="U114" s="58"/>
      <c r="V114" s="58">
        <v>310000</v>
      </c>
      <c r="W114" s="58">
        <v>310000</v>
      </c>
      <c r="X114" s="58">
        <v>310000</v>
      </c>
      <c r="Y114" s="873"/>
      <c r="Z114" s="892"/>
    </row>
    <row r="115" spans="1:26" ht="20.25" customHeight="1">
      <c r="A115" s="890"/>
      <c r="B115" s="826" t="s">
        <v>651</v>
      </c>
      <c r="C115" s="659"/>
      <c r="D115" s="659"/>
      <c r="E115" s="659"/>
      <c r="F115" s="659"/>
      <c r="G115" s="659"/>
      <c r="H115" s="659"/>
      <c r="I115" s="659"/>
      <c r="J115" s="659"/>
      <c r="K115" s="659"/>
      <c r="L115" s="659"/>
      <c r="M115" s="659"/>
      <c r="N115" s="659"/>
      <c r="O115" s="659"/>
      <c r="P115" s="659"/>
      <c r="Q115" s="659"/>
      <c r="R115" s="58"/>
      <c r="S115" s="58"/>
      <c r="T115" s="58"/>
      <c r="U115" s="58"/>
      <c r="V115" s="58"/>
      <c r="W115" s="58"/>
      <c r="X115" s="58"/>
      <c r="Y115" s="873"/>
      <c r="Z115" s="892"/>
    </row>
    <row r="116" spans="1:26" ht="25.5">
      <c r="A116" s="890"/>
      <c r="B116" s="826" t="s">
        <v>447</v>
      </c>
      <c r="C116" s="659"/>
      <c r="D116" s="659"/>
      <c r="E116" s="659"/>
      <c r="F116" s="659"/>
      <c r="G116" s="659"/>
      <c r="H116" s="659"/>
      <c r="I116" s="659"/>
      <c r="J116" s="659"/>
      <c r="K116" s="659"/>
      <c r="L116" s="659"/>
      <c r="M116" s="659"/>
      <c r="N116" s="659"/>
      <c r="O116" s="659"/>
      <c r="P116" s="659"/>
      <c r="Q116" s="659"/>
      <c r="R116" s="58"/>
      <c r="S116" s="58"/>
      <c r="T116" s="58"/>
      <c r="U116" s="58"/>
      <c r="V116" s="58"/>
      <c r="W116" s="58"/>
      <c r="X116" s="58"/>
      <c r="Y116" s="873"/>
      <c r="Z116" s="892"/>
    </row>
    <row r="117" spans="1:26">
      <c r="A117" s="890"/>
      <c r="B117" s="826" t="s">
        <v>1010</v>
      </c>
      <c r="C117" s="659"/>
      <c r="D117" s="659"/>
      <c r="E117" s="659"/>
      <c r="F117" s="659"/>
      <c r="G117" s="659"/>
      <c r="H117" s="659"/>
      <c r="I117" s="659"/>
      <c r="J117" s="659"/>
      <c r="K117" s="659"/>
      <c r="L117" s="659"/>
      <c r="M117" s="659"/>
      <c r="N117" s="659"/>
      <c r="O117" s="659"/>
      <c r="P117" s="659"/>
      <c r="Q117" s="659"/>
      <c r="R117" s="58"/>
      <c r="S117" s="58"/>
      <c r="T117" s="58"/>
      <c r="U117" s="58"/>
      <c r="V117" s="58"/>
      <c r="W117" s="58"/>
      <c r="X117" s="58"/>
      <c r="Y117" s="874"/>
      <c r="Z117" s="893"/>
    </row>
    <row r="118" spans="1:26" ht="23.25" customHeight="1">
      <c r="A118" s="875" t="s">
        <v>193</v>
      </c>
      <c r="B118" s="876"/>
      <c r="C118" s="876"/>
      <c r="D118" s="876"/>
      <c r="E118" s="876"/>
      <c r="F118" s="876"/>
      <c r="G118" s="876"/>
      <c r="H118" s="876"/>
      <c r="I118" s="876"/>
      <c r="J118" s="876"/>
      <c r="K118" s="876"/>
      <c r="L118" s="876"/>
      <c r="M118" s="876"/>
      <c r="N118" s="876"/>
      <c r="O118" s="876"/>
      <c r="P118" s="876"/>
      <c r="Q118" s="876"/>
      <c r="R118" s="876"/>
      <c r="S118" s="876"/>
      <c r="T118" s="876"/>
      <c r="U118" s="876"/>
      <c r="V118" s="876"/>
      <c r="W118" s="876"/>
      <c r="X118" s="876"/>
      <c r="Y118" s="876"/>
      <c r="Z118" s="877"/>
    </row>
    <row r="119" spans="1:26" ht="26.45" customHeight="1">
      <c r="A119" s="872" t="s">
        <v>802</v>
      </c>
      <c r="B119" s="826" t="s">
        <v>174</v>
      </c>
      <c r="C119" s="659"/>
      <c r="D119" s="659"/>
      <c r="E119" s="659"/>
      <c r="F119" s="659"/>
      <c r="G119" s="659"/>
      <c r="H119" s="27" t="e">
        <f>L119</f>
        <v>#REF!</v>
      </c>
      <c r="I119" s="659"/>
      <c r="J119" s="659"/>
      <c r="K119" s="659"/>
      <c r="L119" s="27" t="e">
        <f>#REF!</f>
        <v>#REF!</v>
      </c>
      <c r="M119" s="58" t="e">
        <f>'Подробный перечень(БКАД)'!#REF!</f>
        <v>#REF!</v>
      </c>
      <c r="N119" s="58"/>
      <c r="O119" s="58"/>
      <c r="P119" s="58"/>
      <c r="Q119" s="58"/>
      <c r="R119" s="831">
        <f>'Подробный перечень (ОБ)'!$G$10</f>
        <v>16.586000000000002</v>
      </c>
      <c r="S119" s="831"/>
      <c r="T119" s="831"/>
      <c r="U119" s="831"/>
      <c r="V119" s="831">
        <f>'Подробный перечень (ОБ)'!$K$10</f>
        <v>16.586000000000002</v>
      </c>
      <c r="W119" s="58">
        <f>'Подробный перечень (ОБ)'!$L$10</f>
        <v>16.024896008779283</v>
      </c>
      <c r="X119" s="58">
        <f>'Подробный перечень (ОБ)'!$M$10</f>
        <v>16</v>
      </c>
      <c r="Y119" s="878" t="s">
        <v>26</v>
      </c>
      <c r="Z119" s="884" t="s">
        <v>1141</v>
      </c>
    </row>
    <row r="120" spans="1:26" ht="30" customHeight="1">
      <c r="A120" s="873"/>
      <c r="B120" s="826" t="s">
        <v>646</v>
      </c>
      <c r="C120" s="659"/>
      <c r="D120" s="659"/>
      <c r="E120" s="659"/>
      <c r="F120" s="659"/>
      <c r="G120" s="659"/>
      <c r="H120" s="11" t="e">
        <f>H121/H119</f>
        <v>#REF!</v>
      </c>
      <c r="I120" s="11"/>
      <c r="J120" s="11"/>
      <c r="K120" s="11"/>
      <c r="L120" s="11" t="e">
        <f>H120</f>
        <v>#REF!</v>
      </c>
      <c r="M120" s="48" t="e">
        <f>M121/M119</f>
        <v>#REF!</v>
      </c>
      <c r="N120" s="48"/>
      <c r="O120" s="48"/>
      <c r="P120" s="48"/>
      <c r="Q120" s="48"/>
      <c r="R120" s="311">
        <f>'Подробный перечень (ОБ)'!$G$11</f>
        <v>63755.028337151816</v>
      </c>
      <c r="S120" s="311" t="s">
        <v>489</v>
      </c>
      <c r="T120" s="311" t="s">
        <v>489</v>
      </c>
      <c r="U120" s="311" t="s">
        <v>489</v>
      </c>
      <c r="V120" s="311" t="s">
        <v>489</v>
      </c>
      <c r="W120" s="311">
        <f>'Подробный перечень (ОБ)'!$L$11</f>
        <v>43517.4</v>
      </c>
      <c r="X120" s="311">
        <f>'Подробный перечень (ОБ)'!$M$11</f>
        <v>98630.868749999994</v>
      </c>
      <c r="Y120" s="879"/>
      <c r="Z120" s="885"/>
    </row>
    <row r="121" spans="1:26" ht="30.75" customHeight="1">
      <c r="A121" s="873"/>
      <c r="B121" s="840" t="s">
        <v>1142</v>
      </c>
      <c r="C121" s="659">
        <v>176</v>
      </c>
      <c r="D121" s="102" t="s">
        <v>487</v>
      </c>
      <c r="E121" s="102" t="s">
        <v>488</v>
      </c>
      <c r="F121" s="659" t="s">
        <v>866</v>
      </c>
      <c r="G121" s="659">
        <v>414</v>
      </c>
      <c r="H121" s="11" t="e">
        <f t="shared" ref="H121:M121" si="10">H124+H126+H129+H130</f>
        <v>#REF!</v>
      </c>
      <c r="I121" s="11" t="e">
        <f t="shared" si="10"/>
        <v>#REF!</v>
      </c>
      <c r="J121" s="11" t="e">
        <f t="shared" si="10"/>
        <v>#REF!</v>
      </c>
      <c r="K121" s="11" t="e">
        <f t="shared" si="10"/>
        <v>#REF!</v>
      </c>
      <c r="L121" s="11" t="e">
        <f t="shared" si="10"/>
        <v>#REF!</v>
      </c>
      <c r="M121" s="48" t="e">
        <f t="shared" si="10"/>
        <v>#REF!</v>
      </c>
      <c r="N121" s="48"/>
      <c r="O121" s="48"/>
      <c r="P121" s="48"/>
      <c r="Q121" s="48"/>
      <c r="R121" s="48">
        <f t="shared" ref="R121:X121" si="11">R124+R125+R126</f>
        <v>1057440.9000000001</v>
      </c>
      <c r="S121" s="48">
        <f t="shared" si="11"/>
        <v>0</v>
      </c>
      <c r="T121" s="48">
        <f t="shared" si="11"/>
        <v>0</v>
      </c>
      <c r="U121" s="48">
        <f t="shared" si="11"/>
        <v>0</v>
      </c>
      <c r="V121" s="48">
        <f t="shared" si="11"/>
        <v>1057440.9000000001</v>
      </c>
      <c r="W121" s="48">
        <f t="shared" si="11"/>
        <v>673215.6</v>
      </c>
      <c r="X121" s="48">
        <f t="shared" si="11"/>
        <v>1578093.9</v>
      </c>
      <c r="Y121" s="879"/>
      <c r="Z121" s="885"/>
    </row>
    <row r="122" spans="1:26" ht="15" hidden="1" customHeight="1">
      <c r="A122" s="873"/>
      <c r="B122" s="826" t="s">
        <v>9</v>
      </c>
      <c r="C122" s="659"/>
      <c r="D122" s="659"/>
      <c r="E122" s="102"/>
      <c r="F122" s="659"/>
      <c r="G122" s="659"/>
      <c r="H122" s="11"/>
      <c r="I122" s="11"/>
      <c r="J122" s="11"/>
      <c r="K122" s="11"/>
      <c r="L122" s="11"/>
      <c r="M122" s="48"/>
      <c r="N122" s="48"/>
      <c r="O122" s="48"/>
      <c r="P122" s="48"/>
      <c r="Q122" s="48"/>
      <c r="R122" s="48"/>
      <c r="S122" s="48"/>
      <c r="T122" s="48"/>
      <c r="U122" s="48"/>
      <c r="V122" s="48"/>
      <c r="W122" s="48"/>
      <c r="X122" s="48"/>
      <c r="Y122" s="879"/>
      <c r="Z122" s="885"/>
    </row>
    <row r="123" spans="1:26" ht="32.450000000000003" hidden="1" customHeight="1">
      <c r="A123" s="873"/>
      <c r="B123" s="826" t="s">
        <v>10</v>
      </c>
      <c r="C123" s="659">
        <v>176</v>
      </c>
      <c r="D123" s="102" t="s">
        <v>487</v>
      </c>
      <c r="E123" s="102" t="s">
        <v>488</v>
      </c>
      <c r="F123" s="659">
        <v>6100102770</v>
      </c>
      <c r="G123" s="659">
        <v>414</v>
      </c>
      <c r="H123" s="11"/>
      <c r="I123" s="11"/>
      <c r="J123" s="11"/>
      <c r="K123" s="11"/>
      <c r="L123" s="11"/>
      <c r="M123" s="48"/>
      <c r="N123" s="48"/>
      <c r="O123" s="48"/>
      <c r="P123" s="48"/>
      <c r="Q123" s="48"/>
      <c r="R123" s="48">
        <f>R139+R152+R159+R168+R181</f>
        <v>403431</v>
      </c>
      <c r="S123" s="48">
        <f>S139+S152+S159+S168+S181</f>
        <v>0</v>
      </c>
      <c r="T123" s="48">
        <f>T139+T152+T159+T168+T181</f>
        <v>0</v>
      </c>
      <c r="U123" s="48">
        <f>U139+U152+U159+U168+U181</f>
        <v>0</v>
      </c>
      <c r="V123" s="48">
        <f>V139+V152+V159+V168+V181</f>
        <v>403431</v>
      </c>
      <c r="W123" s="48">
        <f>W158+W167+W168+W173+W181</f>
        <v>269669.09999999998</v>
      </c>
      <c r="X123" s="48">
        <v>0</v>
      </c>
      <c r="Y123" s="879"/>
      <c r="Z123" s="885"/>
    </row>
    <row r="124" spans="1:26" ht="25.5" customHeight="1">
      <c r="A124" s="873"/>
      <c r="B124" s="826" t="s">
        <v>641</v>
      </c>
      <c r="C124" s="659">
        <v>176</v>
      </c>
      <c r="D124" s="102" t="s">
        <v>487</v>
      </c>
      <c r="E124" s="102" t="s">
        <v>488</v>
      </c>
      <c r="F124" s="659" t="s">
        <v>909</v>
      </c>
      <c r="G124" s="659">
        <v>414</v>
      </c>
      <c r="H124" s="11" t="e">
        <f>SUM(I124:L124)</f>
        <v>#REF!</v>
      </c>
      <c r="I124" s="11" t="e">
        <f>#REF!</f>
        <v>#REF!</v>
      </c>
      <c r="J124" s="11" t="e">
        <f>#REF!</f>
        <v>#REF!</v>
      </c>
      <c r="K124" s="11" t="e">
        <f>#REF!</f>
        <v>#REF!</v>
      </c>
      <c r="L124" s="11" t="e">
        <f>#REF!</f>
        <v>#REF!</v>
      </c>
      <c r="M124" s="48" t="e">
        <f>'Подробный перечень(БКАД)'!#REF!</f>
        <v>#REF!</v>
      </c>
      <c r="N124" s="48" t="e">
        <f>'Подробный перечень(БКАД)'!#REF!</f>
        <v>#REF!</v>
      </c>
      <c r="O124" s="48" t="e">
        <f>'Подробный перечень(БКАД)'!#REF!</f>
        <v>#REF!</v>
      </c>
      <c r="P124" s="48" t="e">
        <f>'Подробный перечень(БКАД)'!#REF!</f>
        <v>#REF!</v>
      </c>
      <c r="Q124" s="48" t="e">
        <f>'Подробный перечень(БКАД)'!#REF!</f>
        <v>#REF!</v>
      </c>
      <c r="R124" s="48">
        <f>R143</f>
        <v>150588.20000000001</v>
      </c>
      <c r="S124" s="48">
        <f>S143</f>
        <v>0</v>
      </c>
      <c r="T124" s="48">
        <f>T143</f>
        <v>0</v>
      </c>
      <c r="U124" s="48">
        <f>U143</f>
        <v>0</v>
      </c>
      <c r="V124" s="48">
        <f>V143</f>
        <v>150588.20000000001</v>
      </c>
      <c r="W124" s="48">
        <f>W156</f>
        <v>177869.2</v>
      </c>
      <c r="X124" s="48">
        <f>X149</f>
        <v>257000</v>
      </c>
      <c r="Y124" s="879"/>
      <c r="Z124" s="885"/>
    </row>
    <row r="125" spans="1:26" ht="25.5" customHeight="1">
      <c r="A125" s="873"/>
      <c r="B125" s="826" t="s">
        <v>247</v>
      </c>
      <c r="C125" s="659">
        <v>176</v>
      </c>
      <c r="D125" s="102" t="s">
        <v>487</v>
      </c>
      <c r="E125" s="102" t="s">
        <v>488</v>
      </c>
      <c r="F125" s="659">
        <v>6100102770</v>
      </c>
      <c r="G125" s="659">
        <v>414</v>
      </c>
      <c r="H125" s="11"/>
      <c r="I125" s="11"/>
      <c r="J125" s="11"/>
      <c r="K125" s="11"/>
      <c r="L125" s="11"/>
      <c r="M125" s="48"/>
      <c r="N125" s="48"/>
      <c r="O125" s="48"/>
      <c r="P125" s="48"/>
      <c r="Q125" s="48"/>
      <c r="R125" s="48">
        <f>R136+R139+R145+R147+R152+R155+R160+R162+R163+R164+R166+R167+R168+R169+R170+R171+R172+R173+R174+R175+R177+R179+R158</f>
        <v>671190.6</v>
      </c>
      <c r="S125" s="48">
        <f>S136+S139+S145+S147+S152+S155+S160+S162+S163+S164+S166+S167+S168+S169+S170+S171+S172+S173+S174+S175+S177+S179+S158</f>
        <v>0</v>
      </c>
      <c r="T125" s="48">
        <f>T136+T139+T145+T147+T152+T155+T160+T162+T163+T164+T166+T167+T168+T169+T170+T171+T172+T173+T174+T175+T177+T179+T158</f>
        <v>0</v>
      </c>
      <c r="U125" s="48">
        <f>U136+U139+U145+U147+U152+U155+U160+U162+U163+U164+U166+U167+U168+U169+U170+U171+U172+U173+U174+U175+U177+U179+U158</f>
        <v>0</v>
      </c>
      <c r="V125" s="48">
        <f>V136+V139+V145+V147+V152+V155+V160+V162+V163+V164+V166+V167+V168+V169+V170+V171+V172+V173+V174+V175+V177+V179+V158</f>
        <v>671190.6</v>
      </c>
      <c r="W125" s="48">
        <f>W136+W139+W145+W147+W152+W155+W160+W162+W164+W166+W167+W168+W169+W170+W173+W174+W175+W179</f>
        <v>390056.3</v>
      </c>
      <c r="X125" s="48">
        <f>X139+X148+X155+X163+X167+X168+X174+X175+X164+$X$179</f>
        <v>1211326.5</v>
      </c>
      <c r="Y125" s="879"/>
      <c r="Z125" s="885"/>
    </row>
    <row r="126" spans="1:26" ht="30" customHeight="1">
      <c r="A126" s="873"/>
      <c r="B126" s="826" t="s">
        <v>642</v>
      </c>
      <c r="C126" s="659">
        <v>176</v>
      </c>
      <c r="D126" s="102" t="s">
        <v>487</v>
      </c>
      <c r="E126" s="102" t="s">
        <v>488</v>
      </c>
      <c r="F126" s="659" t="s">
        <v>909</v>
      </c>
      <c r="G126" s="659">
        <v>414</v>
      </c>
      <c r="H126" s="11" t="e">
        <f>SUM(I126:L126)</f>
        <v>#REF!</v>
      </c>
      <c r="I126" s="11" t="e">
        <f>#REF!</f>
        <v>#REF!</v>
      </c>
      <c r="J126" s="11" t="e">
        <f>#REF!</f>
        <v>#REF!</v>
      </c>
      <c r="K126" s="11" t="e">
        <f>#REF!</f>
        <v>#REF!</v>
      </c>
      <c r="L126" s="11" t="e">
        <f>#REF!</f>
        <v>#REF!</v>
      </c>
      <c r="M126" s="48" t="e">
        <f>'Подробный перечень(БКАД)'!#REF!</f>
        <v>#REF!</v>
      </c>
      <c r="N126" s="48"/>
      <c r="O126" s="48"/>
      <c r="P126" s="48" t="e">
        <f>'Подробный перечень(БКАД)'!#REF!</f>
        <v>#REF!</v>
      </c>
      <c r="Q126" s="48" t="e">
        <f>'Подробный перечень(БКАД)'!#REF!</f>
        <v>#REF!</v>
      </c>
      <c r="R126" s="48">
        <f>R144</f>
        <v>235662.1</v>
      </c>
      <c r="S126" s="48">
        <f>S144</f>
        <v>0</v>
      </c>
      <c r="T126" s="48">
        <f>T144</f>
        <v>0</v>
      </c>
      <c r="U126" s="48">
        <f>U144</f>
        <v>0</v>
      </c>
      <c r="V126" s="48">
        <f>V144</f>
        <v>235662.1</v>
      </c>
      <c r="W126" s="48">
        <f>W157</f>
        <v>105290.1</v>
      </c>
      <c r="X126" s="48">
        <f>X150</f>
        <v>109767.4</v>
      </c>
      <c r="Y126" s="879"/>
      <c r="Z126" s="885"/>
    </row>
    <row r="127" spans="1:26" ht="23.25" hidden="1" customHeight="1">
      <c r="A127" s="873"/>
      <c r="B127" s="826" t="s">
        <v>456</v>
      </c>
      <c r="C127" s="659">
        <v>176</v>
      </c>
      <c r="D127" s="102" t="s">
        <v>15</v>
      </c>
      <c r="E127" s="102" t="s">
        <v>15</v>
      </c>
      <c r="F127" s="659">
        <v>6100053904</v>
      </c>
      <c r="G127" s="659">
        <v>414</v>
      </c>
      <c r="H127" s="11"/>
      <c r="I127" s="11"/>
      <c r="J127" s="11"/>
      <c r="K127" s="11"/>
      <c r="L127" s="11"/>
      <c r="M127" s="48"/>
      <c r="N127" s="48"/>
      <c r="O127" s="48"/>
      <c r="P127" s="48"/>
      <c r="Q127" s="48"/>
      <c r="R127" s="48">
        <f>'Подробный перечень(БКАД)'!G19</f>
        <v>0</v>
      </c>
      <c r="S127" s="48"/>
      <c r="T127" s="48"/>
      <c r="U127" s="48">
        <f>'Подробный перечень(БКАД)'!$J$19</f>
        <v>0</v>
      </c>
      <c r="V127" s="48"/>
      <c r="W127" s="48"/>
      <c r="X127" s="48"/>
      <c r="Y127" s="879"/>
      <c r="Z127" s="885"/>
    </row>
    <row r="128" spans="1:26" ht="21" hidden="1" customHeight="1">
      <c r="A128" s="873"/>
      <c r="B128" s="826" t="s">
        <v>341</v>
      </c>
      <c r="C128" s="659">
        <v>176</v>
      </c>
      <c r="D128" s="102" t="s">
        <v>487</v>
      </c>
      <c r="E128" s="102" t="s">
        <v>488</v>
      </c>
      <c r="F128" s="659">
        <v>6100053902</v>
      </c>
      <c r="G128" s="659">
        <v>414</v>
      </c>
      <c r="H128" s="11"/>
      <c r="I128" s="11"/>
      <c r="J128" s="11"/>
      <c r="K128" s="11"/>
      <c r="L128" s="11"/>
      <c r="M128" s="48"/>
      <c r="N128" s="48"/>
      <c r="O128" s="48"/>
      <c r="P128" s="48"/>
      <c r="Q128" s="48"/>
      <c r="R128" s="48"/>
      <c r="S128" s="48"/>
      <c r="T128" s="48"/>
      <c r="U128" s="48"/>
      <c r="V128" s="48"/>
      <c r="W128" s="48"/>
      <c r="X128" s="48"/>
      <c r="Y128" s="879"/>
      <c r="Z128" s="885"/>
    </row>
    <row r="129" spans="1:27" ht="21" customHeight="1">
      <c r="A129" s="873"/>
      <c r="B129" s="826" t="s">
        <v>435</v>
      </c>
      <c r="C129" s="659"/>
      <c r="D129" s="102"/>
      <c r="E129" s="102"/>
      <c r="F129" s="659"/>
      <c r="G129" s="659"/>
      <c r="H129" s="11"/>
      <c r="I129" s="11">
        <v>0</v>
      </c>
      <c r="J129" s="11">
        <v>0</v>
      </c>
      <c r="K129" s="11">
        <v>0</v>
      </c>
      <c r="L129" s="11">
        <v>0</v>
      </c>
      <c r="M129" s="48"/>
      <c r="N129" s="48"/>
      <c r="O129" s="48"/>
      <c r="P129" s="48"/>
      <c r="Q129" s="48"/>
      <c r="R129" s="48"/>
      <c r="S129" s="48"/>
      <c r="T129" s="48"/>
      <c r="U129" s="48"/>
      <c r="V129" s="48"/>
      <c r="W129" s="48"/>
      <c r="X129" s="48"/>
      <c r="Y129" s="879"/>
      <c r="Z129" s="885"/>
    </row>
    <row r="130" spans="1:27" ht="27.6" customHeight="1">
      <c r="A130" s="873"/>
      <c r="B130" s="826" t="s">
        <v>447</v>
      </c>
      <c r="C130" s="659"/>
      <c r="D130" s="102"/>
      <c r="E130" s="102"/>
      <c r="F130" s="659"/>
      <c r="G130" s="659"/>
      <c r="H130" s="11"/>
      <c r="I130" s="11">
        <v>0</v>
      </c>
      <c r="J130" s="11">
        <v>0</v>
      </c>
      <c r="K130" s="11">
        <v>0</v>
      </c>
      <c r="L130" s="11">
        <v>0</v>
      </c>
      <c r="M130" s="48"/>
      <c r="N130" s="48"/>
      <c r="O130" s="48"/>
      <c r="P130" s="48"/>
      <c r="Q130" s="48"/>
      <c r="R130" s="48"/>
      <c r="S130" s="48"/>
      <c r="T130" s="48"/>
      <c r="U130" s="48"/>
      <c r="V130" s="48"/>
      <c r="W130" s="48"/>
      <c r="X130" s="48"/>
      <c r="Y130" s="879"/>
      <c r="Z130" s="885"/>
    </row>
    <row r="131" spans="1:27" ht="27.6" customHeight="1">
      <c r="A131" s="874"/>
      <c r="B131" s="826" t="s">
        <v>1010</v>
      </c>
      <c r="C131" s="659"/>
      <c r="D131" s="102"/>
      <c r="E131" s="102"/>
      <c r="F131" s="659"/>
      <c r="G131" s="659"/>
      <c r="H131" s="11"/>
      <c r="I131" s="11"/>
      <c r="J131" s="11"/>
      <c r="K131" s="11"/>
      <c r="L131" s="11"/>
      <c r="M131" s="48"/>
      <c r="N131" s="48"/>
      <c r="O131" s="48"/>
      <c r="P131" s="48"/>
      <c r="Q131" s="48"/>
      <c r="R131" s="48"/>
      <c r="S131" s="59"/>
      <c r="T131" s="59"/>
      <c r="U131" s="59"/>
      <c r="V131" s="59"/>
      <c r="W131" s="59"/>
      <c r="X131" s="59"/>
      <c r="Y131" s="879"/>
      <c r="Z131" s="885"/>
    </row>
    <row r="132" spans="1:27" ht="27.6" hidden="1" customHeight="1">
      <c r="A132" s="820"/>
      <c r="B132" s="826"/>
      <c r="C132" s="659"/>
      <c r="D132" s="102"/>
      <c r="E132" s="102"/>
      <c r="F132" s="659"/>
      <c r="G132" s="659"/>
      <c r="H132" s="11"/>
      <c r="I132" s="11"/>
      <c r="J132" s="11"/>
      <c r="K132" s="11"/>
      <c r="L132" s="11"/>
      <c r="M132" s="48"/>
      <c r="N132" s="48"/>
      <c r="O132" s="48"/>
      <c r="P132" s="48"/>
      <c r="Q132" s="48"/>
      <c r="R132" s="48"/>
      <c r="S132" s="59"/>
      <c r="T132" s="59"/>
      <c r="U132" s="59"/>
      <c r="V132" s="59"/>
      <c r="W132" s="59"/>
      <c r="X132" s="59"/>
      <c r="Y132" s="879"/>
      <c r="Z132" s="885"/>
    </row>
    <row r="133" spans="1:27" ht="24" customHeight="1">
      <c r="A133" s="23" t="s">
        <v>30</v>
      </c>
      <c r="B133" s="826"/>
      <c r="C133" s="659"/>
      <c r="D133" s="102"/>
      <c r="E133" s="102"/>
      <c r="F133" s="659"/>
      <c r="G133" s="659"/>
      <c r="H133" s="11"/>
      <c r="I133" s="11"/>
      <c r="J133" s="11"/>
      <c r="K133" s="11"/>
      <c r="L133" s="11"/>
      <c r="M133" s="48"/>
      <c r="N133" s="48"/>
      <c r="O133" s="48"/>
      <c r="P133" s="48"/>
      <c r="Q133" s="48"/>
      <c r="R133" s="48"/>
      <c r="S133" s="59"/>
      <c r="T133" s="59"/>
      <c r="U133" s="59"/>
      <c r="V133" s="59"/>
      <c r="W133" s="59"/>
      <c r="X133" s="59"/>
      <c r="Y133" s="879"/>
      <c r="Z133" s="885"/>
    </row>
    <row r="134" spans="1:27" ht="15" hidden="1" customHeight="1">
      <c r="A134" s="898" t="s">
        <v>798</v>
      </c>
      <c r="B134" s="826" t="s">
        <v>89</v>
      </c>
      <c r="C134" s="659"/>
      <c r="D134" s="102"/>
      <c r="E134" s="102"/>
      <c r="F134" s="659"/>
      <c r="G134" s="659"/>
      <c r="H134" s="11"/>
      <c r="I134" s="11"/>
      <c r="J134" s="11"/>
      <c r="K134" s="11"/>
      <c r="L134" s="11"/>
      <c r="M134" s="48"/>
      <c r="N134" s="48"/>
      <c r="O134" s="48"/>
      <c r="P134" s="48"/>
      <c r="Q134" s="48"/>
      <c r="R134" s="742">
        <v>12.67</v>
      </c>
      <c r="S134" s="744"/>
      <c r="T134" s="744"/>
      <c r="U134" s="744"/>
      <c r="V134" s="744">
        <v>12.67</v>
      </c>
      <c r="W134" s="59"/>
      <c r="X134" s="59"/>
      <c r="Y134" s="879"/>
      <c r="Z134" s="885"/>
    </row>
    <row r="135" spans="1:27">
      <c r="A135" s="882"/>
      <c r="B135" s="535" t="s">
        <v>332</v>
      </c>
      <c r="C135" s="808">
        <v>176</v>
      </c>
      <c r="D135" s="294" t="s">
        <v>487</v>
      </c>
      <c r="E135" s="294" t="s">
        <v>488</v>
      </c>
      <c r="F135" s="808" t="s">
        <v>838</v>
      </c>
      <c r="G135" s="808">
        <v>414</v>
      </c>
      <c r="H135" s="22" t="e">
        <f>SUM(I135:L135)</f>
        <v>#REF!</v>
      </c>
      <c r="I135" s="22" t="e">
        <f>#REF!</f>
        <v>#REF!</v>
      </c>
      <c r="J135" s="22" t="e">
        <f>#REF!</f>
        <v>#REF!</v>
      </c>
      <c r="K135" s="22" t="e">
        <f>#REF!</f>
        <v>#REF!</v>
      </c>
      <c r="L135" s="22" t="e">
        <f>#REF!</f>
        <v>#REF!</v>
      </c>
      <c r="M135" s="60"/>
      <c r="N135" s="60"/>
      <c r="O135" s="60"/>
      <c r="P135" s="60"/>
      <c r="Q135" s="60"/>
      <c r="R135" s="60">
        <f>'Подробный перечень (ОБ)'!$G$20</f>
        <v>4000</v>
      </c>
      <c r="S135" s="60"/>
      <c r="T135" s="60"/>
      <c r="U135" s="60"/>
      <c r="V135" s="60">
        <f>R135</f>
        <v>4000</v>
      </c>
      <c r="W135" s="60">
        <f>W136+W137+W138</f>
        <v>0</v>
      </c>
      <c r="X135" s="60"/>
      <c r="Y135" s="879"/>
      <c r="Z135" s="885"/>
      <c r="AA135" s="278"/>
    </row>
    <row r="136" spans="1:27">
      <c r="A136" s="882"/>
      <c r="B136" s="810" t="s">
        <v>837</v>
      </c>
      <c r="C136" s="816">
        <v>176</v>
      </c>
      <c r="D136" s="296" t="s">
        <v>487</v>
      </c>
      <c r="E136" s="296" t="s">
        <v>488</v>
      </c>
      <c r="F136" s="816">
        <v>6100102770</v>
      </c>
      <c r="G136" s="816">
        <v>414</v>
      </c>
      <c r="H136" s="22"/>
      <c r="I136" s="22"/>
      <c r="J136" s="22"/>
      <c r="K136" s="22"/>
      <c r="L136" s="22"/>
      <c r="M136" s="60"/>
      <c r="N136" s="60"/>
      <c r="O136" s="60"/>
      <c r="P136" s="60"/>
      <c r="Q136" s="60"/>
      <c r="R136" s="60">
        <f>'Подробный перечень (ОБ)'!$G$21</f>
        <v>4000</v>
      </c>
      <c r="S136" s="60"/>
      <c r="T136" s="60"/>
      <c r="U136" s="60"/>
      <c r="V136" s="60">
        <f>R136</f>
        <v>4000</v>
      </c>
      <c r="W136" s="60">
        <f>'Подробный перечень (ОБ)'!$L$21</f>
        <v>0</v>
      </c>
      <c r="X136" s="60"/>
      <c r="Y136" s="879"/>
      <c r="Z136" s="885"/>
      <c r="AA136" s="278"/>
    </row>
    <row r="137" spans="1:27" ht="15" hidden="1" customHeight="1">
      <c r="A137" s="882"/>
      <c r="B137" s="535" t="s">
        <v>739</v>
      </c>
      <c r="C137" s="808">
        <v>176</v>
      </c>
      <c r="D137" s="294" t="s">
        <v>487</v>
      </c>
      <c r="E137" s="294" t="s">
        <v>488</v>
      </c>
      <c r="F137" s="808" t="s">
        <v>909</v>
      </c>
      <c r="G137" s="808">
        <v>414</v>
      </c>
      <c r="H137" s="22"/>
      <c r="I137" s="22"/>
      <c r="J137" s="22"/>
      <c r="K137" s="22"/>
      <c r="L137" s="22"/>
      <c r="M137" s="60"/>
      <c r="N137" s="60"/>
      <c r="O137" s="60"/>
      <c r="P137" s="60"/>
      <c r="Q137" s="60"/>
      <c r="R137" s="60"/>
      <c r="S137" s="60"/>
      <c r="T137" s="60"/>
      <c r="U137" s="60"/>
      <c r="V137" s="60">
        <f>R137</f>
        <v>0</v>
      </c>
      <c r="W137" s="60"/>
      <c r="X137" s="60"/>
      <c r="Y137" s="879"/>
      <c r="Z137" s="885"/>
      <c r="AA137" s="467"/>
    </row>
    <row r="138" spans="1:27" ht="14.25" hidden="1" customHeight="1">
      <c r="A138" s="883"/>
      <c r="B138" s="535" t="s">
        <v>740</v>
      </c>
      <c r="C138" s="808">
        <v>176</v>
      </c>
      <c r="D138" s="294" t="s">
        <v>487</v>
      </c>
      <c r="E138" s="294" t="s">
        <v>488</v>
      </c>
      <c r="F138" s="808" t="s">
        <v>909</v>
      </c>
      <c r="G138" s="808">
        <v>414</v>
      </c>
      <c r="H138" s="22"/>
      <c r="I138" s="22"/>
      <c r="J138" s="22"/>
      <c r="K138" s="22"/>
      <c r="L138" s="22"/>
      <c r="M138" s="60"/>
      <c r="N138" s="60"/>
      <c r="O138" s="60"/>
      <c r="P138" s="60"/>
      <c r="Q138" s="60"/>
      <c r="R138" s="60"/>
      <c r="S138" s="60"/>
      <c r="T138" s="60"/>
      <c r="U138" s="60"/>
      <c r="V138" s="60">
        <v>175832.7</v>
      </c>
      <c r="W138" s="60"/>
      <c r="X138" s="60"/>
      <c r="Y138" s="879"/>
      <c r="Z138" s="885"/>
      <c r="AA138" s="278"/>
    </row>
    <row r="139" spans="1:27">
      <c r="A139" s="565" t="s">
        <v>43</v>
      </c>
      <c r="B139" s="535" t="s">
        <v>331</v>
      </c>
      <c r="C139" s="808">
        <v>176</v>
      </c>
      <c r="D139" s="294" t="s">
        <v>487</v>
      </c>
      <c r="E139" s="294" t="s">
        <v>488</v>
      </c>
      <c r="F139" s="808">
        <v>6100102770</v>
      </c>
      <c r="G139" s="808">
        <v>414</v>
      </c>
      <c r="H139" s="22" t="e">
        <f>SUM(I139:L139)</f>
        <v>#REF!</v>
      </c>
      <c r="I139" s="22" t="e">
        <f>#REF!</f>
        <v>#REF!</v>
      </c>
      <c r="J139" s="22" t="e">
        <f>#REF!</f>
        <v>#REF!</v>
      </c>
      <c r="K139" s="22" t="e">
        <f>#REF!</f>
        <v>#REF!</v>
      </c>
      <c r="L139" s="22" t="e">
        <f>#REF!</f>
        <v>#REF!</v>
      </c>
      <c r="M139" s="60"/>
      <c r="N139" s="60"/>
      <c r="O139" s="60"/>
      <c r="P139" s="60"/>
      <c r="Q139" s="60"/>
      <c r="R139" s="60">
        <f>V139</f>
        <v>1919.2</v>
      </c>
      <c r="S139" s="60"/>
      <c r="T139" s="60"/>
      <c r="U139" s="60"/>
      <c r="V139" s="60">
        <f>'Подробный перечень (ОБ)'!$K$37</f>
        <v>1919.2</v>
      </c>
      <c r="W139" s="60">
        <f>'Подробный перечень (ОБ)'!$L$37</f>
        <v>23107.3</v>
      </c>
      <c r="X139" s="60">
        <f>'Подробный перечень (ОБ)'!$M$37</f>
        <v>30000</v>
      </c>
      <c r="Y139" s="879"/>
      <c r="Z139" s="885"/>
    </row>
    <row r="140" spans="1:27" ht="21" hidden="1" customHeight="1">
      <c r="A140" s="12" t="s">
        <v>44</v>
      </c>
      <c r="B140" s="535" t="s">
        <v>331</v>
      </c>
      <c r="C140" s="808">
        <v>176</v>
      </c>
      <c r="D140" s="294" t="s">
        <v>487</v>
      </c>
      <c r="E140" s="294" t="s">
        <v>488</v>
      </c>
      <c r="F140" s="808">
        <v>6100102770</v>
      </c>
      <c r="G140" s="808">
        <v>414</v>
      </c>
      <c r="H140" s="22" t="e">
        <f>SUM(I140:L140)</f>
        <v>#REF!</v>
      </c>
      <c r="I140" s="22" t="e">
        <f>#REF!</f>
        <v>#REF!</v>
      </c>
      <c r="J140" s="22" t="e">
        <f>#REF!</f>
        <v>#REF!</v>
      </c>
      <c r="K140" s="22" t="e">
        <f>#REF!</f>
        <v>#REF!</v>
      </c>
      <c r="L140" s="22" t="e">
        <f>#REF!</f>
        <v>#REF!</v>
      </c>
      <c r="M140" s="60"/>
      <c r="N140" s="60"/>
      <c r="O140" s="60"/>
      <c r="P140" s="60"/>
      <c r="Q140" s="60"/>
      <c r="R140" s="60"/>
      <c r="S140" s="60"/>
      <c r="T140" s="60"/>
      <c r="U140" s="60"/>
      <c r="V140" s="60"/>
      <c r="W140" s="60"/>
      <c r="X140" s="60"/>
      <c r="Y140" s="879"/>
      <c r="Z140" s="885"/>
    </row>
    <row r="141" spans="1:27" ht="10.5" hidden="1" customHeight="1">
      <c r="A141" s="881" t="s">
        <v>799</v>
      </c>
      <c r="B141" s="826" t="s">
        <v>89</v>
      </c>
      <c r="C141" s="808"/>
      <c r="D141" s="294"/>
      <c r="E141" s="294"/>
      <c r="F141" s="808"/>
      <c r="G141" s="808"/>
      <c r="H141" s="22"/>
      <c r="I141" s="22"/>
      <c r="J141" s="22"/>
      <c r="K141" s="22"/>
      <c r="L141" s="22"/>
      <c r="M141" s="60"/>
      <c r="N141" s="60"/>
      <c r="O141" s="60"/>
      <c r="P141" s="60"/>
      <c r="Q141" s="60"/>
      <c r="R141" s="60"/>
      <c r="S141" s="60"/>
      <c r="T141" s="60"/>
      <c r="U141" s="60"/>
      <c r="V141" s="60"/>
      <c r="W141" s="48">
        <v>12.5</v>
      </c>
      <c r="X141" s="60"/>
      <c r="Y141" s="879"/>
      <c r="Z141" s="885"/>
    </row>
    <row r="142" spans="1:27">
      <c r="A142" s="882"/>
      <c r="B142" s="535" t="s">
        <v>332</v>
      </c>
      <c r="C142" s="808">
        <v>176</v>
      </c>
      <c r="D142" s="294" t="s">
        <v>487</v>
      </c>
      <c r="E142" s="294" t="s">
        <v>488</v>
      </c>
      <c r="F142" s="808" t="s">
        <v>838</v>
      </c>
      <c r="G142" s="808">
        <v>414</v>
      </c>
      <c r="H142" s="22" t="e">
        <f>SUM(I142:L142)</f>
        <v>#REF!</v>
      </c>
      <c r="I142" s="22" t="e">
        <f>#REF!</f>
        <v>#REF!</v>
      </c>
      <c r="J142" s="22" t="e">
        <f>#REF!</f>
        <v>#REF!</v>
      </c>
      <c r="K142" s="22" t="e">
        <f>#REF!</f>
        <v>#REF!</v>
      </c>
      <c r="L142" s="22" t="e">
        <f>#REF!</f>
        <v>#REF!</v>
      </c>
      <c r="M142" s="60" t="e">
        <f>'Подробный перечень(БКАД)'!#REF!</f>
        <v>#REF!</v>
      </c>
      <c r="N142" s="60"/>
      <c r="O142" s="60"/>
      <c r="P142" s="60"/>
      <c r="Q142" s="60" t="e">
        <f>'Подробный перечень(БКАД)'!#REF!</f>
        <v>#REF!</v>
      </c>
      <c r="R142" s="60">
        <f t="shared" ref="R142:W142" si="12">R143+R144+R145</f>
        <v>462908.30000000005</v>
      </c>
      <c r="S142" s="60">
        <f t="shared" si="12"/>
        <v>0</v>
      </c>
      <c r="T142" s="60">
        <f t="shared" si="12"/>
        <v>0</v>
      </c>
      <c r="U142" s="60">
        <f t="shared" si="12"/>
        <v>0</v>
      </c>
      <c r="V142" s="60">
        <f t="shared" si="12"/>
        <v>462908.30000000005</v>
      </c>
      <c r="W142" s="60">
        <f t="shared" si="12"/>
        <v>25444.6</v>
      </c>
      <c r="X142" s="60"/>
      <c r="Y142" s="879"/>
      <c r="Z142" s="885"/>
    </row>
    <row r="143" spans="1:27">
      <c r="A143" s="882"/>
      <c r="B143" s="535" t="s">
        <v>739</v>
      </c>
      <c r="C143" s="808">
        <v>176</v>
      </c>
      <c r="D143" s="294" t="s">
        <v>487</v>
      </c>
      <c r="E143" s="294" t="s">
        <v>488</v>
      </c>
      <c r="F143" s="808" t="s">
        <v>909</v>
      </c>
      <c r="G143" s="808">
        <v>414</v>
      </c>
      <c r="H143" s="22"/>
      <c r="I143" s="22"/>
      <c r="J143" s="22"/>
      <c r="K143" s="22"/>
      <c r="L143" s="22"/>
      <c r="M143" s="60"/>
      <c r="N143" s="60"/>
      <c r="O143" s="60"/>
      <c r="P143" s="60"/>
      <c r="Q143" s="60"/>
      <c r="R143" s="60">
        <f>V143</f>
        <v>150588.20000000001</v>
      </c>
      <c r="S143" s="60"/>
      <c r="T143" s="60"/>
      <c r="U143" s="60"/>
      <c r="V143" s="60">
        <f>'Подробный перечень (ОБ)'!$K$83</f>
        <v>150588.20000000001</v>
      </c>
      <c r="W143" s="60">
        <f>'Подробный перечень (ОБ)'!$L$83</f>
        <v>0</v>
      </c>
      <c r="X143" s="60"/>
      <c r="Y143" s="879"/>
      <c r="Z143" s="885"/>
    </row>
    <row r="144" spans="1:27">
      <c r="A144" s="882"/>
      <c r="B144" s="535" t="s">
        <v>741</v>
      </c>
      <c r="C144" s="808">
        <v>176</v>
      </c>
      <c r="D144" s="294" t="s">
        <v>487</v>
      </c>
      <c r="E144" s="294" t="s">
        <v>488</v>
      </c>
      <c r="F144" s="808" t="s">
        <v>909</v>
      </c>
      <c r="G144" s="808">
        <v>414</v>
      </c>
      <c r="H144" s="22"/>
      <c r="I144" s="22"/>
      <c r="J144" s="22"/>
      <c r="K144" s="22"/>
      <c r="L144" s="22"/>
      <c r="M144" s="60"/>
      <c r="N144" s="60"/>
      <c r="O144" s="60"/>
      <c r="P144" s="60"/>
      <c r="Q144" s="60"/>
      <c r="R144" s="60">
        <f>V144</f>
        <v>235662.1</v>
      </c>
      <c r="S144" s="60"/>
      <c r="T144" s="60"/>
      <c r="U144" s="60"/>
      <c r="V144" s="60">
        <f>'Подробный перечень (ОБ)'!$K$52</f>
        <v>235662.1</v>
      </c>
      <c r="W144" s="60">
        <v>0</v>
      </c>
      <c r="X144" s="60"/>
      <c r="Y144" s="879"/>
      <c r="Z144" s="885"/>
    </row>
    <row r="145" spans="1:27" s="74" customFormat="1">
      <c r="A145" s="882"/>
      <c r="B145" s="810" t="s">
        <v>837</v>
      </c>
      <c r="C145" s="816">
        <v>176</v>
      </c>
      <c r="D145" s="296" t="s">
        <v>487</v>
      </c>
      <c r="E145" s="296" t="s">
        <v>488</v>
      </c>
      <c r="F145" s="816">
        <v>6100102770</v>
      </c>
      <c r="G145" s="816">
        <v>414</v>
      </c>
      <c r="H145" s="16"/>
      <c r="I145" s="16"/>
      <c r="J145" s="16"/>
      <c r="K145" s="16"/>
      <c r="L145" s="16"/>
      <c r="M145" s="66"/>
      <c r="N145" s="66"/>
      <c r="O145" s="66"/>
      <c r="P145" s="66"/>
      <c r="Q145" s="66"/>
      <c r="R145" s="66">
        <f>S145+T145+U145+V145</f>
        <v>76658</v>
      </c>
      <c r="S145" s="66"/>
      <c r="T145" s="66"/>
      <c r="U145" s="66">
        <f>'Подробный перечень (ОБ)'!$J$51</f>
        <v>0</v>
      </c>
      <c r="V145" s="66">
        <f>'Подробный перечень (ОБ)'!$K$51-V143</f>
        <v>76658</v>
      </c>
      <c r="W145" s="66">
        <f>('Подробный перечень (ОБ)'!$L$51)-W143</f>
        <v>25444.6</v>
      </c>
      <c r="X145" s="66"/>
      <c r="Y145" s="879"/>
      <c r="Z145" s="885"/>
      <c r="AA145" s="472"/>
    </row>
    <row r="146" spans="1:27" ht="15" hidden="1" customHeight="1">
      <c r="A146" s="13"/>
      <c r="B146" s="535" t="s">
        <v>332</v>
      </c>
      <c r="C146" s="808">
        <v>176</v>
      </c>
      <c r="D146" s="294" t="s">
        <v>487</v>
      </c>
      <c r="E146" s="294" t="s">
        <v>488</v>
      </c>
      <c r="F146" s="808" t="s">
        <v>263</v>
      </c>
      <c r="G146" s="808">
        <v>414</v>
      </c>
      <c r="H146" s="22" t="e">
        <f>SUM(I146:L146)</f>
        <v>#REF!</v>
      </c>
      <c r="I146" s="22" t="e">
        <f>#REF!</f>
        <v>#REF!</v>
      </c>
      <c r="J146" s="22" t="e">
        <f>#REF!</f>
        <v>#REF!</v>
      </c>
      <c r="K146" s="22" t="e">
        <f>#REF!</f>
        <v>#REF!</v>
      </c>
      <c r="L146" s="22" t="e">
        <f>#REF!</f>
        <v>#REF!</v>
      </c>
      <c r="M146" s="60"/>
      <c r="N146" s="60"/>
      <c r="O146" s="60"/>
      <c r="P146" s="60"/>
      <c r="Q146" s="60"/>
      <c r="R146" s="60"/>
      <c r="S146" s="60"/>
      <c r="T146" s="60"/>
      <c r="U146" s="60">
        <f>'Подробный перечень(БКАД)'!$J$95</f>
        <v>0</v>
      </c>
      <c r="V146" s="60"/>
      <c r="W146" s="60"/>
      <c r="X146" s="60"/>
      <c r="Y146" s="879"/>
      <c r="Z146" s="885"/>
    </row>
    <row r="147" spans="1:27">
      <c r="A147" s="564" t="s">
        <v>46</v>
      </c>
      <c r="B147" s="535" t="s">
        <v>332</v>
      </c>
      <c r="C147" s="808">
        <v>176</v>
      </c>
      <c r="D147" s="294" t="s">
        <v>487</v>
      </c>
      <c r="E147" s="294" t="s">
        <v>488</v>
      </c>
      <c r="F147" s="808">
        <v>6100102770</v>
      </c>
      <c r="G147" s="808">
        <v>414</v>
      </c>
      <c r="H147" s="22"/>
      <c r="I147" s="22"/>
      <c r="J147" s="22"/>
      <c r="K147" s="22"/>
      <c r="L147" s="22"/>
      <c r="M147" s="60"/>
      <c r="N147" s="60"/>
      <c r="O147" s="60"/>
      <c r="P147" s="60"/>
      <c r="Q147" s="60"/>
      <c r="R147" s="60">
        <f>'Подробный перечень (ОБ)'!G87</f>
        <v>2093.1999999999998</v>
      </c>
      <c r="S147" s="61"/>
      <c r="T147" s="61"/>
      <c r="U147" s="61">
        <v>0</v>
      </c>
      <c r="V147" s="61">
        <f>'Подробный перечень (ОБ)'!$K$87</f>
        <v>2093.1999999999998</v>
      </c>
      <c r="W147" s="61">
        <f>'Подробный перечень (ОБ)'!$L$87</f>
        <v>3847.6000000000004</v>
      </c>
      <c r="X147" s="60">
        <f>X148+X149+X150</f>
        <v>437000</v>
      </c>
      <c r="Y147" s="879"/>
      <c r="Z147" s="885"/>
    </row>
    <row r="148" spans="1:27">
      <c r="A148" s="564"/>
      <c r="B148" s="535" t="s">
        <v>837</v>
      </c>
      <c r="C148" s="808">
        <v>176</v>
      </c>
      <c r="D148" s="294" t="s">
        <v>487</v>
      </c>
      <c r="E148" s="294" t="s">
        <v>488</v>
      </c>
      <c r="F148" s="808">
        <v>6100102770</v>
      </c>
      <c r="G148" s="808">
        <v>414</v>
      </c>
      <c r="H148" s="22"/>
      <c r="I148" s="22"/>
      <c r="J148" s="22"/>
      <c r="K148" s="22"/>
      <c r="L148" s="22"/>
      <c r="M148" s="60"/>
      <c r="N148" s="60"/>
      <c r="O148" s="60"/>
      <c r="P148" s="60"/>
      <c r="Q148" s="60"/>
      <c r="R148" s="60">
        <f>V148</f>
        <v>2093.1999999999998</v>
      </c>
      <c r="S148" s="61"/>
      <c r="T148" s="61"/>
      <c r="U148" s="61">
        <v>0</v>
      </c>
      <c r="V148" s="61">
        <f>'Подробный перечень (ОБ)'!$K$87</f>
        <v>2093.1999999999998</v>
      </c>
      <c r="W148" s="61">
        <f>'Подробный перечень (ОБ)'!$L$87</f>
        <v>3847.6000000000004</v>
      </c>
      <c r="X148" s="60">
        <f>'Подробный перечень (ОБ)'!$M$87-X149</f>
        <v>70232.599999999977</v>
      </c>
      <c r="Y148" s="879"/>
      <c r="Z148" s="885"/>
    </row>
    <row r="149" spans="1:27">
      <c r="A149" s="564"/>
      <c r="B149" s="535" t="s">
        <v>910</v>
      </c>
      <c r="C149" s="808">
        <v>176</v>
      </c>
      <c r="D149" s="294" t="s">
        <v>487</v>
      </c>
      <c r="E149" s="294" t="s">
        <v>488</v>
      </c>
      <c r="F149" s="808" t="s">
        <v>909</v>
      </c>
      <c r="G149" s="808">
        <v>414</v>
      </c>
      <c r="H149" s="22"/>
      <c r="I149" s="22"/>
      <c r="J149" s="22"/>
      <c r="K149" s="22"/>
      <c r="L149" s="22"/>
      <c r="M149" s="60"/>
      <c r="N149" s="60"/>
      <c r="O149" s="60"/>
      <c r="P149" s="60"/>
      <c r="Q149" s="60"/>
      <c r="R149" s="60"/>
      <c r="S149" s="61"/>
      <c r="T149" s="61"/>
      <c r="U149" s="61"/>
      <c r="V149" s="61"/>
      <c r="W149" s="61"/>
      <c r="X149" s="60">
        <f>'Подробный перечень (ОБ)'!$M$95</f>
        <v>257000</v>
      </c>
      <c r="Y149" s="879"/>
      <c r="Z149" s="885"/>
    </row>
    <row r="150" spans="1:27">
      <c r="A150" s="564"/>
      <c r="B150" s="535" t="s">
        <v>911</v>
      </c>
      <c r="C150" s="808">
        <v>176</v>
      </c>
      <c r="D150" s="294" t="s">
        <v>487</v>
      </c>
      <c r="E150" s="294" t="s">
        <v>488</v>
      </c>
      <c r="F150" s="808" t="s">
        <v>909</v>
      </c>
      <c r="G150" s="808">
        <v>414</v>
      </c>
      <c r="H150" s="22"/>
      <c r="I150" s="22"/>
      <c r="J150" s="22"/>
      <c r="K150" s="22"/>
      <c r="L150" s="22"/>
      <c r="M150" s="60"/>
      <c r="N150" s="60"/>
      <c r="O150" s="60"/>
      <c r="P150" s="60"/>
      <c r="Q150" s="60"/>
      <c r="R150" s="60"/>
      <c r="S150" s="61"/>
      <c r="T150" s="61"/>
      <c r="U150" s="61"/>
      <c r="V150" s="61"/>
      <c r="W150" s="61"/>
      <c r="X150" s="60">
        <f>'Подробный перечень (ОБ)'!$M$97</f>
        <v>109767.4</v>
      </c>
      <c r="Y150" s="879"/>
      <c r="Z150" s="885"/>
    </row>
    <row r="151" spans="1:27" ht="20.25" customHeight="1">
      <c r="A151" s="12" t="s">
        <v>47</v>
      </c>
      <c r="B151" s="535" t="s">
        <v>247</v>
      </c>
      <c r="C151" s="808">
        <v>176</v>
      </c>
      <c r="D151" s="294" t="s">
        <v>487</v>
      </c>
      <c r="E151" s="294" t="s">
        <v>488</v>
      </c>
      <c r="F151" s="808">
        <v>6100102770</v>
      </c>
      <c r="G151" s="808">
        <v>414</v>
      </c>
      <c r="H151" s="22">
        <f>SUM(I151:L151)</f>
        <v>0</v>
      </c>
      <c r="I151" s="22"/>
      <c r="J151" s="22"/>
      <c r="K151" s="22"/>
      <c r="L151" s="22"/>
      <c r="M151" s="60"/>
      <c r="N151" s="60"/>
      <c r="O151" s="60"/>
      <c r="P151" s="60"/>
      <c r="Q151" s="60"/>
      <c r="R151" s="60"/>
      <c r="S151" s="61"/>
      <c r="T151" s="61"/>
      <c r="U151" s="61"/>
      <c r="V151" s="61"/>
      <c r="W151" s="61"/>
      <c r="X151" s="60"/>
      <c r="Y151" s="879"/>
      <c r="Z151" s="885"/>
    </row>
    <row r="152" spans="1:27">
      <c r="A152" s="565" t="s">
        <v>48</v>
      </c>
      <c r="B152" s="535" t="s">
        <v>331</v>
      </c>
      <c r="C152" s="808">
        <v>176</v>
      </c>
      <c r="D152" s="294" t="s">
        <v>487</v>
      </c>
      <c r="E152" s="294" t="s">
        <v>488</v>
      </c>
      <c r="F152" s="808">
        <v>6100102770</v>
      </c>
      <c r="G152" s="808">
        <v>414</v>
      </c>
      <c r="H152" s="22" t="e">
        <f>SUM(I152:L152)</f>
        <v>#REF!</v>
      </c>
      <c r="I152" s="22" t="e">
        <f>#REF!</f>
        <v>#REF!</v>
      </c>
      <c r="J152" s="22" t="e">
        <f>#REF!</f>
        <v>#REF!</v>
      </c>
      <c r="K152" s="22" t="e">
        <f>#REF!</f>
        <v>#REF!</v>
      </c>
      <c r="L152" s="22" t="e">
        <f>#REF!</f>
        <v>#REF!</v>
      </c>
      <c r="M152" s="60" t="e">
        <f>'Подробный перечень(БКАД)'!#REF!</f>
        <v>#REF!</v>
      </c>
      <c r="N152" s="60"/>
      <c r="O152" s="60"/>
      <c r="P152" s="60"/>
      <c r="Q152" s="60" t="e">
        <f>'Подробный перечень(БКАД)'!#REF!</f>
        <v>#REF!</v>
      </c>
      <c r="R152" s="60">
        <f>'Подробный перечень (ОБ)'!G104</f>
        <v>56735</v>
      </c>
      <c r="S152" s="60"/>
      <c r="T152" s="60"/>
      <c r="U152" s="60"/>
      <c r="V152" s="60">
        <f>'Подробный перечень (ОБ)'!$K$104</f>
        <v>56735</v>
      </c>
      <c r="W152" s="60">
        <f>'Подробный перечень (ОБ)'!$L$104</f>
        <v>8500</v>
      </c>
      <c r="X152" s="60">
        <f>'Подробный перечень (ОБ)'!$M$104</f>
        <v>0</v>
      </c>
      <c r="Y152" s="879"/>
      <c r="Z152" s="885"/>
    </row>
    <row r="153" spans="1:27" ht="15" hidden="1" customHeight="1">
      <c r="A153" s="881" t="s">
        <v>800</v>
      </c>
      <c r="B153" s="826" t="s">
        <v>89</v>
      </c>
      <c r="C153" s="808"/>
      <c r="D153" s="294"/>
      <c r="E153" s="294"/>
      <c r="F153" s="808"/>
      <c r="G153" s="808"/>
      <c r="H153" s="22"/>
      <c r="I153" s="22"/>
      <c r="J153" s="22"/>
      <c r="K153" s="22"/>
      <c r="L153" s="22"/>
      <c r="M153" s="60"/>
      <c r="N153" s="60"/>
      <c r="O153" s="60"/>
      <c r="P153" s="60"/>
      <c r="Q153" s="60"/>
      <c r="R153" s="60"/>
      <c r="S153" s="60"/>
      <c r="T153" s="60"/>
      <c r="U153" s="60"/>
      <c r="V153" s="60"/>
      <c r="W153" s="60"/>
      <c r="X153" s="48">
        <v>12.8</v>
      </c>
      <c r="Y153" s="879"/>
      <c r="Z153" s="885"/>
    </row>
    <row r="154" spans="1:27">
      <c r="A154" s="882"/>
      <c r="B154" s="535" t="s">
        <v>332</v>
      </c>
      <c r="C154" s="808">
        <v>176</v>
      </c>
      <c r="D154" s="294" t="s">
        <v>487</v>
      </c>
      <c r="E154" s="294" t="s">
        <v>488</v>
      </c>
      <c r="F154" s="808" t="s">
        <v>838</v>
      </c>
      <c r="G154" s="808">
        <v>414</v>
      </c>
      <c r="H154" s="22" t="e">
        <f>SUM(I154:L154)</f>
        <v>#REF!</v>
      </c>
      <c r="I154" s="22" t="e">
        <f>#REF!</f>
        <v>#REF!</v>
      </c>
      <c r="J154" s="22" t="e">
        <f>#REF!</f>
        <v>#REF!</v>
      </c>
      <c r="K154" s="22" t="e">
        <f>#REF!</f>
        <v>#REF!</v>
      </c>
      <c r="L154" s="22" t="e">
        <f>#REF!</f>
        <v>#REF!</v>
      </c>
      <c r="M154" s="60" t="e">
        <f>'Подробный перечень(БКАД)'!#REF!</f>
        <v>#REF!</v>
      </c>
      <c r="N154" s="60"/>
      <c r="O154" s="60"/>
      <c r="P154" s="60" t="e">
        <f>'Подробный перечень(БКАД)'!#REF!</f>
        <v>#REF!</v>
      </c>
      <c r="Q154" s="60"/>
      <c r="R154" s="60">
        <f t="shared" ref="R154:X154" si="13">R155+R156+R157</f>
        <v>5601.5</v>
      </c>
      <c r="S154" s="60">
        <f t="shared" si="13"/>
        <v>0</v>
      </c>
      <c r="T154" s="60">
        <f t="shared" si="13"/>
        <v>0</v>
      </c>
      <c r="U154" s="60">
        <f t="shared" si="13"/>
        <v>0</v>
      </c>
      <c r="V154" s="60">
        <f t="shared" si="13"/>
        <v>5601.5</v>
      </c>
      <c r="W154" s="60">
        <f t="shared" si="13"/>
        <v>303409.30000000005</v>
      </c>
      <c r="X154" s="60">
        <f t="shared" si="13"/>
        <v>50000</v>
      </c>
      <c r="Y154" s="879"/>
      <c r="Z154" s="885"/>
    </row>
    <row r="155" spans="1:27">
      <c r="A155" s="882"/>
      <c r="B155" s="535" t="s">
        <v>837</v>
      </c>
      <c r="C155" s="808">
        <v>176</v>
      </c>
      <c r="D155" s="294" t="s">
        <v>487</v>
      </c>
      <c r="E155" s="294" t="s">
        <v>488</v>
      </c>
      <c r="F155" s="808">
        <v>6100102770</v>
      </c>
      <c r="G155" s="808">
        <v>414</v>
      </c>
      <c r="H155" s="22"/>
      <c r="I155" s="22"/>
      <c r="J155" s="22"/>
      <c r="K155" s="22"/>
      <c r="L155" s="22"/>
      <c r="M155" s="60"/>
      <c r="N155" s="60"/>
      <c r="O155" s="60"/>
      <c r="P155" s="60"/>
      <c r="Q155" s="60"/>
      <c r="R155" s="60">
        <f>V155</f>
        <v>5601.5</v>
      </c>
      <c r="S155" s="61"/>
      <c r="T155" s="61"/>
      <c r="U155" s="61"/>
      <c r="V155" s="61">
        <f>'Подробный перечень (ОБ)'!$K$132</f>
        <v>5601.5</v>
      </c>
      <c r="W155" s="61">
        <f>'Подробный перечень (ОБ)'!$L$132-W156</f>
        <v>20250</v>
      </c>
      <c r="X155" s="60">
        <f>'Подробный перечень (ОБ)'!$M$141</f>
        <v>50000</v>
      </c>
      <c r="Y155" s="879"/>
      <c r="Z155" s="885"/>
    </row>
    <row r="156" spans="1:27">
      <c r="A156" s="882"/>
      <c r="B156" s="535" t="s">
        <v>739</v>
      </c>
      <c r="C156" s="808">
        <v>176</v>
      </c>
      <c r="D156" s="294" t="s">
        <v>487</v>
      </c>
      <c r="E156" s="294" t="s">
        <v>488</v>
      </c>
      <c r="F156" s="808" t="s">
        <v>909</v>
      </c>
      <c r="G156" s="808">
        <v>414</v>
      </c>
      <c r="H156" s="22"/>
      <c r="I156" s="22"/>
      <c r="J156" s="22"/>
      <c r="K156" s="22"/>
      <c r="L156" s="22"/>
      <c r="M156" s="60"/>
      <c r="N156" s="60"/>
      <c r="O156" s="60"/>
      <c r="P156" s="60"/>
      <c r="Q156" s="60"/>
      <c r="R156" s="60"/>
      <c r="S156" s="61"/>
      <c r="T156" s="61"/>
      <c r="U156" s="61"/>
      <c r="V156" s="61"/>
      <c r="W156" s="61">
        <f>'Подробный перечень (ОБ)'!$L$137</f>
        <v>177869.2</v>
      </c>
      <c r="X156" s="60">
        <v>0</v>
      </c>
      <c r="Y156" s="879"/>
      <c r="Z156" s="885"/>
    </row>
    <row r="157" spans="1:27" ht="18" customHeight="1">
      <c r="A157" s="883"/>
      <c r="B157" s="535" t="s">
        <v>740</v>
      </c>
      <c r="C157" s="808">
        <v>176</v>
      </c>
      <c r="D157" s="294" t="s">
        <v>487</v>
      </c>
      <c r="E157" s="294" t="s">
        <v>488</v>
      </c>
      <c r="F157" s="808" t="s">
        <v>909</v>
      </c>
      <c r="G157" s="808">
        <v>414</v>
      </c>
      <c r="H157" s="22"/>
      <c r="I157" s="22"/>
      <c r="J157" s="22"/>
      <c r="K157" s="22"/>
      <c r="L157" s="22"/>
      <c r="M157" s="60"/>
      <c r="N157" s="60"/>
      <c r="O157" s="60"/>
      <c r="P157" s="60"/>
      <c r="Q157" s="60"/>
      <c r="R157" s="60"/>
      <c r="S157" s="61"/>
      <c r="T157" s="61"/>
      <c r="U157" s="61"/>
      <c r="V157" s="61"/>
      <c r="W157" s="61">
        <f>'Подробный перечень (ОБ)'!$L$138</f>
        <v>105290.1</v>
      </c>
      <c r="X157" s="60">
        <f>'Подробный перечень (ОБ)'!$M$142</f>
        <v>0</v>
      </c>
      <c r="Y157" s="880"/>
      <c r="Z157" s="885"/>
    </row>
    <row r="158" spans="1:27" ht="18" customHeight="1">
      <c r="A158" s="565" t="s">
        <v>50</v>
      </c>
      <c r="B158" s="535" t="s">
        <v>331</v>
      </c>
      <c r="C158" s="808">
        <v>176</v>
      </c>
      <c r="D158" s="294" t="s">
        <v>487</v>
      </c>
      <c r="E158" s="294" t="s">
        <v>488</v>
      </c>
      <c r="F158" s="808">
        <v>6100102770</v>
      </c>
      <c r="G158" s="808">
        <v>414</v>
      </c>
      <c r="H158" s="22">
        <f t="shared" ref="H158:H167" si="14">SUM(I158:L158)</f>
        <v>0</v>
      </c>
      <c r="I158" s="22"/>
      <c r="J158" s="22"/>
      <c r="K158" s="22"/>
      <c r="L158" s="22"/>
      <c r="M158" s="60"/>
      <c r="N158" s="60"/>
      <c r="O158" s="60"/>
      <c r="P158" s="60"/>
      <c r="Q158" s="60"/>
      <c r="R158" s="60">
        <f>V158</f>
        <v>611.5</v>
      </c>
      <c r="S158" s="61"/>
      <c r="T158" s="61"/>
      <c r="U158" s="61"/>
      <c r="V158" s="61">
        <f>'Подробный перечень (ОБ)'!$K$145</f>
        <v>611.5</v>
      </c>
      <c r="W158" s="61"/>
      <c r="X158" s="60"/>
      <c r="Y158" s="807"/>
      <c r="Z158" s="885"/>
    </row>
    <row r="159" spans="1:27" ht="18" hidden="1" customHeight="1">
      <c r="A159" s="12" t="s">
        <v>51</v>
      </c>
      <c r="B159" s="535" t="s">
        <v>331</v>
      </c>
      <c r="C159" s="808">
        <v>176</v>
      </c>
      <c r="D159" s="294" t="s">
        <v>487</v>
      </c>
      <c r="E159" s="294" t="s">
        <v>488</v>
      </c>
      <c r="F159" s="808">
        <v>6100102770</v>
      </c>
      <c r="G159" s="808">
        <v>414</v>
      </c>
      <c r="H159" s="22" t="e">
        <f t="shared" si="14"/>
        <v>#REF!</v>
      </c>
      <c r="I159" s="22" t="e">
        <f>#REF!</f>
        <v>#REF!</v>
      </c>
      <c r="J159" s="22" t="e">
        <f>#REF!</f>
        <v>#REF!</v>
      </c>
      <c r="K159" s="22" t="e">
        <f>#REF!</f>
        <v>#REF!</v>
      </c>
      <c r="L159" s="22" t="e">
        <f>#REF!</f>
        <v>#REF!</v>
      </c>
      <c r="M159" s="60"/>
      <c r="N159" s="60"/>
      <c r="O159" s="60"/>
      <c r="P159" s="60"/>
      <c r="Q159" s="60"/>
      <c r="R159" s="60"/>
      <c r="S159" s="60"/>
      <c r="T159" s="60"/>
      <c r="U159" s="60"/>
      <c r="V159" s="60"/>
      <c r="W159" s="60"/>
      <c r="X159" s="60"/>
      <c r="Y159" s="22"/>
      <c r="Z159" s="885"/>
    </row>
    <row r="160" spans="1:27" ht="18" customHeight="1">
      <c r="A160" s="565" t="s">
        <v>52</v>
      </c>
      <c r="B160" s="535" t="s">
        <v>331</v>
      </c>
      <c r="C160" s="808">
        <v>176</v>
      </c>
      <c r="D160" s="294" t="s">
        <v>487</v>
      </c>
      <c r="E160" s="294" t="s">
        <v>488</v>
      </c>
      <c r="F160" s="808">
        <v>6100102770</v>
      </c>
      <c r="G160" s="808">
        <v>414</v>
      </c>
      <c r="H160" s="22" t="e">
        <f t="shared" si="14"/>
        <v>#REF!</v>
      </c>
      <c r="I160" s="22" t="e">
        <f>#REF!</f>
        <v>#REF!</v>
      </c>
      <c r="J160" s="22" t="e">
        <f>#REF!</f>
        <v>#REF!</v>
      </c>
      <c r="K160" s="22" t="e">
        <f>#REF!</f>
        <v>#REF!</v>
      </c>
      <c r="L160" s="22" t="e">
        <f>#REF!</f>
        <v>#REF!</v>
      </c>
      <c r="M160" s="60" t="e">
        <f>'Подробный перечень(БКАД)'!#REF!</f>
        <v>#REF!</v>
      </c>
      <c r="N160" s="60" t="e">
        <f>'Подробный перечень(БКАД)'!#REF!</f>
        <v>#REF!</v>
      </c>
      <c r="O160" s="60" t="e">
        <f>'Подробный перечень(БКАД)'!#REF!</f>
        <v>#REF!</v>
      </c>
      <c r="P160" s="60" t="e">
        <f>'Подробный перечень(БКАД)'!#REF!</f>
        <v>#REF!</v>
      </c>
      <c r="Q160" s="60" t="e">
        <f>'Подробный перечень(БКАД)'!#REF!</f>
        <v>#REF!</v>
      </c>
      <c r="R160" s="60">
        <f t="shared" ref="R160:R167" si="15">V160</f>
        <v>50562.3</v>
      </c>
      <c r="S160" s="60"/>
      <c r="T160" s="60"/>
      <c r="U160" s="60"/>
      <c r="V160" s="60">
        <f>'Подробный перечень (ОБ)'!$K$164</f>
        <v>50562.3</v>
      </c>
      <c r="W160" s="60">
        <f>'Подробный перечень (ОБ)'!$L$164</f>
        <v>1091.5999999999999</v>
      </c>
      <c r="X160" s="60"/>
      <c r="Y160" s="807"/>
      <c r="Z160" s="885"/>
    </row>
    <row r="161" spans="1:26" ht="17.45" hidden="1" customHeight="1">
      <c r="A161" s="12" t="s">
        <v>53</v>
      </c>
      <c r="B161" s="535" t="s">
        <v>331</v>
      </c>
      <c r="C161" s="808">
        <v>176</v>
      </c>
      <c r="D161" s="294" t="s">
        <v>487</v>
      </c>
      <c r="E161" s="294" t="s">
        <v>488</v>
      </c>
      <c r="F161" s="808">
        <v>6100102770</v>
      </c>
      <c r="G161" s="808">
        <v>414</v>
      </c>
      <c r="H161" s="22">
        <f t="shared" si="14"/>
        <v>0</v>
      </c>
      <c r="I161" s="22"/>
      <c r="J161" s="22"/>
      <c r="K161" s="22"/>
      <c r="L161" s="22"/>
      <c r="M161" s="60"/>
      <c r="N161" s="60"/>
      <c r="O161" s="60"/>
      <c r="P161" s="60"/>
      <c r="Q161" s="60"/>
      <c r="R161" s="60">
        <f t="shared" si="15"/>
        <v>0</v>
      </c>
      <c r="S161" s="61"/>
      <c r="T161" s="61"/>
      <c r="U161" s="61"/>
      <c r="V161" s="61"/>
      <c r="W161" s="61"/>
      <c r="X161" s="60"/>
      <c r="Y161" s="807"/>
      <c r="Z161" s="885"/>
    </row>
    <row r="162" spans="1:26" ht="17.45" customHeight="1">
      <c r="A162" s="565" t="s">
        <v>54</v>
      </c>
      <c r="B162" s="535" t="s">
        <v>331</v>
      </c>
      <c r="C162" s="808">
        <v>176</v>
      </c>
      <c r="D162" s="294" t="s">
        <v>487</v>
      </c>
      <c r="E162" s="294" t="s">
        <v>488</v>
      </c>
      <c r="F162" s="808">
        <v>6100102770</v>
      </c>
      <c r="G162" s="808">
        <v>414</v>
      </c>
      <c r="H162" s="22" t="e">
        <f t="shared" si="14"/>
        <v>#REF!</v>
      </c>
      <c r="I162" s="22" t="e">
        <f>#REF!</f>
        <v>#REF!</v>
      </c>
      <c r="J162" s="22" t="e">
        <f>#REF!</f>
        <v>#REF!</v>
      </c>
      <c r="K162" s="22" t="e">
        <f>#REF!</f>
        <v>#REF!</v>
      </c>
      <c r="L162" s="22" t="e">
        <f>#REF!</f>
        <v>#REF!</v>
      </c>
      <c r="M162" s="60"/>
      <c r="N162" s="60"/>
      <c r="O162" s="60"/>
      <c r="P162" s="60"/>
      <c r="Q162" s="60"/>
      <c r="R162" s="60">
        <f t="shared" si="15"/>
        <v>8980.7000000000007</v>
      </c>
      <c r="S162" s="60"/>
      <c r="T162" s="60"/>
      <c r="U162" s="60"/>
      <c r="V162" s="60">
        <f>'Подробный перечень (ОБ)'!$K$180</f>
        <v>8980.7000000000007</v>
      </c>
      <c r="W162" s="60">
        <f>'Подробный перечень (ОБ)'!L$180</f>
        <v>4006.6</v>
      </c>
      <c r="X162" s="60">
        <f>'Подробный перечень (ОБ)'!$M$180</f>
        <v>0</v>
      </c>
      <c r="Y162" s="807"/>
      <c r="Z162" s="885"/>
    </row>
    <row r="163" spans="1:26" ht="17.45" customHeight="1">
      <c r="A163" s="565" t="s">
        <v>55</v>
      </c>
      <c r="B163" s="535" t="s">
        <v>331</v>
      </c>
      <c r="C163" s="808">
        <v>176</v>
      </c>
      <c r="D163" s="294" t="s">
        <v>487</v>
      </c>
      <c r="E163" s="294" t="s">
        <v>488</v>
      </c>
      <c r="F163" s="808">
        <v>6100102770</v>
      </c>
      <c r="G163" s="808">
        <v>414</v>
      </c>
      <c r="H163" s="22" t="e">
        <f t="shared" si="14"/>
        <v>#REF!</v>
      </c>
      <c r="I163" s="22" t="e">
        <f>#REF!</f>
        <v>#REF!</v>
      </c>
      <c r="J163" s="22" t="e">
        <f>#REF!</f>
        <v>#REF!</v>
      </c>
      <c r="K163" s="22" t="e">
        <f>#REF!</f>
        <v>#REF!</v>
      </c>
      <c r="L163" s="22" t="e">
        <f>#REF!</f>
        <v>#REF!</v>
      </c>
      <c r="M163" s="60"/>
      <c r="N163" s="60"/>
      <c r="O163" s="60"/>
      <c r="P163" s="60"/>
      <c r="Q163" s="60"/>
      <c r="R163" s="60">
        <f t="shared" si="15"/>
        <v>100</v>
      </c>
      <c r="S163" s="60"/>
      <c r="T163" s="60"/>
      <c r="U163" s="60"/>
      <c r="V163" s="60">
        <f>'Подробный перечень (ОБ)'!$K$200</f>
        <v>100</v>
      </c>
      <c r="W163" s="60">
        <f>'Подробный перечень (ОБ)'!$L$200</f>
        <v>0</v>
      </c>
      <c r="X163" s="60">
        <f>'Подробный перечень (ОБ)'!$M$200</f>
        <v>10000</v>
      </c>
      <c r="Y163" s="807"/>
      <c r="Z163" s="885"/>
    </row>
    <row r="164" spans="1:26" ht="17.45" customHeight="1">
      <c r="A164" s="565" t="s">
        <v>56</v>
      </c>
      <c r="B164" s="535" t="s">
        <v>331</v>
      </c>
      <c r="C164" s="808">
        <v>176</v>
      </c>
      <c r="D164" s="294" t="s">
        <v>487</v>
      </c>
      <c r="E164" s="294" t="s">
        <v>488</v>
      </c>
      <c r="F164" s="808">
        <v>6100102770</v>
      </c>
      <c r="G164" s="808">
        <v>414</v>
      </c>
      <c r="H164" s="22" t="e">
        <f t="shared" si="14"/>
        <v>#REF!</v>
      </c>
      <c r="I164" s="22" t="e">
        <f>#REF!</f>
        <v>#REF!</v>
      </c>
      <c r="J164" s="22" t="e">
        <f>#REF!</f>
        <v>#REF!</v>
      </c>
      <c r="K164" s="22" t="e">
        <f>#REF!</f>
        <v>#REF!</v>
      </c>
      <c r="L164" s="22" t="e">
        <f>#REF!</f>
        <v>#REF!</v>
      </c>
      <c r="M164" s="60" t="e">
        <f>'Подробный перечень(БКАД)'!#REF!</f>
        <v>#REF!</v>
      </c>
      <c r="N164" s="60" t="e">
        <f>'Подробный перечень(БКАД)'!#REF!</f>
        <v>#REF!</v>
      </c>
      <c r="O164" s="60" t="e">
        <f>'Подробный перечень(БКАД)'!#REF!</f>
        <v>#REF!</v>
      </c>
      <c r="P164" s="60" t="e">
        <f>'Подробный перечень(БКАД)'!#REF!</f>
        <v>#REF!</v>
      </c>
      <c r="Q164" s="60" t="e">
        <f>'Подробный перечень(БКАД)'!#REF!</f>
        <v>#REF!</v>
      </c>
      <c r="R164" s="60">
        <f t="shared" si="15"/>
        <v>2819.5</v>
      </c>
      <c r="S164" s="60"/>
      <c r="T164" s="60"/>
      <c r="U164" s="60"/>
      <c r="V164" s="60">
        <f>'Подробный перечень (ОБ)'!$K$211</f>
        <v>2819.5</v>
      </c>
      <c r="W164" s="60">
        <f>'Подробный перечень (ОБ)'!$L$211</f>
        <v>12020</v>
      </c>
      <c r="X164" s="60">
        <f>'Подробный перечень (ОБ)'!$M$211</f>
        <v>35000</v>
      </c>
      <c r="Y164" s="807"/>
      <c r="Z164" s="885"/>
    </row>
    <row r="165" spans="1:26" ht="17.45" hidden="1" customHeight="1">
      <c r="A165" s="12" t="s">
        <v>57</v>
      </c>
      <c r="B165" s="535" t="s">
        <v>331</v>
      </c>
      <c r="C165" s="808">
        <v>176</v>
      </c>
      <c r="D165" s="294" t="s">
        <v>487</v>
      </c>
      <c r="E165" s="294" t="s">
        <v>488</v>
      </c>
      <c r="F165" s="808">
        <v>6100102770</v>
      </c>
      <c r="G165" s="808">
        <v>414</v>
      </c>
      <c r="H165" s="22" t="e">
        <f t="shared" si="14"/>
        <v>#REF!</v>
      </c>
      <c r="I165" s="22" t="e">
        <f>#REF!</f>
        <v>#REF!</v>
      </c>
      <c r="J165" s="22" t="e">
        <f>#REF!</f>
        <v>#REF!</v>
      </c>
      <c r="K165" s="22" t="e">
        <f>#REF!</f>
        <v>#REF!</v>
      </c>
      <c r="L165" s="22" t="e">
        <f>#REF!</f>
        <v>#REF!</v>
      </c>
      <c r="M165" s="60"/>
      <c r="N165" s="60"/>
      <c r="O165" s="60"/>
      <c r="P165" s="60"/>
      <c r="Q165" s="60"/>
      <c r="R165" s="60">
        <f t="shared" si="15"/>
        <v>0</v>
      </c>
      <c r="S165" s="60"/>
      <c r="T165" s="60"/>
      <c r="U165" s="60"/>
      <c r="V165" s="60"/>
      <c r="W165" s="60"/>
      <c r="X165" s="60"/>
      <c r="Y165" s="807"/>
      <c r="Z165" s="885"/>
    </row>
    <row r="166" spans="1:26" ht="17.45" customHeight="1">
      <c r="A166" s="565" t="s">
        <v>58</v>
      </c>
      <c r="B166" s="535" t="s">
        <v>331</v>
      </c>
      <c r="C166" s="808">
        <v>176</v>
      </c>
      <c r="D166" s="294" t="s">
        <v>487</v>
      </c>
      <c r="E166" s="294" t="s">
        <v>488</v>
      </c>
      <c r="F166" s="808">
        <v>6100102770</v>
      </c>
      <c r="G166" s="808">
        <v>414</v>
      </c>
      <c r="H166" s="22" t="e">
        <f t="shared" si="14"/>
        <v>#REF!</v>
      </c>
      <c r="I166" s="22" t="e">
        <f>#REF!</f>
        <v>#REF!</v>
      </c>
      <c r="J166" s="22" t="e">
        <f>#REF!</f>
        <v>#REF!</v>
      </c>
      <c r="K166" s="22" t="e">
        <f>#REF!</f>
        <v>#REF!</v>
      </c>
      <c r="L166" s="22" t="e">
        <f>#REF!</f>
        <v>#REF!</v>
      </c>
      <c r="M166" s="60"/>
      <c r="N166" s="60"/>
      <c r="O166" s="60"/>
      <c r="P166" s="60"/>
      <c r="Q166" s="60"/>
      <c r="R166" s="60">
        <f t="shared" si="15"/>
        <v>17411</v>
      </c>
      <c r="S166" s="60"/>
      <c r="T166" s="60"/>
      <c r="U166" s="60"/>
      <c r="V166" s="60">
        <f>'Подробный перечень (ОБ)'!$K$244</f>
        <v>17411</v>
      </c>
      <c r="W166" s="60">
        <f>'Подробный перечень (ОБ)'!$L$244</f>
        <v>7000</v>
      </c>
      <c r="X166" s="60"/>
      <c r="Y166" s="807"/>
      <c r="Z166" s="885"/>
    </row>
    <row r="167" spans="1:26" ht="17.45" customHeight="1">
      <c r="A167" s="565" t="s">
        <v>59</v>
      </c>
      <c r="B167" s="535" t="s">
        <v>331</v>
      </c>
      <c r="C167" s="808">
        <v>176</v>
      </c>
      <c r="D167" s="294" t="s">
        <v>487</v>
      </c>
      <c r="E167" s="294" t="s">
        <v>488</v>
      </c>
      <c r="F167" s="808">
        <v>6100102770</v>
      </c>
      <c r="G167" s="808">
        <v>414</v>
      </c>
      <c r="H167" s="22" t="e">
        <f t="shared" si="14"/>
        <v>#REF!</v>
      </c>
      <c r="I167" s="9" t="e">
        <f>#REF!</f>
        <v>#REF!</v>
      </c>
      <c r="J167" s="9" t="e">
        <f>#REF!</f>
        <v>#REF!</v>
      </c>
      <c r="K167" s="9" t="e">
        <f>#REF!</f>
        <v>#REF!</v>
      </c>
      <c r="L167" s="9" t="e">
        <f>#REF!</f>
        <v>#REF!</v>
      </c>
      <c r="M167" s="62"/>
      <c r="N167" s="62"/>
      <c r="O167" s="62"/>
      <c r="P167" s="62"/>
      <c r="Q167" s="62"/>
      <c r="R167" s="60">
        <f t="shared" si="15"/>
        <v>450</v>
      </c>
      <c r="S167" s="62"/>
      <c r="T167" s="62"/>
      <c r="U167" s="62"/>
      <c r="V167" s="62">
        <f>'Подробный перечень (ОБ)'!$K$256</f>
        <v>450</v>
      </c>
      <c r="W167" s="62">
        <f>'Подробный перечень (ОБ)'!$L$256</f>
        <v>50941</v>
      </c>
      <c r="X167" s="60">
        <f>'Подробный перечень (ОБ)'!$M$256</f>
        <v>600000</v>
      </c>
      <c r="Y167" s="808"/>
      <c r="Z167" s="885"/>
    </row>
    <row r="168" spans="1:26" ht="17.45" customHeight="1">
      <c r="A168" s="13" t="s">
        <v>60</v>
      </c>
      <c r="B168" s="535" t="s">
        <v>331</v>
      </c>
      <c r="C168" s="808">
        <v>176</v>
      </c>
      <c r="D168" s="294" t="s">
        <v>487</v>
      </c>
      <c r="E168" s="294" t="s">
        <v>488</v>
      </c>
      <c r="F168" s="808">
        <v>6100102770</v>
      </c>
      <c r="G168" s="808">
        <v>414</v>
      </c>
      <c r="H168" s="22"/>
      <c r="I168" s="9"/>
      <c r="J168" s="9"/>
      <c r="K168" s="9"/>
      <c r="L168" s="9"/>
      <c r="M168" s="62"/>
      <c r="N168" s="62"/>
      <c r="O168" s="62"/>
      <c r="P168" s="62"/>
      <c r="Q168" s="62"/>
      <c r="R168" s="62">
        <f>'Подробный перечень (ОБ)'!G264</f>
        <v>344776.8</v>
      </c>
      <c r="S168" s="62"/>
      <c r="T168" s="62"/>
      <c r="U168" s="62"/>
      <c r="V168" s="62">
        <f>'Подробный перечень (ОБ)'!$K$264</f>
        <v>344776.8</v>
      </c>
      <c r="W168" s="62">
        <f>'Подробный перечень (ОБ)'!$L$264</f>
        <v>209728.09999999998</v>
      </c>
      <c r="X168" s="60">
        <f>'Подробный перечень (ОБ)'!$M$264</f>
        <v>327000</v>
      </c>
      <c r="Y168" s="808"/>
      <c r="Z168" s="885"/>
    </row>
    <row r="169" spans="1:26" ht="17.45" customHeight="1">
      <c r="A169" s="565" t="s">
        <v>61</v>
      </c>
      <c r="B169" s="535" t="s">
        <v>331</v>
      </c>
      <c r="C169" s="808">
        <v>176</v>
      </c>
      <c r="D169" s="294" t="s">
        <v>487</v>
      </c>
      <c r="E169" s="294" t="s">
        <v>488</v>
      </c>
      <c r="F169" s="808">
        <v>6100102770</v>
      </c>
      <c r="G169" s="808">
        <v>414</v>
      </c>
      <c r="H169" s="22" t="e">
        <f t="shared" ref="H169:H174" si="16">SUM(I169:L169)</f>
        <v>#REF!</v>
      </c>
      <c r="I169" s="9" t="e">
        <f>#REF!</f>
        <v>#REF!</v>
      </c>
      <c r="J169" s="9" t="e">
        <f>#REF!</f>
        <v>#REF!</v>
      </c>
      <c r="K169" s="9" t="e">
        <f>#REF!</f>
        <v>#REF!</v>
      </c>
      <c r="L169" s="9" t="e">
        <f>#REF!</f>
        <v>#REF!</v>
      </c>
      <c r="M169" s="62" t="e">
        <f>'Подробный перечень(БКАД)'!#REF!</f>
        <v>#REF!</v>
      </c>
      <c r="N169" s="62"/>
      <c r="O169" s="62"/>
      <c r="P169" s="62"/>
      <c r="Q169" s="62" t="e">
        <f>'Подробный перечень(БКАД)'!#REF!</f>
        <v>#REF!</v>
      </c>
      <c r="R169" s="62">
        <f t="shared" ref="R169:R177" si="17">V169</f>
        <v>200</v>
      </c>
      <c r="S169" s="62"/>
      <c r="T169" s="62"/>
      <c r="U169" s="62"/>
      <c r="V169" s="62">
        <f>'Подробный перечень (ОБ)'!$K$332</f>
        <v>200</v>
      </c>
      <c r="W169" s="62">
        <f>'Подробный перечень (ОБ)'!$L$332</f>
        <v>2000</v>
      </c>
      <c r="X169" s="60">
        <f>'Подробный перечень (ОБ)'!$M$332</f>
        <v>0</v>
      </c>
      <c r="Y169" s="808"/>
      <c r="Z169" s="885"/>
    </row>
    <row r="170" spans="1:26" ht="17.45" customHeight="1">
      <c r="A170" s="565" t="s">
        <v>62</v>
      </c>
      <c r="B170" s="535" t="s">
        <v>331</v>
      </c>
      <c r="C170" s="808">
        <v>176</v>
      </c>
      <c r="D170" s="294" t="s">
        <v>487</v>
      </c>
      <c r="E170" s="294" t="s">
        <v>488</v>
      </c>
      <c r="F170" s="808">
        <v>6100102770</v>
      </c>
      <c r="G170" s="808">
        <v>414</v>
      </c>
      <c r="H170" s="22" t="e">
        <f t="shared" si="16"/>
        <v>#REF!</v>
      </c>
      <c r="I170" s="9" t="e">
        <f>#REF!</f>
        <v>#REF!</v>
      </c>
      <c r="J170" s="9" t="e">
        <f>#REF!</f>
        <v>#REF!</v>
      </c>
      <c r="K170" s="9" t="e">
        <f>#REF!</f>
        <v>#REF!</v>
      </c>
      <c r="L170" s="9" t="e">
        <f>#REF!</f>
        <v>#REF!</v>
      </c>
      <c r="M170" s="62"/>
      <c r="N170" s="62"/>
      <c r="O170" s="62"/>
      <c r="P170" s="62"/>
      <c r="Q170" s="62"/>
      <c r="R170" s="62">
        <f t="shared" si="17"/>
        <v>50</v>
      </c>
      <c r="S170" s="62"/>
      <c r="T170" s="62"/>
      <c r="U170" s="62"/>
      <c r="V170" s="62">
        <f>'Подробный перечень (ОБ)'!$K$352</f>
        <v>50</v>
      </c>
      <c r="W170" s="62">
        <f>'Подробный перечень (ОБ)'!$L$352</f>
        <v>5500</v>
      </c>
      <c r="X170" s="60">
        <f>'Подробный перечень (ОБ)'!$M$352</f>
        <v>0</v>
      </c>
      <c r="Y170" s="808"/>
      <c r="Z170" s="885"/>
    </row>
    <row r="171" spans="1:26" ht="17.45" customHeight="1">
      <c r="A171" s="565" t="s">
        <v>63</v>
      </c>
      <c r="B171" s="535" t="s">
        <v>331</v>
      </c>
      <c r="C171" s="808">
        <v>176</v>
      </c>
      <c r="D171" s="294" t="s">
        <v>487</v>
      </c>
      <c r="E171" s="294" t="s">
        <v>488</v>
      </c>
      <c r="F171" s="808">
        <v>6100102770</v>
      </c>
      <c r="G171" s="808">
        <v>414</v>
      </c>
      <c r="H171" s="22" t="e">
        <f t="shared" si="16"/>
        <v>#REF!</v>
      </c>
      <c r="I171" s="9" t="e">
        <f>#REF!</f>
        <v>#REF!</v>
      </c>
      <c r="J171" s="9" t="e">
        <f>#REF!</f>
        <v>#REF!</v>
      </c>
      <c r="K171" s="9" t="e">
        <f>#REF!</f>
        <v>#REF!</v>
      </c>
      <c r="L171" s="9" t="e">
        <f>#REF!</f>
        <v>#REF!</v>
      </c>
      <c r="M171" s="62" t="e">
        <f>'Подробный перечень(БКАД)'!#REF!</f>
        <v>#REF!</v>
      </c>
      <c r="N171" s="62"/>
      <c r="O171" s="62"/>
      <c r="P171" s="62" t="e">
        <f>'Подробный перечень(БКАД)'!#REF!</f>
        <v>#REF!</v>
      </c>
      <c r="Q171" s="62" t="e">
        <f>'Подробный перечень(БКАД)'!#REF!</f>
        <v>#REF!</v>
      </c>
      <c r="R171" s="62">
        <f t="shared" si="17"/>
        <v>400</v>
      </c>
      <c r="S171" s="62"/>
      <c r="T171" s="62"/>
      <c r="U171" s="62"/>
      <c r="V171" s="62">
        <f>'Подробный перечень (ОБ)'!$K$368</f>
        <v>400</v>
      </c>
      <c r="W171" s="62">
        <f>'Подробный перечень (ОБ)'!$L$368</f>
        <v>0</v>
      </c>
      <c r="X171" s="60"/>
      <c r="Y171" s="808"/>
      <c r="Z171" s="885"/>
    </row>
    <row r="172" spans="1:26" ht="17.45" customHeight="1">
      <c r="A172" s="565" t="s">
        <v>64</v>
      </c>
      <c r="B172" s="535" t="s">
        <v>331</v>
      </c>
      <c r="C172" s="808">
        <v>176</v>
      </c>
      <c r="D172" s="294" t="s">
        <v>487</v>
      </c>
      <c r="E172" s="294" t="s">
        <v>488</v>
      </c>
      <c r="F172" s="808">
        <v>6100102770</v>
      </c>
      <c r="G172" s="808">
        <v>414</v>
      </c>
      <c r="H172" s="22" t="e">
        <f t="shared" si="16"/>
        <v>#REF!</v>
      </c>
      <c r="I172" s="9" t="e">
        <f>#REF!</f>
        <v>#REF!</v>
      </c>
      <c r="J172" s="9" t="e">
        <f>#REF!</f>
        <v>#REF!</v>
      </c>
      <c r="K172" s="9" t="e">
        <f>#REF!</f>
        <v>#REF!</v>
      </c>
      <c r="L172" s="9" t="e">
        <f>#REF!</f>
        <v>#REF!</v>
      </c>
      <c r="M172" s="62" t="e">
        <f>'Подробный перечень(БКАД)'!#REF!</f>
        <v>#REF!</v>
      </c>
      <c r="N172" s="62"/>
      <c r="O172" s="62"/>
      <c r="P172" s="62" t="e">
        <f>'Подробный перечень(БКАД)'!#REF!</f>
        <v>#REF!</v>
      </c>
      <c r="Q172" s="62" t="e">
        <f>'Подробный перечень(БКАД)'!#REF!</f>
        <v>#REF!</v>
      </c>
      <c r="R172" s="62">
        <f t="shared" si="17"/>
        <v>84857.2</v>
      </c>
      <c r="S172" s="62"/>
      <c r="T172" s="62"/>
      <c r="U172" s="62"/>
      <c r="V172" s="62">
        <f>'Подробный перечень (ОБ)'!$K$384</f>
        <v>84857.2</v>
      </c>
      <c r="W172" s="62">
        <f>'Подробный перечень (ОБ)'!$L$384</f>
        <v>0</v>
      </c>
      <c r="X172" s="60"/>
      <c r="Y172" s="808"/>
      <c r="Z172" s="885"/>
    </row>
    <row r="173" spans="1:26" ht="21" customHeight="1">
      <c r="A173" s="565" t="s">
        <v>65</v>
      </c>
      <c r="B173" s="535" t="s">
        <v>331</v>
      </c>
      <c r="C173" s="808">
        <v>176</v>
      </c>
      <c r="D173" s="294" t="s">
        <v>487</v>
      </c>
      <c r="E173" s="294" t="s">
        <v>488</v>
      </c>
      <c r="F173" s="808">
        <v>6100102770</v>
      </c>
      <c r="G173" s="808">
        <v>414</v>
      </c>
      <c r="H173" s="22">
        <f t="shared" si="16"/>
        <v>0</v>
      </c>
      <c r="I173" s="9">
        <v>0</v>
      </c>
      <c r="J173" s="9">
        <v>0</v>
      </c>
      <c r="K173" s="9">
        <v>0</v>
      </c>
      <c r="L173" s="9">
        <v>0</v>
      </c>
      <c r="M173" s="62"/>
      <c r="N173" s="62"/>
      <c r="O173" s="62"/>
      <c r="P173" s="62"/>
      <c r="Q173" s="62"/>
      <c r="R173" s="62">
        <f t="shared" si="17"/>
        <v>7929.4</v>
      </c>
      <c r="S173" s="62"/>
      <c r="T173" s="62"/>
      <c r="U173" s="62"/>
      <c r="V173" s="62">
        <f>'Подробный перечень (ОБ)'!$K$396</f>
        <v>7929.4</v>
      </c>
      <c r="W173" s="62">
        <f>'Подробный перечень (ОБ)'!$L$396</f>
        <v>9000</v>
      </c>
      <c r="X173" s="60">
        <f>'Подробный перечень (ОБ)'!$M$396</f>
        <v>0</v>
      </c>
      <c r="Y173" s="808"/>
      <c r="Z173" s="885"/>
    </row>
    <row r="174" spans="1:26" ht="21.75" customHeight="1">
      <c r="A174" s="565" t="s">
        <v>66</v>
      </c>
      <c r="B174" s="535" t="s">
        <v>331</v>
      </c>
      <c r="C174" s="808">
        <v>176</v>
      </c>
      <c r="D174" s="294" t="s">
        <v>487</v>
      </c>
      <c r="E174" s="294" t="s">
        <v>488</v>
      </c>
      <c r="F174" s="808">
        <v>6100102770</v>
      </c>
      <c r="G174" s="808">
        <v>414</v>
      </c>
      <c r="H174" s="22" t="e">
        <f t="shared" si="16"/>
        <v>#REF!</v>
      </c>
      <c r="I174" s="9" t="e">
        <f>#REF!</f>
        <v>#REF!</v>
      </c>
      <c r="J174" s="9" t="e">
        <f>#REF!</f>
        <v>#REF!</v>
      </c>
      <c r="K174" s="9" t="e">
        <f>#REF!</f>
        <v>#REF!</v>
      </c>
      <c r="L174" s="9" t="e">
        <f>#REF!</f>
        <v>#REF!</v>
      </c>
      <c r="M174" s="62"/>
      <c r="N174" s="62"/>
      <c r="O174" s="62"/>
      <c r="P174" s="62"/>
      <c r="Q174" s="62"/>
      <c r="R174" s="62">
        <f t="shared" si="17"/>
        <v>1322.9</v>
      </c>
      <c r="S174" s="62"/>
      <c r="T174" s="62"/>
      <c r="U174" s="62"/>
      <c r="V174" s="62">
        <f>'Подробный перечень (ОБ)'!$K$411</f>
        <v>1322.9</v>
      </c>
      <c r="W174" s="62">
        <f>'Подробный перечень (ОБ)'!$L$412</f>
        <v>2668.6</v>
      </c>
      <c r="X174" s="60">
        <f>'Подробный перечень (ОБ)'!$M$412</f>
        <v>59300</v>
      </c>
      <c r="Y174" s="808"/>
      <c r="Z174" s="885"/>
    </row>
    <row r="175" spans="1:26" ht="17.45" customHeight="1">
      <c r="A175" s="899" t="s">
        <v>67</v>
      </c>
      <c r="B175" s="535" t="s">
        <v>331</v>
      </c>
      <c r="C175" s="808">
        <v>176</v>
      </c>
      <c r="D175" s="294" t="s">
        <v>487</v>
      </c>
      <c r="E175" s="294" t="s">
        <v>488</v>
      </c>
      <c r="F175" s="808">
        <v>6100102770</v>
      </c>
      <c r="G175" s="808">
        <v>414</v>
      </c>
      <c r="H175" s="22"/>
      <c r="I175" s="9"/>
      <c r="J175" s="9"/>
      <c r="K175" s="9"/>
      <c r="L175" s="9"/>
      <c r="M175" s="62"/>
      <c r="N175" s="62"/>
      <c r="O175" s="62"/>
      <c r="P175" s="62"/>
      <c r="Q175" s="62"/>
      <c r="R175" s="62">
        <f t="shared" si="17"/>
        <v>0</v>
      </c>
      <c r="S175" s="62"/>
      <c r="T175" s="62"/>
      <c r="U175" s="62"/>
      <c r="V175" s="62">
        <f>'Подробный перечень (ОБ)'!$K$420</f>
        <v>0</v>
      </c>
      <c r="W175" s="62">
        <f>'Подробный перечень (ОБ)'!$L$420</f>
        <v>2950.9</v>
      </c>
      <c r="X175" s="60">
        <f>'Подробный перечень (ОБ)'!M428</f>
        <v>0</v>
      </c>
      <c r="Y175" s="808"/>
      <c r="Z175" s="885"/>
    </row>
    <row r="176" spans="1:26" ht="15.75" hidden="1" customHeight="1">
      <c r="A176" s="905"/>
      <c r="B176" s="535" t="s">
        <v>446</v>
      </c>
      <c r="C176" s="808">
        <v>176</v>
      </c>
      <c r="D176" s="294" t="s">
        <v>487</v>
      </c>
      <c r="E176" s="294" t="s">
        <v>488</v>
      </c>
      <c r="F176" s="808" t="s">
        <v>452</v>
      </c>
      <c r="G176" s="808">
        <v>414</v>
      </c>
      <c r="H176" s="22"/>
      <c r="I176" s="9"/>
      <c r="J176" s="9"/>
      <c r="K176" s="9"/>
      <c r="L176" s="9"/>
      <c r="M176" s="62"/>
      <c r="N176" s="62"/>
      <c r="O176" s="62"/>
      <c r="P176" s="62"/>
      <c r="Q176" s="62"/>
      <c r="R176" s="62">
        <f t="shared" si="17"/>
        <v>0</v>
      </c>
      <c r="S176" s="62"/>
      <c r="T176" s="62"/>
      <c r="U176" s="62"/>
      <c r="V176" s="62"/>
      <c r="W176" s="62"/>
      <c r="X176" s="60"/>
      <c r="Y176" s="808"/>
      <c r="Z176" s="885"/>
    </row>
    <row r="177" spans="1:26" ht="17.45" customHeight="1">
      <c r="A177" s="565" t="s">
        <v>68</v>
      </c>
      <c r="B177" s="535" t="s">
        <v>331</v>
      </c>
      <c r="C177" s="808">
        <v>176</v>
      </c>
      <c r="D177" s="294" t="s">
        <v>487</v>
      </c>
      <c r="E177" s="294" t="s">
        <v>488</v>
      </c>
      <c r="F177" s="808">
        <v>6100102770</v>
      </c>
      <c r="G177" s="808">
        <v>414</v>
      </c>
      <c r="H177" s="22" t="e">
        <f>SUM(I177:L177)</f>
        <v>#REF!</v>
      </c>
      <c r="I177" s="9" t="e">
        <f>#REF!</f>
        <v>#REF!</v>
      </c>
      <c r="J177" s="9" t="e">
        <f>#REF!</f>
        <v>#REF!</v>
      </c>
      <c r="K177" s="9" t="e">
        <f>#REF!</f>
        <v>#REF!</v>
      </c>
      <c r="L177" s="9" t="e">
        <f>#REF!</f>
        <v>#REF!</v>
      </c>
      <c r="M177" s="62"/>
      <c r="N177" s="62"/>
      <c r="O177" s="62"/>
      <c r="P177" s="62"/>
      <c r="Q177" s="62"/>
      <c r="R177" s="62">
        <f t="shared" si="17"/>
        <v>100</v>
      </c>
      <c r="S177" s="62"/>
      <c r="T177" s="62"/>
      <c r="U177" s="62"/>
      <c r="V177" s="62">
        <f>'Подробный перечень (ОБ)'!$K$432</f>
        <v>100</v>
      </c>
      <c r="W177" s="62">
        <f>'Подробный перечень (ОБ)'!$L$432</f>
        <v>0</v>
      </c>
      <c r="X177" s="60"/>
      <c r="Y177" s="808"/>
      <c r="Z177" s="885"/>
    </row>
    <row r="178" spans="1:26" ht="17.45" hidden="1" customHeight="1">
      <c r="A178" s="12" t="s">
        <v>69</v>
      </c>
      <c r="B178" s="535" t="s">
        <v>331</v>
      </c>
      <c r="C178" s="808">
        <v>176</v>
      </c>
      <c r="D178" s="294" t="s">
        <v>487</v>
      </c>
      <c r="E178" s="294" t="s">
        <v>488</v>
      </c>
      <c r="F178" s="808">
        <v>6100004040</v>
      </c>
      <c r="G178" s="808">
        <v>414</v>
      </c>
      <c r="H178" s="22">
        <f>SUM(I178:L178)</f>
        <v>0</v>
      </c>
      <c r="I178" s="9">
        <v>0</v>
      </c>
      <c r="J178" s="9">
        <v>0</v>
      </c>
      <c r="K178" s="9">
        <v>0</v>
      </c>
      <c r="L178" s="9">
        <v>0</v>
      </c>
      <c r="M178" s="62"/>
      <c r="N178" s="62"/>
      <c r="O178" s="62"/>
      <c r="P178" s="62"/>
      <c r="Q178" s="62"/>
      <c r="R178" s="62"/>
      <c r="S178" s="62"/>
      <c r="T178" s="62"/>
      <c r="U178" s="62"/>
      <c r="V178" s="62"/>
      <c r="W178" s="62"/>
      <c r="X178" s="60"/>
      <c r="Y178" s="808"/>
      <c r="Z178" s="885"/>
    </row>
    <row r="179" spans="1:26" ht="17.45" customHeight="1">
      <c r="A179" s="565" t="s">
        <v>70</v>
      </c>
      <c r="B179" s="535" t="s">
        <v>331</v>
      </c>
      <c r="C179" s="808">
        <v>176</v>
      </c>
      <c r="D179" s="294" t="s">
        <v>487</v>
      </c>
      <c r="E179" s="294" t="s">
        <v>488</v>
      </c>
      <c r="F179" s="808">
        <v>6100102770</v>
      </c>
      <c r="G179" s="808">
        <v>414</v>
      </c>
      <c r="H179" s="22" t="e">
        <f>SUM(I179:L179)</f>
        <v>#REF!</v>
      </c>
      <c r="I179" s="9" t="e">
        <f>#REF!</f>
        <v>#REF!</v>
      </c>
      <c r="J179" s="9" t="e">
        <f>#REF!</f>
        <v>#REF!</v>
      </c>
      <c r="K179" s="9" t="e">
        <f>#REF!</f>
        <v>#REF!</v>
      </c>
      <c r="L179" s="9" t="e">
        <f>#REF!</f>
        <v>#REF!</v>
      </c>
      <c r="M179" s="62" t="e">
        <f>'Подробный перечень(БКАД)'!#REF!</f>
        <v>#REF!</v>
      </c>
      <c r="N179" s="62"/>
      <c r="O179" s="62"/>
      <c r="P179" s="62" t="e">
        <f>'Подробный перечень(БКАД)'!#REF!</f>
        <v>#REF!</v>
      </c>
      <c r="Q179" s="62" t="e">
        <f>'Подробный перечень(БКАД)'!#REF!</f>
        <v>#REF!</v>
      </c>
      <c r="R179" s="62">
        <f>'Подробный перечень (ОБ)'!$G$444</f>
        <v>3612.4</v>
      </c>
      <c r="S179" s="62"/>
      <c r="T179" s="62"/>
      <c r="U179" s="62"/>
      <c r="V179" s="62">
        <f>'Подробный перечень (ОБ)'!$K$444</f>
        <v>3612.4</v>
      </c>
      <c r="W179" s="62">
        <f>'Подробный перечень (ОБ)'!$L$444</f>
        <v>2000</v>
      </c>
      <c r="X179" s="60">
        <f>'Подробный перечень (ОБ)'!$M$444</f>
        <v>29793.9</v>
      </c>
      <c r="Y179" s="808"/>
      <c r="Z179" s="885"/>
    </row>
    <row r="180" spans="1:26" ht="26.25" hidden="1" customHeight="1">
      <c r="A180" s="12" t="s">
        <v>71</v>
      </c>
      <c r="B180" s="535" t="s">
        <v>331</v>
      </c>
      <c r="C180" s="808">
        <v>176</v>
      </c>
      <c r="D180" s="294" t="s">
        <v>487</v>
      </c>
      <c r="E180" s="294" t="s">
        <v>488</v>
      </c>
      <c r="F180" s="808">
        <v>6100004040</v>
      </c>
      <c r="G180" s="808">
        <v>414</v>
      </c>
      <c r="H180" s="22" t="e">
        <f>SUM(I180:L180)</f>
        <v>#REF!</v>
      </c>
      <c r="I180" s="9" t="e">
        <f>#REF!</f>
        <v>#REF!</v>
      </c>
      <c r="J180" s="9" t="e">
        <f>#REF!</f>
        <v>#REF!</v>
      </c>
      <c r="K180" s="9" t="e">
        <f>#REF!</f>
        <v>#REF!</v>
      </c>
      <c r="L180" s="9" t="e">
        <f>#REF!</f>
        <v>#REF!</v>
      </c>
      <c r="M180" s="62" t="e">
        <f>'Подробный перечень(БКАД)'!#REF!</f>
        <v>#REF!</v>
      </c>
      <c r="N180" s="62"/>
      <c r="O180" s="62"/>
      <c r="P180" s="62"/>
      <c r="Q180" s="62" t="e">
        <f>'Подробный перечень(БКАД)'!#REF!</f>
        <v>#REF!</v>
      </c>
      <c r="R180" s="62"/>
      <c r="S180" s="62"/>
      <c r="T180" s="62"/>
      <c r="U180" s="62"/>
      <c r="V180" s="62"/>
      <c r="W180" s="62"/>
      <c r="X180" s="60"/>
      <c r="Y180" s="808"/>
      <c r="Z180" s="885"/>
    </row>
    <row r="181" spans="1:26" ht="26.25" hidden="1" customHeight="1">
      <c r="A181" s="826" t="s">
        <v>32</v>
      </c>
      <c r="B181" s="535" t="s">
        <v>331</v>
      </c>
      <c r="C181" s="808">
        <v>176</v>
      </c>
      <c r="D181" s="294" t="s">
        <v>487</v>
      </c>
      <c r="E181" s="294" t="s">
        <v>488</v>
      </c>
      <c r="F181" s="808">
        <v>6100102770</v>
      </c>
      <c r="G181" s="808">
        <v>414</v>
      </c>
      <c r="H181" s="22" t="e">
        <f>SUM(I181:L181)</f>
        <v>#REF!</v>
      </c>
      <c r="I181" s="9" t="e">
        <f>#REF!</f>
        <v>#REF!</v>
      </c>
      <c r="J181" s="9" t="e">
        <f>#REF!</f>
        <v>#REF!</v>
      </c>
      <c r="K181" s="9" t="e">
        <f>#REF!</f>
        <v>#REF!</v>
      </c>
      <c r="L181" s="9" t="e">
        <f>#REF!</f>
        <v>#REF!</v>
      </c>
      <c r="M181" s="62" t="e">
        <f>'Подробный перечень(БКАД)'!#REF!</f>
        <v>#REF!</v>
      </c>
      <c r="N181" s="62" t="e">
        <f>'Подробный перечень(БКАД)'!#REF!</f>
        <v>#REF!</v>
      </c>
      <c r="O181" s="62" t="e">
        <f>'Подробный перечень(БКАД)'!#REF!</f>
        <v>#REF!</v>
      </c>
      <c r="P181" s="62" t="e">
        <f>'Подробный перечень(БКАД)'!#REF!</f>
        <v>#REF!</v>
      </c>
      <c r="Q181" s="62" t="e">
        <f>'Подробный перечень(БКАД)'!#REF!</f>
        <v>#REF!</v>
      </c>
      <c r="R181" s="62">
        <f>'Подробный перечень (ОБ)'!$G$472</f>
        <v>0</v>
      </c>
      <c r="S181" s="62"/>
      <c r="T181" s="62"/>
      <c r="U181" s="62"/>
      <c r="V181" s="62">
        <f>'Подробный перечень (ОБ)'!$K$471</f>
        <v>0</v>
      </c>
      <c r="W181" s="62"/>
      <c r="X181" s="60"/>
      <c r="Y181" s="808"/>
      <c r="Z181" s="886"/>
    </row>
    <row r="182" spans="1:26" ht="30" customHeight="1">
      <c r="A182" s="872" t="s">
        <v>757</v>
      </c>
      <c r="B182" s="826" t="s">
        <v>546</v>
      </c>
      <c r="C182" s="659"/>
      <c r="D182" s="102"/>
      <c r="E182" s="102"/>
      <c r="F182" s="659"/>
      <c r="G182" s="659"/>
      <c r="H182" s="11"/>
      <c r="I182" s="6"/>
      <c r="J182" s="6"/>
      <c r="K182" s="6"/>
      <c r="L182" s="6"/>
      <c r="M182" s="311"/>
      <c r="N182" s="311"/>
      <c r="O182" s="311"/>
      <c r="P182" s="311"/>
      <c r="Q182" s="311"/>
      <c r="R182" s="312">
        <f>R190</f>
        <v>13.99</v>
      </c>
      <c r="S182" s="312"/>
      <c r="T182" s="312"/>
      <c r="U182" s="312"/>
      <c r="V182" s="312">
        <f>V190</f>
        <v>13.99</v>
      </c>
      <c r="W182" s="312">
        <f>W190</f>
        <v>44.13</v>
      </c>
      <c r="X182" s="312">
        <f>X190</f>
        <v>71.61</v>
      </c>
      <c r="Y182" s="884" t="s">
        <v>464</v>
      </c>
      <c r="Z182" s="884" t="s">
        <v>1006</v>
      </c>
    </row>
    <row r="183" spans="1:26" ht="40.5" customHeight="1">
      <c r="A183" s="873"/>
      <c r="B183" s="826" t="s">
        <v>24</v>
      </c>
      <c r="C183" s="659"/>
      <c r="D183" s="102"/>
      <c r="E183" s="102"/>
      <c r="F183" s="659"/>
      <c r="G183" s="659"/>
      <c r="H183" s="11"/>
      <c r="I183" s="6"/>
      <c r="J183" s="6"/>
      <c r="K183" s="6"/>
      <c r="L183" s="6"/>
      <c r="M183" s="63"/>
      <c r="N183" s="63"/>
      <c r="O183" s="63"/>
      <c r="P183" s="63"/>
      <c r="Q183" s="63"/>
      <c r="R183" s="80">
        <f>R191</f>
        <v>394587.34810578986</v>
      </c>
      <c r="S183" s="80" t="str">
        <f>S191</f>
        <v>х</v>
      </c>
      <c r="T183" s="80" t="str">
        <f>T191</f>
        <v>х</v>
      </c>
      <c r="U183" s="80" t="str">
        <f>U191</f>
        <v>х</v>
      </c>
      <c r="V183" s="80" t="s">
        <v>489</v>
      </c>
      <c r="W183" s="80">
        <f>W191</f>
        <v>272654.45275322907</v>
      </c>
      <c r="X183" s="80">
        <f>X191</f>
        <v>138619.96508867477</v>
      </c>
      <c r="Y183" s="885"/>
      <c r="Z183" s="885"/>
    </row>
    <row r="184" spans="1:26" ht="37.5" customHeight="1">
      <c r="A184" s="873"/>
      <c r="B184" s="840" t="s">
        <v>1142</v>
      </c>
      <c r="C184" s="659"/>
      <c r="D184" s="102"/>
      <c r="E184" s="102"/>
      <c r="F184" s="659"/>
      <c r="G184" s="659"/>
      <c r="H184" s="11"/>
      <c r="I184" s="6"/>
      <c r="J184" s="6"/>
      <c r="K184" s="6"/>
      <c r="L184" s="6"/>
      <c r="M184" s="63"/>
      <c r="N184" s="63"/>
      <c r="O184" s="63"/>
      <c r="P184" s="63"/>
      <c r="Q184" s="63"/>
      <c r="R184" s="63">
        <f t="shared" ref="R184:X184" si="18">R185+R186+R188</f>
        <v>5520277</v>
      </c>
      <c r="S184" s="63">
        <f t="shared" si="18"/>
        <v>235706.4</v>
      </c>
      <c r="T184" s="63">
        <f t="shared" si="18"/>
        <v>737484.1</v>
      </c>
      <c r="U184" s="63">
        <f t="shared" si="18"/>
        <v>161503.6</v>
      </c>
      <c r="V184" s="63">
        <f t="shared" si="18"/>
        <v>4385582.9000000004</v>
      </c>
      <c r="W184" s="63">
        <f t="shared" si="18"/>
        <v>12032241</v>
      </c>
      <c r="X184" s="63">
        <f t="shared" si="18"/>
        <v>9926575.6999999993</v>
      </c>
      <c r="Y184" s="885"/>
      <c r="Z184" s="885"/>
    </row>
    <row r="185" spans="1:26" ht="39" customHeight="1">
      <c r="A185" s="873"/>
      <c r="B185" s="826" t="s">
        <v>10</v>
      </c>
      <c r="C185" s="659">
        <v>176</v>
      </c>
      <c r="D185" s="102" t="s">
        <v>487</v>
      </c>
      <c r="E185" s="102" t="s">
        <v>488</v>
      </c>
      <c r="F185" s="659">
        <v>6100202790</v>
      </c>
      <c r="G185" s="659">
        <v>414</v>
      </c>
      <c r="H185" s="11"/>
      <c r="I185" s="6"/>
      <c r="J185" s="6"/>
      <c r="K185" s="6"/>
      <c r="L185" s="6"/>
      <c r="M185" s="311"/>
      <c r="N185" s="311"/>
      <c r="O185" s="311"/>
      <c r="P185" s="311"/>
      <c r="Q185" s="311"/>
      <c r="R185" s="311">
        <f t="shared" ref="R185:X186" si="19">R193</f>
        <v>795000</v>
      </c>
      <c r="S185" s="311">
        <f t="shared" si="19"/>
        <v>235706.4</v>
      </c>
      <c r="T185" s="311">
        <f t="shared" si="19"/>
        <v>237484.1</v>
      </c>
      <c r="U185" s="311">
        <f t="shared" si="19"/>
        <v>161503.6</v>
      </c>
      <c r="V185" s="311">
        <f t="shared" si="19"/>
        <v>160305.9</v>
      </c>
      <c r="W185" s="311">
        <f t="shared" si="19"/>
        <v>1500000</v>
      </c>
      <c r="X185" s="311">
        <f t="shared" si="19"/>
        <v>0</v>
      </c>
      <c r="Y185" s="885"/>
      <c r="Z185" s="885"/>
    </row>
    <row r="186" spans="1:26" ht="30.75" customHeight="1">
      <c r="A186" s="873"/>
      <c r="B186" s="826" t="s">
        <v>643</v>
      </c>
      <c r="C186" s="659">
        <v>176</v>
      </c>
      <c r="D186" s="102" t="s">
        <v>487</v>
      </c>
      <c r="E186" s="102" t="s">
        <v>488</v>
      </c>
      <c r="F186" s="659">
        <v>6100253901</v>
      </c>
      <c r="G186" s="659">
        <v>415</v>
      </c>
      <c r="H186" s="11"/>
      <c r="I186" s="6"/>
      <c r="J186" s="6"/>
      <c r="K186" s="6"/>
      <c r="L186" s="6"/>
      <c r="M186" s="311"/>
      <c r="N186" s="311"/>
      <c r="O186" s="311"/>
      <c r="P186" s="311"/>
      <c r="Q186" s="311"/>
      <c r="R186" s="311">
        <f t="shared" si="19"/>
        <v>500000</v>
      </c>
      <c r="S186" s="311">
        <f t="shared" si="19"/>
        <v>0</v>
      </c>
      <c r="T186" s="311">
        <f t="shared" si="19"/>
        <v>500000</v>
      </c>
      <c r="U186" s="311">
        <f t="shared" si="19"/>
        <v>0</v>
      </c>
      <c r="V186" s="311">
        <f t="shared" si="19"/>
        <v>0</v>
      </c>
      <c r="W186" s="311">
        <f t="shared" si="19"/>
        <v>8101500</v>
      </c>
      <c r="X186" s="311">
        <f t="shared" si="19"/>
        <v>9258420.6999999993</v>
      </c>
      <c r="Y186" s="885"/>
      <c r="Z186" s="885"/>
    </row>
    <row r="187" spans="1:26" ht="30" customHeight="1">
      <c r="A187" s="873"/>
      <c r="B187" s="826" t="s">
        <v>435</v>
      </c>
      <c r="C187" s="659"/>
      <c r="D187" s="102"/>
      <c r="E187" s="102"/>
      <c r="F187" s="659"/>
      <c r="G187" s="659"/>
      <c r="H187" s="11"/>
      <c r="I187" s="6"/>
      <c r="J187" s="6"/>
      <c r="K187" s="6"/>
      <c r="L187" s="6"/>
      <c r="M187" s="311"/>
      <c r="N187" s="311"/>
      <c r="O187" s="311"/>
      <c r="P187" s="311"/>
      <c r="Q187" s="311"/>
      <c r="R187" s="311"/>
      <c r="S187" s="311"/>
      <c r="T187" s="311"/>
      <c r="U187" s="311"/>
      <c r="V187" s="311"/>
      <c r="W187" s="311"/>
      <c r="X187" s="311"/>
      <c r="Y187" s="885"/>
      <c r="Z187" s="885"/>
    </row>
    <row r="188" spans="1:26" ht="38.25" customHeight="1">
      <c r="A188" s="873"/>
      <c r="B188" s="826" t="s">
        <v>447</v>
      </c>
      <c r="C188" s="659"/>
      <c r="D188" s="102"/>
      <c r="E188" s="102"/>
      <c r="F188" s="659"/>
      <c r="G188" s="659"/>
      <c r="H188" s="11"/>
      <c r="I188" s="6"/>
      <c r="J188" s="6"/>
      <c r="K188" s="6"/>
      <c r="L188" s="6"/>
      <c r="M188" s="311"/>
      <c r="N188" s="311"/>
      <c r="O188" s="311"/>
      <c r="P188" s="311"/>
      <c r="Q188" s="311"/>
      <c r="R188" s="311">
        <f t="shared" ref="R188:X188" si="20">R196</f>
        <v>4225277</v>
      </c>
      <c r="S188" s="311">
        <f t="shared" si="20"/>
        <v>0</v>
      </c>
      <c r="T188" s="311">
        <f t="shared" si="20"/>
        <v>0</v>
      </c>
      <c r="U188" s="311">
        <f t="shared" si="20"/>
        <v>0</v>
      </c>
      <c r="V188" s="311">
        <f t="shared" si="20"/>
        <v>4225277</v>
      </c>
      <c r="W188" s="311">
        <f t="shared" si="20"/>
        <v>2430741</v>
      </c>
      <c r="X188" s="311">
        <f t="shared" si="20"/>
        <v>668155</v>
      </c>
      <c r="Y188" s="885"/>
      <c r="Z188" s="885"/>
    </row>
    <row r="189" spans="1:26" ht="27" customHeight="1">
      <c r="A189" s="874"/>
      <c r="B189" s="826" t="s">
        <v>1010</v>
      </c>
      <c r="C189" s="659"/>
      <c r="D189" s="102"/>
      <c r="E189" s="102"/>
      <c r="F189" s="659"/>
      <c r="G189" s="659"/>
      <c r="H189" s="11"/>
      <c r="I189" s="6"/>
      <c r="J189" s="6"/>
      <c r="K189" s="6"/>
      <c r="L189" s="6"/>
      <c r="M189" s="311"/>
      <c r="N189" s="311"/>
      <c r="O189" s="311"/>
      <c r="P189" s="311"/>
      <c r="Q189" s="311"/>
      <c r="R189" s="311"/>
      <c r="S189" s="311"/>
      <c r="T189" s="311"/>
      <c r="U189" s="311"/>
      <c r="V189" s="311"/>
      <c r="W189" s="311"/>
      <c r="X189" s="311"/>
      <c r="Y189" s="885"/>
      <c r="Z189" s="885"/>
    </row>
    <row r="190" spans="1:26" ht="28.5" customHeight="1">
      <c r="A190" s="884" t="s">
        <v>735</v>
      </c>
      <c r="B190" s="535" t="s">
        <v>546</v>
      </c>
      <c r="C190" s="808"/>
      <c r="D190" s="294"/>
      <c r="E190" s="294"/>
      <c r="F190" s="808"/>
      <c r="G190" s="808"/>
      <c r="H190" s="22"/>
      <c r="I190" s="9"/>
      <c r="J190" s="9"/>
      <c r="K190" s="9"/>
      <c r="L190" s="9"/>
      <c r="M190" s="313"/>
      <c r="N190" s="313"/>
      <c r="O190" s="313"/>
      <c r="P190" s="313"/>
      <c r="Q190" s="313"/>
      <c r="R190" s="478">
        <v>13.99</v>
      </c>
      <c r="S190" s="478"/>
      <c r="T190" s="478"/>
      <c r="U190" s="478"/>
      <c r="V190" s="478">
        <f>13.99</f>
        <v>13.99</v>
      </c>
      <c r="W190" s="478">
        <v>44.13</v>
      </c>
      <c r="X190" s="478">
        <v>71.61</v>
      </c>
      <c r="Y190" s="885"/>
      <c r="Z190" s="885"/>
    </row>
    <row r="191" spans="1:26" ht="30" customHeight="1">
      <c r="A191" s="885"/>
      <c r="B191" s="535" t="s">
        <v>646</v>
      </c>
      <c r="C191" s="808"/>
      <c r="D191" s="294"/>
      <c r="E191" s="294"/>
      <c r="F191" s="808"/>
      <c r="G191" s="808"/>
      <c r="H191" s="22"/>
      <c r="I191" s="9"/>
      <c r="J191" s="9"/>
      <c r="K191" s="9"/>
      <c r="L191" s="9"/>
      <c r="M191" s="313"/>
      <c r="N191" s="313"/>
      <c r="O191" s="313"/>
      <c r="P191" s="313"/>
      <c r="Q191" s="313"/>
      <c r="R191" s="81">
        <f>R192/R190</f>
        <v>394587.34810578986</v>
      </c>
      <c r="S191" s="60" t="s">
        <v>489</v>
      </c>
      <c r="T191" s="60" t="s">
        <v>489</v>
      </c>
      <c r="U191" s="60" t="s">
        <v>489</v>
      </c>
      <c r="V191" s="60" t="s">
        <v>489</v>
      </c>
      <c r="W191" s="60">
        <f>W192/W190</f>
        <v>272654.45275322907</v>
      </c>
      <c r="X191" s="60">
        <f>X192/X190</f>
        <v>138619.96508867477</v>
      </c>
      <c r="Y191" s="885"/>
      <c r="Z191" s="885"/>
    </row>
    <row r="192" spans="1:26" ht="30.75" customHeight="1">
      <c r="A192" s="885"/>
      <c r="B192" s="839" t="s">
        <v>1142</v>
      </c>
      <c r="C192" s="808"/>
      <c r="D192" s="294"/>
      <c r="E192" s="294"/>
      <c r="F192" s="808"/>
      <c r="G192" s="808"/>
      <c r="H192" s="22"/>
      <c r="I192" s="9"/>
      <c r="J192" s="9"/>
      <c r="K192" s="9"/>
      <c r="L192" s="9"/>
      <c r="M192" s="313"/>
      <c r="N192" s="313"/>
      <c r="O192" s="313"/>
      <c r="P192" s="313"/>
      <c r="Q192" s="313"/>
      <c r="R192" s="81">
        <f t="shared" ref="R192:X192" si="21">R193+R194+R195+R196</f>
        <v>5520277</v>
      </c>
      <c r="S192" s="81">
        <f t="shared" si="21"/>
        <v>235706.4</v>
      </c>
      <c r="T192" s="81">
        <f t="shared" si="21"/>
        <v>737484.1</v>
      </c>
      <c r="U192" s="81">
        <f t="shared" si="21"/>
        <v>161503.6</v>
      </c>
      <c r="V192" s="81">
        <f t="shared" si="21"/>
        <v>4385582.9000000004</v>
      </c>
      <c r="W192" s="81">
        <f t="shared" si="21"/>
        <v>12032241</v>
      </c>
      <c r="X192" s="81">
        <f t="shared" si="21"/>
        <v>9926575.6999999993</v>
      </c>
      <c r="Y192" s="885"/>
      <c r="Z192" s="885"/>
    </row>
    <row r="193" spans="1:61" ht="24" customHeight="1">
      <c r="A193" s="885"/>
      <c r="B193" s="535" t="s">
        <v>10</v>
      </c>
      <c r="C193" s="808">
        <v>176</v>
      </c>
      <c r="D193" s="294" t="s">
        <v>487</v>
      </c>
      <c r="E193" s="294" t="s">
        <v>488</v>
      </c>
      <c r="F193" s="808">
        <v>6100253901</v>
      </c>
      <c r="G193" s="808">
        <v>414</v>
      </c>
      <c r="H193" s="22"/>
      <c r="I193" s="9"/>
      <c r="J193" s="9"/>
      <c r="K193" s="9"/>
      <c r="L193" s="9"/>
      <c r="M193" s="313"/>
      <c r="N193" s="313"/>
      <c r="O193" s="313"/>
      <c r="P193" s="313"/>
      <c r="Q193" s="313"/>
      <c r="R193" s="313">
        <f>SUM(S193:V193)</f>
        <v>795000</v>
      </c>
      <c r="S193" s="313">
        <v>235706.4</v>
      </c>
      <c r="T193" s="313">
        <v>237484.1</v>
      </c>
      <c r="U193" s="313">
        <v>161503.6</v>
      </c>
      <c r="V193" s="313">
        <f>60305.9+100000</f>
        <v>160305.9</v>
      </c>
      <c r="W193" s="313">
        <v>1500000</v>
      </c>
      <c r="X193" s="313">
        <v>0</v>
      </c>
      <c r="Y193" s="885"/>
      <c r="Z193" s="885"/>
      <c r="AA193" s="468"/>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5"/>
    </row>
    <row r="194" spans="1:61" ht="26.25" customHeight="1">
      <c r="A194" s="885"/>
      <c r="B194" s="535" t="s">
        <v>742</v>
      </c>
      <c r="C194" s="808">
        <v>176</v>
      </c>
      <c r="D194" s="294" t="s">
        <v>487</v>
      </c>
      <c r="E194" s="294" t="s">
        <v>488</v>
      </c>
      <c r="F194" s="808">
        <v>6100253901</v>
      </c>
      <c r="G194" s="808">
        <v>415</v>
      </c>
      <c r="H194" s="22"/>
      <c r="I194" s="9"/>
      <c r="J194" s="9"/>
      <c r="K194" s="9"/>
      <c r="L194" s="9"/>
      <c r="M194" s="313"/>
      <c r="N194" s="313"/>
      <c r="O194" s="313"/>
      <c r="P194" s="313"/>
      <c r="Q194" s="313"/>
      <c r="R194" s="313">
        <f>SUM(S194:V194)</f>
        <v>500000</v>
      </c>
      <c r="S194" s="313"/>
      <c r="T194" s="313">
        <v>500000</v>
      </c>
      <c r="U194" s="313"/>
      <c r="V194" s="313">
        <v>0</v>
      </c>
      <c r="W194" s="313">
        <v>8101500</v>
      </c>
      <c r="X194" s="313">
        <v>9258420.6999999993</v>
      </c>
      <c r="Y194" s="885"/>
      <c r="Z194" s="885"/>
      <c r="AA194" s="468"/>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5"/>
    </row>
    <row r="195" spans="1:61" ht="32.25" customHeight="1">
      <c r="A195" s="885"/>
      <c r="B195" s="535" t="s">
        <v>435</v>
      </c>
      <c r="C195" s="808"/>
      <c r="D195" s="294"/>
      <c r="E195" s="294"/>
      <c r="F195" s="808"/>
      <c r="G195" s="808"/>
      <c r="H195" s="22"/>
      <c r="I195" s="9"/>
      <c r="J195" s="9"/>
      <c r="K195" s="9"/>
      <c r="L195" s="9"/>
      <c r="M195" s="313"/>
      <c r="N195" s="313"/>
      <c r="O195" s="313"/>
      <c r="P195" s="313"/>
      <c r="Q195" s="313"/>
      <c r="R195" s="313"/>
      <c r="S195" s="313"/>
      <c r="T195" s="313"/>
      <c r="U195" s="313"/>
      <c r="V195" s="313"/>
      <c r="W195" s="313"/>
      <c r="X195" s="313"/>
      <c r="Y195" s="885"/>
      <c r="Z195" s="885"/>
      <c r="AA195" s="468"/>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5"/>
    </row>
    <row r="196" spans="1:61" ht="48.75" customHeight="1">
      <c r="A196" s="885"/>
      <c r="B196" s="535" t="s">
        <v>447</v>
      </c>
      <c r="C196" s="808"/>
      <c r="D196" s="294"/>
      <c r="E196" s="294"/>
      <c r="F196" s="808"/>
      <c r="G196" s="808"/>
      <c r="H196" s="22"/>
      <c r="I196" s="9"/>
      <c r="J196" s="9"/>
      <c r="K196" s="9"/>
      <c r="L196" s="9"/>
      <c r="M196" s="313"/>
      <c r="N196" s="313"/>
      <c r="O196" s="313"/>
      <c r="P196" s="313"/>
      <c r="Q196" s="313"/>
      <c r="R196" s="313">
        <f>V196</f>
        <v>4225277</v>
      </c>
      <c r="S196" s="313"/>
      <c r="T196" s="313"/>
      <c r="U196" s="313"/>
      <c r="V196" s="313">
        <v>4225277</v>
      </c>
      <c r="W196" s="313">
        <v>2430741</v>
      </c>
      <c r="X196" s="313">
        <v>668155</v>
      </c>
      <c r="Y196" s="885"/>
      <c r="Z196" s="885"/>
      <c r="AA196" s="468"/>
      <c r="AB196" s="284"/>
      <c r="AC196" s="284"/>
      <c r="AD196" s="284"/>
      <c r="AE196" s="284"/>
      <c r="AF196" s="284"/>
      <c r="AG196" s="410"/>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5"/>
    </row>
    <row r="197" spans="1:61" ht="44.25" customHeight="1">
      <c r="A197" s="886"/>
      <c r="B197" s="535" t="s">
        <v>1010</v>
      </c>
      <c r="C197" s="808"/>
      <c r="D197" s="294"/>
      <c r="E197" s="294"/>
      <c r="F197" s="808"/>
      <c r="G197" s="808"/>
      <c r="H197" s="22"/>
      <c r="I197" s="9"/>
      <c r="J197" s="9"/>
      <c r="K197" s="9"/>
      <c r="L197" s="9"/>
      <c r="M197" s="313"/>
      <c r="N197" s="313"/>
      <c r="O197" s="313"/>
      <c r="P197" s="313"/>
      <c r="Q197" s="313"/>
      <c r="R197" s="313"/>
      <c r="S197" s="313"/>
      <c r="T197" s="313"/>
      <c r="U197" s="313"/>
      <c r="V197" s="313"/>
      <c r="W197" s="313"/>
      <c r="X197" s="313"/>
      <c r="Y197" s="885"/>
      <c r="Z197" s="886"/>
      <c r="AA197" s="468"/>
      <c r="AB197" s="284"/>
      <c r="AC197" s="284"/>
      <c r="AD197" s="284"/>
      <c r="AE197" s="284"/>
      <c r="AF197" s="284"/>
      <c r="AG197" s="410"/>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5"/>
    </row>
    <row r="198" spans="1:61" ht="31.5" hidden="1" customHeight="1">
      <c r="A198" s="884" t="s">
        <v>516</v>
      </c>
      <c r="B198" s="535" t="s">
        <v>466</v>
      </c>
      <c r="C198" s="808"/>
      <c r="D198" s="294"/>
      <c r="E198" s="294"/>
      <c r="F198" s="808"/>
      <c r="G198" s="808"/>
      <c r="H198" s="22"/>
      <c r="I198" s="9"/>
      <c r="J198" s="9"/>
      <c r="K198" s="9"/>
      <c r="L198" s="9"/>
      <c r="M198" s="313"/>
      <c r="N198" s="313"/>
      <c r="O198" s="313"/>
      <c r="P198" s="313"/>
      <c r="Q198" s="313"/>
      <c r="R198" s="313"/>
      <c r="S198" s="313"/>
      <c r="T198" s="313"/>
      <c r="U198" s="313"/>
      <c r="V198" s="313"/>
      <c r="W198" s="313"/>
      <c r="X198" s="313"/>
      <c r="Y198" s="885"/>
      <c r="Z198" s="884" t="s">
        <v>645</v>
      </c>
      <c r="AA198" s="468"/>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5"/>
    </row>
    <row r="199" spans="1:61" ht="30.6" hidden="1" customHeight="1">
      <c r="A199" s="885"/>
      <c r="B199" s="535" t="s">
        <v>24</v>
      </c>
      <c r="C199" s="808"/>
      <c r="D199" s="294"/>
      <c r="E199" s="294"/>
      <c r="F199" s="808"/>
      <c r="G199" s="808"/>
      <c r="H199" s="22"/>
      <c r="I199" s="9"/>
      <c r="J199" s="9"/>
      <c r="K199" s="9"/>
      <c r="L199" s="9"/>
      <c r="M199" s="313"/>
      <c r="N199" s="313"/>
      <c r="O199" s="313"/>
      <c r="P199" s="313"/>
      <c r="Q199" s="313"/>
      <c r="R199" s="313"/>
      <c r="S199" s="60" t="s">
        <v>489</v>
      </c>
      <c r="T199" s="60" t="s">
        <v>489</v>
      </c>
      <c r="U199" s="60" t="s">
        <v>489</v>
      </c>
      <c r="V199" s="60" t="s">
        <v>489</v>
      </c>
      <c r="W199" s="313"/>
      <c r="X199" s="313"/>
      <c r="Y199" s="885"/>
      <c r="Z199" s="885"/>
      <c r="AA199" s="468"/>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5"/>
    </row>
    <row r="200" spans="1:61" s="41" customFormat="1" ht="36" hidden="1" customHeight="1">
      <c r="A200" s="885"/>
      <c r="B200" s="535" t="s">
        <v>465</v>
      </c>
      <c r="C200" s="808"/>
      <c r="D200" s="294"/>
      <c r="E200" s="294"/>
      <c r="F200" s="808"/>
      <c r="G200" s="808"/>
      <c r="H200" s="24"/>
      <c r="I200" s="24"/>
      <c r="J200" s="24"/>
      <c r="K200" s="24"/>
      <c r="L200" s="24"/>
      <c r="M200" s="313"/>
      <c r="N200" s="313"/>
      <c r="O200" s="313"/>
      <c r="P200" s="313"/>
      <c r="Q200" s="313"/>
      <c r="R200" s="313" t="e">
        <f>R201</f>
        <v>#REF!</v>
      </c>
      <c r="S200" s="313">
        <f>S201</f>
        <v>0</v>
      </c>
      <c r="T200" s="313" t="e">
        <f>T201</f>
        <v>#REF!</v>
      </c>
      <c r="U200" s="313">
        <f>U201</f>
        <v>0</v>
      </c>
      <c r="V200" s="313" t="e">
        <f>V201</f>
        <v>#REF!</v>
      </c>
      <c r="W200" s="313">
        <v>0</v>
      </c>
      <c r="X200" s="313">
        <v>0</v>
      </c>
      <c r="Y200" s="886"/>
      <c r="Z200" s="885"/>
      <c r="AA200" s="468"/>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6"/>
    </row>
    <row r="201" spans="1:61" s="284" customFormat="1" ht="36" hidden="1" customHeight="1">
      <c r="A201" s="885"/>
      <c r="B201" s="535" t="s">
        <v>10</v>
      </c>
      <c r="C201" s="808">
        <v>176</v>
      </c>
      <c r="D201" s="294" t="s">
        <v>487</v>
      </c>
      <c r="E201" s="294" t="s">
        <v>488</v>
      </c>
      <c r="F201" s="808">
        <v>6100102770</v>
      </c>
      <c r="G201" s="808">
        <v>414</v>
      </c>
      <c r="H201" s="24"/>
      <c r="I201" s="24"/>
      <c r="J201" s="24"/>
      <c r="K201" s="24"/>
      <c r="L201" s="24"/>
      <c r="M201" s="313"/>
      <c r="N201" s="313"/>
      <c r="O201" s="313"/>
      <c r="P201" s="313"/>
      <c r="Q201" s="313"/>
      <c r="R201" s="313" t="e">
        <f>'Подробный перечень(БКАД)'!#REF!</f>
        <v>#REF!</v>
      </c>
      <c r="S201" s="313">
        <v>0</v>
      </c>
      <c r="T201" s="313" t="e">
        <f>'Подробный перечень(БКАД)'!#REF!</f>
        <v>#REF!</v>
      </c>
      <c r="U201" s="313">
        <v>0</v>
      </c>
      <c r="V201" s="313" t="e">
        <f>'Подробный перечень(БКАД)'!#REF!</f>
        <v>#REF!</v>
      </c>
      <c r="W201" s="313">
        <f>W200</f>
        <v>0</v>
      </c>
      <c r="X201" s="313">
        <f>X200</f>
        <v>0</v>
      </c>
      <c r="Y201" s="811"/>
      <c r="Z201" s="885"/>
      <c r="AA201" s="468"/>
    </row>
    <row r="202" spans="1:61" s="284" customFormat="1" ht="22.5" hidden="1" customHeight="1">
      <c r="A202" s="885"/>
      <c r="B202" s="535" t="s">
        <v>436</v>
      </c>
      <c r="C202" s="808"/>
      <c r="D202" s="294"/>
      <c r="E202" s="294"/>
      <c r="F202" s="808"/>
      <c r="G202" s="808"/>
      <c r="H202" s="24"/>
      <c r="I202" s="24"/>
      <c r="J202" s="24"/>
      <c r="K202" s="24"/>
      <c r="L202" s="24"/>
      <c r="M202" s="313"/>
      <c r="N202" s="313"/>
      <c r="O202" s="313"/>
      <c r="P202" s="313"/>
      <c r="Q202" s="313"/>
      <c r="R202" s="313"/>
      <c r="S202" s="313"/>
      <c r="T202" s="313"/>
      <c r="U202" s="313"/>
      <c r="V202" s="313"/>
      <c r="W202" s="313"/>
      <c r="X202" s="313"/>
      <c r="Y202" s="811"/>
      <c r="Z202" s="885"/>
      <c r="AA202" s="468"/>
    </row>
    <row r="203" spans="1:61" s="284" customFormat="1" ht="19.5" hidden="1" customHeight="1">
      <c r="A203" s="885"/>
      <c r="B203" s="535" t="s">
        <v>435</v>
      </c>
      <c r="C203" s="808"/>
      <c r="D203" s="294"/>
      <c r="E203" s="294"/>
      <c r="F203" s="808"/>
      <c r="G203" s="808"/>
      <c r="H203" s="24"/>
      <c r="I203" s="24"/>
      <c r="J203" s="24"/>
      <c r="K203" s="24"/>
      <c r="L203" s="24"/>
      <c r="M203" s="313"/>
      <c r="N203" s="313"/>
      <c r="O203" s="313"/>
      <c r="P203" s="313"/>
      <c r="Q203" s="313"/>
      <c r="R203" s="313"/>
      <c r="S203" s="313"/>
      <c r="T203" s="313"/>
      <c r="U203" s="313"/>
      <c r="V203" s="313"/>
      <c r="W203" s="313"/>
      <c r="X203" s="313"/>
      <c r="Y203" s="811"/>
      <c r="Z203" s="885"/>
      <c r="AA203" s="468"/>
    </row>
    <row r="204" spans="1:61" s="284" customFormat="1" ht="27" hidden="1" customHeight="1">
      <c r="A204" s="886"/>
      <c r="B204" s="535" t="s">
        <v>447</v>
      </c>
      <c r="C204" s="808"/>
      <c r="D204" s="294"/>
      <c r="E204" s="294"/>
      <c r="F204" s="808"/>
      <c r="G204" s="808"/>
      <c r="H204" s="24"/>
      <c r="I204" s="24"/>
      <c r="J204" s="24"/>
      <c r="K204" s="24"/>
      <c r="L204" s="24"/>
      <c r="M204" s="313"/>
      <c r="N204" s="313"/>
      <c r="O204" s="313"/>
      <c r="P204" s="313"/>
      <c r="Q204" s="313"/>
      <c r="R204" s="313"/>
      <c r="S204" s="313"/>
      <c r="T204" s="313"/>
      <c r="U204" s="313"/>
      <c r="V204" s="313"/>
      <c r="W204" s="313"/>
      <c r="X204" s="313"/>
      <c r="Y204" s="811"/>
      <c r="Z204" s="886"/>
      <c r="AA204" s="468"/>
    </row>
    <row r="205" spans="1:61" ht="65.25" customHeight="1">
      <c r="A205" s="872" t="s">
        <v>840</v>
      </c>
      <c r="B205" s="820" t="s">
        <v>547</v>
      </c>
      <c r="C205" s="659"/>
      <c r="D205" s="102"/>
      <c r="E205" s="102"/>
      <c r="F205" s="659"/>
      <c r="G205" s="659"/>
      <c r="H205" s="11"/>
      <c r="I205" s="6"/>
      <c r="J205" s="6"/>
      <c r="K205" s="6"/>
      <c r="L205" s="6"/>
      <c r="M205" s="63"/>
      <c r="N205" s="63"/>
      <c r="O205" s="63"/>
      <c r="P205" s="63"/>
      <c r="Q205" s="63"/>
      <c r="R205" s="63">
        <v>0</v>
      </c>
      <c r="S205" s="63"/>
      <c r="T205" s="63"/>
      <c r="U205" s="63"/>
      <c r="V205" s="63"/>
      <c r="W205" s="63"/>
      <c r="X205" s="48">
        <f>'Подробный перечень (ОБ)'!$M$474</f>
        <v>0</v>
      </c>
      <c r="Y205" s="923" t="s">
        <v>26</v>
      </c>
      <c r="Z205" s="867" t="s">
        <v>846</v>
      </c>
    </row>
    <row r="206" spans="1:61" ht="28.5" customHeight="1">
      <c r="A206" s="873"/>
      <c r="B206" s="820" t="s">
        <v>24</v>
      </c>
      <c r="C206" s="659"/>
      <c r="D206" s="102"/>
      <c r="E206" s="102"/>
      <c r="F206" s="659"/>
      <c r="G206" s="659"/>
      <c r="H206" s="11"/>
      <c r="I206" s="6"/>
      <c r="J206" s="6"/>
      <c r="K206" s="6"/>
      <c r="L206" s="6"/>
      <c r="M206" s="63"/>
      <c r="N206" s="63"/>
      <c r="O206" s="63"/>
      <c r="P206" s="63"/>
      <c r="Q206" s="63"/>
      <c r="R206" s="63"/>
      <c r="S206" s="63" t="s">
        <v>489</v>
      </c>
      <c r="T206" s="63" t="s">
        <v>489</v>
      </c>
      <c r="U206" s="63" t="s">
        <v>489</v>
      </c>
      <c r="V206" s="63" t="s">
        <v>489</v>
      </c>
      <c r="W206" s="63"/>
      <c r="X206" s="63"/>
      <c r="Y206" s="924"/>
      <c r="Z206" s="906"/>
    </row>
    <row r="207" spans="1:61" ht="33" customHeight="1">
      <c r="A207" s="873"/>
      <c r="B207" s="840" t="s">
        <v>1142</v>
      </c>
      <c r="C207" s="659"/>
      <c r="D207" s="102"/>
      <c r="E207" s="102"/>
      <c r="F207" s="659"/>
      <c r="G207" s="659"/>
      <c r="H207" s="11"/>
      <c r="I207" s="6"/>
      <c r="J207" s="6"/>
      <c r="K207" s="6"/>
      <c r="L207" s="6"/>
      <c r="M207" s="63"/>
      <c r="N207" s="63"/>
      <c r="O207" s="63"/>
      <c r="P207" s="63"/>
      <c r="Q207" s="63"/>
      <c r="R207" s="63">
        <f t="shared" ref="R207:X207" si="22">R208</f>
        <v>0</v>
      </c>
      <c r="S207" s="63">
        <f t="shared" si="22"/>
        <v>0</v>
      </c>
      <c r="T207" s="63">
        <f t="shared" si="22"/>
        <v>0</v>
      </c>
      <c r="U207" s="63">
        <f t="shared" si="22"/>
        <v>0</v>
      </c>
      <c r="V207" s="63">
        <f t="shared" si="22"/>
        <v>0</v>
      </c>
      <c r="W207" s="63">
        <f t="shared" si="22"/>
        <v>0</v>
      </c>
      <c r="X207" s="48">
        <f t="shared" si="22"/>
        <v>0</v>
      </c>
      <c r="Y207" s="924"/>
      <c r="Z207" s="906"/>
      <c r="AA207" s="278"/>
    </row>
    <row r="208" spans="1:61" ht="23.25" customHeight="1">
      <c r="A208" s="873"/>
      <c r="B208" s="826" t="s">
        <v>10</v>
      </c>
      <c r="C208" s="659">
        <v>176</v>
      </c>
      <c r="D208" s="102" t="s">
        <v>487</v>
      </c>
      <c r="E208" s="102" t="s">
        <v>488</v>
      </c>
      <c r="F208" s="659">
        <v>6100602920</v>
      </c>
      <c r="G208" s="659">
        <v>414</v>
      </c>
      <c r="H208" s="11"/>
      <c r="I208" s="6"/>
      <c r="J208" s="6"/>
      <c r="K208" s="6"/>
      <c r="L208" s="6"/>
      <c r="M208" s="63"/>
      <c r="N208" s="63"/>
      <c r="O208" s="63"/>
      <c r="P208" s="63"/>
      <c r="Q208" s="63"/>
      <c r="R208" s="63">
        <f>'Подробный перечень (ОБ)'!$G$477</f>
        <v>0</v>
      </c>
      <c r="S208" s="63"/>
      <c r="T208" s="63"/>
      <c r="U208" s="63"/>
      <c r="V208" s="63">
        <f>'Подробный перечень (ОБ)'!$K$477</f>
        <v>0</v>
      </c>
      <c r="W208" s="63">
        <f>'Подробный перечень (ОБ)'!$L$477</f>
        <v>0</v>
      </c>
      <c r="X208" s="48">
        <f>'Подробный перечень (ОБ)'!$M$477</f>
        <v>0</v>
      </c>
      <c r="Y208" s="925"/>
      <c r="Z208" s="906"/>
    </row>
    <row r="209" spans="1:26" ht="27" customHeight="1">
      <c r="A209" s="873"/>
      <c r="B209" s="473" t="s">
        <v>436</v>
      </c>
      <c r="C209" s="822"/>
      <c r="D209" s="295"/>
      <c r="E209" s="295"/>
      <c r="F209" s="822"/>
      <c r="G209" s="822"/>
      <c r="H209" s="319"/>
      <c r="I209" s="29"/>
      <c r="J209" s="29"/>
      <c r="K209" s="29"/>
      <c r="L209" s="29"/>
      <c r="M209" s="69"/>
      <c r="N209" s="69"/>
      <c r="O209" s="69"/>
      <c r="P209" s="69"/>
      <c r="Q209" s="69"/>
      <c r="R209" s="69"/>
      <c r="S209" s="69"/>
      <c r="T209" s="69"/>
      <c r="U209" s="69"/>
      <c r="V209" s="69"/>
      <c r="W209" s="69"/>
      <c r="X209" s="59"/>
      <c r="Y209" s="450"/>
      <c r="Z209" s="906"/>
    </row>
    <row r="210" spans="1:26" ht="22.5" customHeight="1">
      <c r="A210" s="873"/>
      <c r="B210" s="473" t="s">
        <v>435</v>
      </c>
      <c r="C210" s="822"/>
      <c r="D210" s="295"/>
      <c r="E210" s="295"/>
      <c r="F210" s="822"/>
      <c r="G210" s="822"/>
      <c r="H210" s="319"/>
      <c r="I210" s="29"/>
      <c r="J210" s="29"/>
      <c r="K210" s="29"/>
      <c r="L210" s="29"/>
      <c r="M210" s="69"/>
      <c r="N210" s="69"/>
      <c r="O210" s="69"/>
      <c r="P210" s="69"/>
      <c r="Q210" s="69"/>
      <c r="R210" s="69"/>
      <c r="S210" s="69"/>
      <c r="T210" s="69"/>
      <c r="U210" s="69"/>
      <c r="V210" s="69"/>
      <c r="W210" s="69"/>
      <c r="X210" s="59"/>
      <c r="Y210" s="822"/>
      <c r="Z210" s="906"/>
    </row>
    <row r="211" spans="1:26" ht="22.5" customHeight="1">
      <c r="A211" s="873"/>
      <c r="B211" s="473" t="s">
        <v>447</v>
      </c>
      <c r="C211" s="822"/>
      <c r="D211" s="295"/>
      <c r="E211" s="295"/>
      <c r="F211" s="822"/>
      <c r="G211" s="822"/>
      <c r="H211" s="319"/>
      <c r="I211" s="29"/>
      <c r="J211" s="29"/>
      <c r="K211" s="29"/>
      <c r="L211" s="29"/>
      <c r="M211" s="69"/>
      <c r="N211" s="69"/>
      <c r="O211" s="69"/>
      <c r="P211" s="69"/>
      <c r="Q211" s="69"/>
      <c r="R211" s="69"/>
      <c r="S211" s="69"/>
      <c r="T211" s="69"/>
      <c r="U211" s="69"/>
      <c r="V211" s="69"/>
      <c r="W211" s="69"/>
      <c r="X211" s="59"/>
      <c r="Y211" s="822"/>
      <c r="Z211" s="906"/>
    </row>
    <row r="212" spans="1:26" ht="26.25" customHeight="1">
      <c r="A212" s="874"/>
      <c r="B212" s="473" t="s">
        <v>1010</v>
      </c>
      <c r="C212" s="822"/>
      <c r="D212" s="295"/>
      <c r="E212" s="295"/>
      <c r="F212" s="822"/>
      <c r="G212" s="822"/>
      <c r="H212" s="319"/>
      <c r="I212" s="29"/>
      <c r="J212" s="29"/>
      <c r="K212" s="29"/>
      <c r="L212" s="29"/>
      <c r="M212" s="69"/>
      <c r="N212" s="69"/>
      <c r="O212" s="69"/>
      <c r="P212" s="69"/>
      <c r="Q212" s="69"/>
      <c r="R212" s="69"/>
      <c r="S212" s="69"/>
      <c r="T212" s="69"/>
      <c r="U212" s="69"/>
      <c r="V212" s="69"/>
      <c r="W212" s="69"/>
      <c r="X212" s="59"/>
      <c r="Y212" s="822"/>
      <c r="Z212" s="868"/>
    </row>
    <row r="213" spans="1:26" ht="27" customHeight="1">
      <c r="A213" s="872" t="s">
        <v>1035</v>
      </c>
      <c r="B213" s="826" t="s">
        <v>89</v>
      </c>
      <c r="C213" s="822"/>
      <c r="D213" s="295"/>
      <c r="E213" s="295"/>
      <c r="F213" s="822"/>
      <c r="G213" s="822"/>
      <c r="H213" s="319"/>
      <c r="I213" s="29"/>
      <c r="J213" s="29"/>
      <c r="K213" s="29"/>
      <c r="L213" s="29"/>
      <c r="M213" s="69"/>
      <c r="N213" s="69"/>
      <c r="O213" s="69"/>
      <c r="P213" s="69"/>
      <c r="Q213" s="69"/>
      <c r="R213" s="69"/>
      <c r="S213" s="69"/>
      <c r="T213" s="69"/>
      <c r="U213" s="69"/>
      <c r="V213" s="69"/>
      <c r="W213" s="743">
        <f>W222+W230</f>
        <v>0.64500000000000002</v>
      </c>
      <c r="X213" s="743">
        <f>X222+X230</f>
        <v>2.25</v>
      </c>
      <c r="Y213" s="872" t="s">
        <v>758</v>
      </c>
      <c r="Z213" s="884" t="s">
        <v>1043</v>
      </c>
    </row>
    <row r="214" spans="1:26" ht="27" customHeight="1">
      <c r="A214" s="873"/>
      <c r="B214" s="826" t="s">
        <v>24</v>
      </c>
      <c r="C214" s="822"/>
      <c r="D214" s="295"/>
      <c r="E214" s="295"/>
      <c r="F214" s="822"/>
      <c r="G214" s="822"/>
      <c r="H214" s="319"/>
      <c r="I214" s="29"/>
      <c r="J214" s="29"/>
      <c r="K214" s="29"/>
      <c r="L214" s="29"/>
      <c r="M214" s="69"/>
      <c r="N214" s="69"/>
      <c r="O214" s="69"/>
      <c r="P214" s="69"/>
      <c r="Q214" s="69"/>
      <c r="R214" s="69"/>
      <c r="S214" s="69"/>
      <c r="T214" s="69"/>
      <c r="U214" s="69"/>
      <c r="V214" s="69"/>
      <c r="W214" s="69">
        <f>W215/W213</f>
        <v>1595119.0697674418</v>
      </c>
      <c r="X214" s="743"/>
      <c r="Y214" s="873"/>
      <c r="Z214" s="885"/>
    </row>
    <row r="215" spans="1:26" ht="27" customHeight="1">
      <c r="A215" s="873"/>
      <c r="B215" s="840" t="s">
        <v>1142</v>
      </c>
      <c r="C215" s="659">
        <v>124</v>
      </c>
      <c r="D215" s="102" t="s">
        <v>487</v>
      </c>
      <c r="E215" s="102" t="s">
        <v>488</v>
      </c>
      <c r="F215" s="659">
        <v>6100702780</v>
      </c>
      <c r="G215" s="659">
        <v>414</v>
      </c>
      <c r="H215" s="319"/>
      <c r="I215" s="29"/>
      <c r="J215" s="29"/>
      <c r="K215" s="29"/>
      <c r="L215" s="29"/>
      <c r="M215" s="69"/>
      <c r="N215" s="69"/>
      <c r="O215" s="69"/>
      <c r="P215" s="69"/>
      <c r="Q215" s="69"/>
      <c r="R215" s="69">
        <f t="shared" ref="R215:X215" si="23">R216</f>
        <v>447176.9</v>
      </c>
      <c r="S215" s="69">
        <f t="shared" si="23"/>
        <v>0</v>
      </c>
      <c r="T215" s="69">
        <f t="shared" si="23"/>
        <v>150601.79999999999</v>
      </c>
      <c r="U215" s="69">
        <f t="shared" si="23"/>
        <v>275843.20000000001</v>
      </c>
      <c r="V215" s="69">
        <f t="shared" si="23"/>
        <v>20731.900000000001</v>
      </c>
      <c r="W215" s="69">
        <f t="shared" si="23"/>
        <v>1028851.8</v>
      </c>
      <c r="X215" s="59">
        <f t="shared" si="23"/>
        <v>0</v>
      </c>
      <c r="Y215" s="873"/>
      <c r="Z215" s="885"/>
    </row>
    <row r="216" spans="1:26" ht="27" customHeight="1">
      <c r="A216" s="873"/>
      <c r="B216" s="826" t="s">
        <v>10</v>
      </c>
      <c r="C216" s="822">
        <v>124</v>
      </c>
      <c r="D216" s="295" t="s">
        <v>487</v>
      </c>
      <c r="E216" s="295" t="s">
        <v>488</v>
      </c>
      <c r="F216" s="822">
        <v>6100702780</v>
      </c>
      <c r="G216" s="822">
        <v>414</v>
      </c>
      <c r="H216" s="319"/>
      <c r="I216" s="29"/>
      <c r="J216" s="29"/>
      <c r="K216" s="29"/>
      <c r="L216" s="29"/>
      <c r="M216" s="69"/>
      <c r="N216" s="69"/>
      <c r="O216" s="69"/>
      <c r="P216" s="69"/>
      <c r="Q216" s="69"/>
      <c r="R216" s="69">
        <f t="shared" ref="R216:X216" si="24">R224+R232</f>
        <v>447176.9</v>
      </c>
      <c r="S216" s="69">
        <f t="shared" si="24"/>
        <v>0</v>
      </c>
      <c r="T216" s="69">
        <f t="shared" si="24"/>
        <v>150601.79999999999</v>
      </c>
      <c r="U216" s="69">
        <f t="shared" si="24"/>
        <v>275843.20000000001</v>
      </c>
      <c r="V216" s="69">
        <f t="shared" si="24"/>
        <v>20731.900000000001</v>
      </c>
      <c r="W216" s="69">
        <f t="shared" si="24"/>
        <v>1028851.8</v>
      </c>
      <c r="X216" s="69">
        <f t="shared" si="24"/>
        <v>0</v>
      </c>
      <c r="Y216" s="873"/>
      <c r="Z216" s="885"/>
    </row>
    <row r="217" spans="1:26" ht="27" customHeight="1">
      <c r="A217" s="873"/>
      <c r="B217" s="473" t="s">
        <v>436</v>
      </c>
      <c r="C217" s="822"/>
      <c r="D217" s="295"/>
      <c r="E217" s="295"/>
      <c r="F217" s="822"/>
      <c r="G217" s="822"/>
      <c r="H217" s="319"/>
      <c r="I217" s="29"/>
      <c r="J217" s="29"/>
      <c r="K217" s="29"/>
      <c r="L217" s="29"/>
      <c r="M217" s="69"/>
      <c r="N217" s="69"/>
      <c r="O217" s="69"/>
      <c r="P217" s="69"/>
      <c r="Q217" s="69"/>
      <c r="R217" s="69"/>
      <c r="S217" s="69"/>
      <c r="T217" s="69"/>
      <c r="U217" s="69"/>
      <c r="V217" s="69"/>
      <c r="W217" s="69"/>
      <c r="X217" s="59"/>
      <c r="Y217" s="873"/>
      <c r="Z217" s="885"/>
    </row>
    <row r="218" spans="1:26" ht="27" customHeight="1">
      <c r="A218" s="873"/>
      <c r="B218" s="473" t="s">
        <v>435</v>
      </c>
      <c r="C218" s="822"/>
      <c r="D218" s="295"/>
      <c r="E218" s="295"/>
      <c r="F218" s="822"/>
      <c r="G218" s="822"/>
      <c r="H218" s="319"/>
      <c r="I218" s="29"/>
      <c r="J218" s="29"/>
      <c r="K218" s="29"/>
      <c r="L218" s="29"/>
      <c r="M218" s="69"/>
      <c r="N218" s="69"/>
      <c r="O218" s="69"/>
      <c r="P218" s="69"/>
      <c r="Q218" s="69"/>
      <c r="R218" s="69"/>
      <c r="S218" s="69"/>
      <c r="T218" s="69"/>
      <c r="U218" s="69"/>
      <c r="V218" s="69"/>
      <c r="W218" s="69"/>
      <c r="X218" s="59"/>
      <c r="Y218" s="873"/>
      <c r="Z218" s="885"/>
    </row>
    <row r="219" spans="1:26" ht="27" customHeight="1">
      <c r="A219" s="873"/>
      <c r="B219" s="474" t="s">
        <v>447</v>
      </c>
      <c r="C219" s="821"/>
      <c r="D219" s="454"/>
      <c r="E219" s="454"/>
      <c r="F219" s="821"/>
      <c r="G219" s="821"/>
      <c r="H219" s="455"/>
      <c r="I219" s="456"/>
      <c r="J219" s="456"/>
      <c r="K219" s="456"/>
      <c r="L219" s="456"/>
      <c r="M219" s="457"/>
      <c r="N219" s="457"/>
      <c r="O219" s="457"/>
      <c r="P219" s="457"/>
      <c r="Q219" s="457"/>
      <c r="R219" s="457"/>
      <c r="S219" s="457"/>
      <c r="T219" s="457"/>
      <c r="U219" s="457"/>
      <c r="V219" s="457"/>
      <c r="W219" s="457"/>
      <c r="X219" s="458"/>
      <c r="Y219" s="873"/>
      <c r="Z219" s="885"/>
    </row>
    <row r="220" spans="1:26" ht="27" customHeight="1">
      <c r="A220" s="818"/>
      <c r="B220" s="826" t="s">
        <v>1010</v>
      </c>
      <c r="C220" s="659"/>
      <c r="D220" s="102"/>
      <c r="E220" s="102"/>
      <c r="F220" s="659"/>
      <c r="G220" s="659"/>
      <c r="H220" s="11"/>
      <c r="I220" s="6"/>
      <c r="J220" s="6"/>
      <c r="K220" s="6"/>
      <c r="L220" s="6"/>
      <c r="M220" s="63"/>
      <c r="N220" s="63"/>
      <c r="O220" s="63"/>
      <c r="P220" s="63"/>
      <c r="Q220" s="63"/>
      <c r="R220" s="63"/>
      <c r="S220" s="63"/>
      <c r="T220" s="63"/>
      <c r="U220" s="63"/>
      <c r="V220" s="63"/>
      <c r="W220" s="63"/>
      <c r="X220" s="48"/>
      <c r="Y220" s="873"/>
      <c r="Z220" s="885"/>
    </row>
    <row r="221" spans="1:26" ht="27" customHeight="1">
      <c r="A221" s="884" t="s">
        <v>1036</v>
      </c>
      <c r="B221" s="826" t="s">
        <v>89</v>
      </c>
      <c r="C221" s="659"/>
      <c r="D221" s="102"/>
      <c r="E221" s="102"/>
      <c r="F221" s="659"/>
      <c r="G221" s="659"/>
      <c r="H221" s="11"/>
      <c r="I221" s="6"/>
      <c r="J221" s="6"/>
      <c r="K221" s="6"/>
      <c r="L221" s="6"/>
      <c r="M221" s="63"/>
      <c r="N221" s="63"/>
      <c r="O221" s="63"/>
      <c r="P221" s="63"/>
      <c r="Q221" s="63"/>
      <c r="R221" s="63"/>
      <c r="S221" s="63"/>
      <c r="T221" s="63"/>
      <c r="U221" s="63"/>
      <c r="V221" s="63"/>
      <c r="W221" s="671"/>
      <c r="X221" s="48"/>
      <c r="Y221" s="890" t="s">
        <v>758</v>
      </c>
      <c r="Z221" s="895" t="s">
        <v>1041</v>
      </c>
    </row>
    <row r="222" spans="1:26" ht="27" customHeight="1">
      <c r="A222" s="885"/>
      <c r="B222" s="826" t="s">
        <v>24</v>
      </c>
      <c r="C222" s="659"/>
      <c r="D222" s="102"/>
      <c r="E222" s="102"/>
      <c r="F222" s="659"/>
      <c r="G222" s="659"/>
      <c r="H222" s="11"/>
      <c r="I222" s="6"/>
      <c r="J222" s="6"/>
      <c r="K222" s="6"/>
      <c r="L222" s="6"/>
      <c r="M222" s="63"/>
      <c r="N222" s="63"/>
      <c r="O222" s="63"/>
      <c r="P222" s="63"/>
      <c r="Q222" s="63"/>
      <c r="R222" s="63"/>
      <c r="S222" s="63"/>
      <c r="T222" s="63"/>
      <c r="U222" s="63"/>
      <c r="V222" s="63"/>
      <c r="W222" s="63"/>
      <c r="X222" s="742">
        <v>2.25</v>
      </c>
      <c r="Y222" s="890"/>
      <c r="Z222" s="895"/>
    </row>
    <row r="223" spans="1:26" ht="30.75" customHeight="1">
      <c r="A223" s="885"/>
      <c r="B223" s="840" t="s">
        <v>1142</v>
      </c>
      <c r="C223" s="659">
        <v>124</v>
      </c>
      <c r="D223" s="102" t="s">
        <v>487</v>
      </c>
      <c r="E223" s="102" t="s">
        <v>488</v>
      </c>
      <c r="F223" s="659">
        <v>6100702780</v>
      </c>
      <c r="G223" s="659">
        <v>414</v>
      </c>
      <c r="H223" s="11"/>
      <c r="I223" s="6"/>
      <c r="J223" s="6"/>
      <c r="K223" s="6"/>
      <c r="L223" s="6"/>
      <c r="M223" s="63"/>
      <c r="N223" s="63"/>
      <c r="O223" s="63"/>
      <c r="P223" s="63"/>
      <c r="Q223" s="63"/>
      <c r="R223" s="63">
        <f t="shared" ref="R223:X223" si="25">R224</f>
        <v>399188</v>
      </c>
      <c r="S223" s="63">
        <f t="shared" si="25"/>
        <v>0</v>
      </c>
      <c r="T223" s="63">
        <f t="shared" si="25"/>
        <v>102612.9</v>
      </c>
      <c r="U223" s="63">
        <f t="shared" si="25"/>
        <v>275843.20000000001</v>
      </c>
      <c r="V223" s="63">
        <f t="shared" si="25"/>
        <v>20731.900000000001</v>
      </c>
      <c r="W223" s="63">
        <f t="shared" si="25"/>
        <v>890143.9</v>
      </c>
      <c r="X223" s="48">
        <f t="shared" si="25"/>
        <v>0</v>
      </c>
      <c r="Y223" s="890"/>
      <c r="Z223" s="895"/>
    </row>
    <row r="224" spans="1:26" ht="27" customHeight="1">
      <c r="A224" s="885"/>
      <c r="B224" s="826" t="s">
        <v>10</v>
      </c>
      <c r="C224" s="659">
        <v>124</v>
      </c>
      <c r="D224" s="102" t="s">
        <v>487</v>
      </c>
      <c r="E224" s="102" t="s">
        <v>488</v>
      </c>
      <c r="F224" s="659">
        <v>6100702780</v>
      </c>
      <c r="G224" s="659">
        <v>414</v>
      </c>
      <c r="H224" s="11"/>
      <c r="I224" s="6"/>
      <c r="J224" s="6"/>
      <c r="K224" s="6"/>
      <c r="L224" s="6"/>
      <c r="M224" s="63"/>
      <c r="N224" s="63"/>
      <c r="O224" s="63"/>
      <c r="P224" s="63"/>
      <c r="Q224" s="63"/>
      <c r="R224" s="63">
        <f>S224+T224+U224+V224</f>
        <v>399188</v>
      </c>
      <c r="S224" s="63">
        <v>0</v>
      </c>
      <c r="T224" s="63">
        <v>102612.9</v>
      </c>
      <c r="U224" s="63">
        <v>275843.20000000001</v>
      </c>
      <c r="V224" s="63">
        <v>20731.900000000001</v>
      </c>
      <c r="W224" s="63">
        <v>890143.9</v>
      </c>
      <c r="X224" s="48">
        <v>0</v>
      </c>
      <c r="Y224" s="890"/>
      <c r="Z224" s="895"/>
    </row>
    <row r="225" spans="1:61" ht="27" customHeight="1">
      <c r="A225" s="885"/>
      <c r="B225" s="826" t="s">
        <v>436</v>
      </c>
      <c r="C225" s="659"/>
      <c r="D225" s="102"/>
      <c r="E225" s="102"/>
      <c r="F225" s="659"/>
      <c r="G225" s="659"/>
      <c r="H225" s="11"/>
      <c r="I225" s="6"/>
      <c r="J225" s="6"/>
      <c r="K225" s="6"/>
      <c r="L225" s="6"/>
      <c r="M225" s="63"/>
      <c r="N225" s="63"/>
      <c r="O225" s="63"/>
      <c r="P225" s="63"/>
      <c r="Q225" s="63"/>
      <c r="R225" s="63"/>
      <c r="S225" s="63"/>
      <c r="T225" s="63"/>
      <c r="U225" s="63"/>
      <c r="V225" s="63"/>
      <c r="W225" s="63"/>
      <c r="X225" s="48"/>
      <c r="Y225" s="890"/>
      <c r="Z225" s="895"/>
    </row>
    <row r="226" spans="1:61" ht="27" customHeight="1">
      <c r="A226" s="885"/>
      <c r="B226" s="826" t="s">
        <v>435</v>
      </c>
      <c r="C226" s="659"/>
      <c r="D226" s="102"/>
      <c r="E226" s="102"/>
      <c r="F226" s="659"/>
      <c r="G226" s="659"/>
      <c r="H226" s="11"/>
      <c r="I226" s="6"/>
      <c r="J226" s="6"/>
      <c r="K226" s="6"/>
      <c r="L226" s="6"/>
      <c r="M226" s="63"/>
      <c r="N226" s="63"/>
      <c r="O226" s="63"/>
      <c r="P226" s="63"/>
      <c r="Q226" s="63"/>
      <c r="R226" s="63"/>
      <c r="S226" s="63"/>
      <c r="T226" s="63"/>
      <c r="U226" s="63"/>
      <c r="V226" s="63"/>
      <c r="W226" s="63"/>
      <c r="X226" s="48"/>
      <c r="Y226" s="890"/>
      <c r="Z226" s="895"/>
    </row>
    <row r="227" spans="1:61" ht="39" customHeight="1">
      <c r="A227" s="885"/>
      <c r="B227" s="826" t="s">
        <v>447</v>
      </c>
      <c r="C227" s="659"/>
      <c r="D227" s="102"/>
      <c r="E227" s="102"/>
      <c r="F227" s="659"/>
      <c r="G227" s="659"/>
      <c r="H227" s="11"/>
      <c r="I227" s="6"/>
      <c r="J227" s="6"/>
      <c r="K227" s="6"/>
      <c r="L227" s="6"/>
      <c r="M227" s="63"/>
      <c r="N227" s="63"/>
      <c r="O227" s="63"/>
      <c r="P227" s="63"/>
      <c r="Q227" s="63"/>
      <c r="R227" s="63"/>
      <c r="S227" s="63"/>
      <c r="T227" s="63"/>
      <c r="U227" s="63"/>
      <c r="V227" s="63"/>
      <c r="W227" s="63"/>
      <c r="X227" s="48"/>
      <c r="Y227" s="890"/>
      <c r="Z227" s="895"/>
    </row>
    <row r="228" spans="1:61" ht="36.75" customHeight="1">
      <c r="A228" s="886"/>
      <c r="B228" s="826" t="s">
        <v>1010</v>
      </c>
      <c r="C228" s="659"/>
      <c r="D228" s="102"/>
      <c r="E228" s="102"/>
      <c r="F228" s="659"/>
      <c r="G228" s="659"/>
      <c r="H228" s="11"/>
      <c r="I228" s="6"/>
      <c r="J228" s="6"/>
      <c r="K228" s="6"/>
      <c r="L228" s="6"/>
      <c r="M228" s="63"/>
      <c r="N228" s="63"/>
      <c r="O228" s="63"/>
      <c r="P228" s="63"/>
      <c r="Q228" s="63"/>
      <c r="R228" s="63"/>
      <c r="S228" s="63"/>
      <c r="T228" s="63"/>
      <c r="U228" s="63"/>
      <c r="V228" s="63"/>
      <c r="W228" s="63"/>
      <c r="X228" s="48"/>
      <c r="Y228" s="890"/>
      <c r="Z228" s="895"/>
    </row>
    <row r="229" spans="1:61" ht="27" customHeight="1">
      <c r="A229" s="884" t="s">
        <v>1037</v>
      </c>
      <c r="B229" s="826" t="s">
        <v>89</v>
      </c>
      <c r="C229" s="659"/>
      <c r="D229" s="102"/>
      <c r="E229" s="102"/>
      <c r="F229" s="659"/>
      <c r="G229" s="659"/>
      <c r="H229" s="11"/>
      <c r="I229" s="6"/>
      <c r="J229" s="6"/>
      <c r="K229" s="6"/>
      <c r="L229" s="6"/>
      <c r="M229" s="63"/>
      <c r="N229" s="63"/>
      <c r="O229" s="63"/>
      <c r="P229" s="63"/>
      <c r="Q229" s="63"/>
      <c r="R229" s="63"/>
      <c r="S229" s="63"/>
      <c r="T229" s="63"/>
      <c r="U229" s="63"/>
      <c r="V229" s="63"/>
      <c r="W229" s="63"/>
      <c r="X229" s="672"/>
      <c r="Y229" s="872" t="s">
        <v>758</v>
      </c>
      <c r="Z229" s="884" t="s">
        <v>1042</v>
      </c>
    </row>
    <row r="230" spans="1:61" ht="27" customHeight="1">
      <c r="A230" s="885"/>
      <c r="B230" s="826" t="s">
        <v>24</v>
      </c>
      <c r="C230" s="659"/>
      <c r="D230" s="102"/>
      <c r="E230" s="102"/>
      <c r="F230" s="659"/>
      <c r="G230" s="659"/>
      <c r="H230" s="11"/>
      <c r="I230" s="6"/>
      <c r="J230" s="6"/>
      <c r="K230" s="6"/>
      <c r="L230" s="6"/>
      <c r="M230" s="63"/>
      <c r="N230" s="63"/>
      <c r="O230" s="63"/>
      <c r="P230" s="63"/>
      <c r="Q230" s="63"/>
      <c r="R230" s="63"/>
      <c r="S230" s="63"/>
      <c r="T230" s="63"/>
      <c r="U230" s="63"/>
      <c r="V230" s="63"/>
      <c r="W230" s="708">
        <v>0.64500000000000002</v>
      </c>
      <c r="X230" s="48"/>
      <c r="Y230" s="873"/>
      <c r="Z230" s="885"/>
    </row>
    <row r="231" spans="1:61" ht="27" customHeight="1">
      <c r="A231" s="885"/>
      <c r="B231" s="840" t="s">
        <v>1142</v>
      </c>
      <c r="C231" s="659">
        <v>124</v>
      </c>
      <c r="D231" s="102" t="s">
        <v>487</v>
      </c>
      <c r="E231" s="102" t="s">
        <v>488</v>
      </c>
      <c r="F231" s="659">
        <v>6100702780</v>
      </c>
      <c r="G231" s="659">
        <v>414</v>
      </c>
      <c r="H231" s="11"/>
      <c r="I231" s="6"/>
      <c r="J231" s="6"/>
      <c r="K231" s="6"/>
      <c r="L231" s="6"/>
      <c r="M231" s="63"/>
      <c r="N231" s="63"/>
      <c r="O231" s="63"/>
      <c r="P231" s="63"/>
      <c r="Q231" s="63"/>
      <c r="R231" s="63">
        <f t="shared" ref="R231:X231" si="26">R232</f>
        <v>47988.9</v>
      </c>
      <c r="S231" s="63">
        <f t="shared" si="26"/>
        <v>0</v>
      </c>
      <c r="T231" s="63">
        <f t="shared" si="26"/>
        <v>47988.9</v>
      </c>
      <c r="U231" s="63">
        <f t="shared" si="26"/>
        <v>0</v>
      </c>
      <c r="V231" s="63">
        <f t="shared" si="26"/>
        <v>0</v>
      </c>
      <c r="W231" s="63">
        <f t="shared" si="26"/>
        <v>138707.9</v>
      </c>
      <c r="X231" s="48">
        <f t="shared" si="26"/>
        <v>0</v>
      </c>
      <c r="Y231" s="873"/>
      <c r="Z231" s="885"/>
    </row>
    <row r="232" spans="1:61" ht="27" customHeight="1">
      <c r="A232" s="885"/>
      <c r="B232" s="826" t="s">
        <v>10</v>
      </c>
      <c r="C232" s="659">
        <v>124</v>
      </c>
      <c r="D232" s="102" t="s">
        <v>487</v>
      </c>
      <c r="E232" s="102" t="s">
        <v>488</v>
      </c>
      <c r="F232" s="659">
        <v>6100702780</v>
      </c>
      <c r="G232" s="659">
        <v>414</v>
      </c>
      <c r="H232" s="11"/>
      <c r="I232" s="6"/>
      <c r="J232" s="6"/>
      <c r="K232" s="6"/>
      <c r="L232" s="6"/>
      <c r="M232" s="63"/>
      <c r="N232" s="63"/>
      <c r="O232" s="63"/>
      <c r="P232" s="63"/>
      <c r="Q232" s="63"/>
      <c r="R232" s="63">
        <f>S232+T232+U232+V232</f>
        <v>47988.9</v>
      </c>
      <c r="S232" s="63">
        <v>0</v>
      </c>
      <c r="T232" s="63">
        <v>47988.9</v>
      </c>
      <c r="U232" s="63">
        <v>0</v>
      </c>
      <c r="V232" s="63">
        <v>0</v>
      </c>
      <c r="W232" s="63">
        <v>138707.9</v>
      </c>
      <c r="X232" s="48">
        <v>0</v>
      </c>
      <c r="Y232" s="873"/>
      <c r="Z232" s="885"/>
    </row>
    <row r="233" spans="1:61" ht="27" customHeight="1">
      <c r="A233" s="885"/>
      <c r="B233" s="826" t="s">
        <v>436</v>
      </c>
      <c r="C233" s="659"/>
      <c r="D233" s="102"/>
      <c r="E233" s="102"/>
      <c r="F233" s="659"/>
      <c r="G233" s="659"/>
      <c r="H233" s="11"/>
      <c r="I233" s="6"/>
      <c r="J233" s="6"/>
      <c r="K233" s="6"/>
      <c r="L233" s="6"/>
      <c r="M233" s="63"/>
      <c r="N233" s="63"/>
      <c r="O233" s="63"/>
      <c r="P233" s="63"/>
      <c r="Q233" s="63"/>
      <c r="R233" s="63"/>
      <c r="S233" s="63"/>
      <c r="T233" s="63"/>
      <c r="U233" s="63"/>
      <c r="V233" s="63"/>
      <c r="W233" s="63"/>
      <c r="X233" s="48"/>
      <c r="Y233" s="873"/>
      <c r="Z233" s="885"/>
    </row>
    <row r="234" spans="1:61" ht="27" customHeight="1">
      <c r="A234" s="885"/>
      <c r="B234" s="826" t="s">
        <v>435</v>
      </c>
      <c r="C234" s="659"/>
      <c r="D234" s="102"/>
      <c r="E234" s="102"/>
      <c r="F234" s="659"/>
      <c r="G234" s="659"/>
      <c r="H234" s="11"/>
      <c r="I234" s="6"/>
      <c r="J234" s="6"/>
      <c r="K234" s="6"/>
      <c r="L234" s="6"/>
      <c r="M234" s="63"/>
      <c r="N234" s="63"/>
      <c r="O234" s="63"/>
      <c r="P234" s="63"/>
      <c r="Q234" s="63"/>
      <c r="R234" s="63"/>
      <c r="S234" s="63"/>
      <c r="T234" s="63"/>
      <c r="U234" s="63"/>
      <c r="V234" s="63"/>
      <c r="W234" s="63"/>
      <c r="X234" s="48"/>
      <c r="Y234" s="873"/>
      <c r="Z234" s="885"/>
    </row>
    <row r="235" spans="1:61" ht="27" customHeight="1">
      <c r="A235" s="885"/>
      <c r="B235" s="826" t="s">
        <v>447</v>
      </c>
      <c r="C235" s="659"/>
      <c r="D235" s="102"/>
      <c r="E235" s="102"/>
      <c r="F235" s="659"/>
      <c r="G235" s="659"/>
      <c r="H235" s="11"/>
      <c r="I235" s="6"/>
      <c r="J235" s="6"/>
      <c r="K235" s="6"/>
      <c r="L235" s="6"/>
      <c r="M235" s="63"/>
      <c r="N235" s="63"/>
      <c r="O235" s="63"/>
      <c r="P235" s="63"/>
      <c r="Q235" s="63"/>
      <c r="R235" s="63"/>
      <c r="S235" s="63"/>
      <c r="T235" s="63"/>
      <c r="U235" s="63"/>
      <c r="V235" s="63"/>
      <c r="W235" s="63"/>
      <c r="X235" s="48"/>
      <c r="Y235" s="873"/>
      <c r="Z235" s="885"/>
    </row>
    <row r="236" spans="1:61" s="452" customFormat="1" ht="28.5" customHeight="1">
      <c r="A236" s="886"/>
      <c r="B236" s="826" t="s">
        <v>1010</v>
      </c>
      <c r="C236" s="453"/>
      <c r="D236" s="459"/>
      <c r="E236" s="459"/>
      <c r="F236" s="453"/>
      <c r="G236" s="453"/>
      <c r="H236" s="460"/>
      <c r="I236" s="461"/>
      <c r="J236" s="461"/>
      <c r="K236" s="461"/>
      <c r="L236" s="461"/>
      <c r="M236" s="462"/>
      <c r="N236" s="462"/>
      <c r="O236" s="462"/>
      <c r="P236" s="462"/>
      <c r="Q236" s="462"/>
      <c r="R236" s="462"/>
      <c r="S236" s="462"/>
      <c r="T236" s="462"/>
      <c r="U236" s="462"/>
      <c r="V236" s="462"/>
      <c r="W236" s="462"/>
      <c r="X236" s="463"/>
      <c r="Y236" s="874"/>
      <c r="Z236" s="886"/>
      <c r="AA236" s="469"/>
    </row>
    <row r="237" spans="1:61" ht="31.5" customHeight="1">
      <c r="A237" s="898" t="s">
        <v>1039</v>
      </c>
      <c r="B237" s="473" t="s">
        <v>490</v>
      </c>
      <c r="C237" s="822"/>
      <c r="D237" s="295"/>
      <c r="E237" s="295"/>
      <c r="F237" s="822"/>
      <c r="G237" s="822"/>
      <c r="H237" s="29" t="e">
        <f>H121+H170</f>
        <v>#REF!</v>
      </c>
      <c r="I237" s="29" t="e">
        <f>I121+I170</f>
        <v>#REF!</v>
      </c>
      <c r="J237" s="29" t="e">
        <f>J121+J170</f>
        <v>#REF!</v>
      </c>
      <c r="K237" s="29" t="e">
        <f>K121+K170</f>
        <v>#REF!</v>
      </c>
      <c r="L237" s="29" t="e">
        <f>L121+L170</f>
        <v>#REF!</v>
      </c>
      <c r="M237" s="69" t="e">
        <f>M240+M246+M248+M249</f>
        <v>#REF!</v>
      </c>
      <c r="N237" s="69" t="e">
        <f>N240+N246+N248+N249</f>
        <v>#REF!</v>
      </c>
      <c r="O237" s="69" t="e">
        <f>O240+O246+O248+O249</f>
        <v>#REF!</v>
      </c>
      <c r="P237" s="69" t="e">
        <f>P240+P246+P248+P249</f>
        <v>#REF!</v>
      </c>
      <c r="Q237" s="69" t="e">
        <f>Q240+Q246+Q248+Q249</f>
        <v>#REF!</v>
      </c>
      <c r="R237" s="69">
        <f t="shared" ref="R237:X237" si="27">R238+R244+R249</f>
        <v>7024894.8000000007</v>
      </c>
      <c r="S237" s="69">
        <f t="shared" si="27"/>
        <v>235706.4</v>
      </c>
      <c r="T237" s="69">
        <f t="shared" si="27"/>
        <v>888085.9</v>
      </c>
      <c r="U237" s="69">
        <f t="shared" si="27"/>
        <v>437346.80000000005</v>
      </c>
      <c r="V237" s="69">
        <f t="shared" si="27"/>
        <v>5463755.7000000002</v>
      </c>
      <c r="W237" s="69">
        <f t="shared" si="27"/>
        <v>13734308.399999999</v>
      </c>
      <c r="X237" s="69">
        <f t="shared" si="27"/>
        <v>11504669.6</v>
      </c>
      <c r="Y237" s="282"/>
      <c r="Z237" s="39"/>
      <c r="AA237" s="470"/>
      <c r="AB237" s="284"/>
      <c r="AC237" s="284"/>
      <c r="AD237" s="284"/>
      <c r="AE237" s="284"/>
      <c r="AF237" s="410"/>
      <c r="AG237" s="284"/>
      <c r="AH237" s="284"/>
      <c r="AI237" s="284"/>
      <c r="AJ237" s="284"/>
      <c r="AK237" s="284"/>
      <c r="AL237" s="284"/>
      <c r="AM237" s="284"/>
      <c r="AN237" s="284"/>
      <c r="AO237" s="284"/>
      <c r="AP237" s="284"/>
      <c r="AQ237" s="284"/>
      <c r="AR237" s="284"/>
      <c r="AS237" s="284"/>
      <c r="AT237" s="284"/>
      <c r="AU237" s="284"/>
      <c r="AV237" s="284"/>
      <c r="AW237" s="284"/>
      <c r="AX237" s="284"/>
      <c r="AY237" s="284"/>
      <c r="AZ237" s="284"/>
      <c r="BA237" s="284"/>
      <c r="BB237" s="284"/>
      <c r="BC237" s="284"/>
      <c r="BD237" s="284"/>
      <c r="BE237" s="284"/>
      <c r="BF237" s="284"/>
      <c r="BG237" s="284"/>
      <c r="BH237" s="284"/>
      <c r="BI237" s="285"/>
    </row>
    <row r="238" spans="1:61" ht="24" customHeight="1">
      <c r="A238" s="899"/>
      <c r="B238" s="473" t="s">
        <v>247</v>
      </c>
      <c r="C238" s="822"/>
      <c r="D238" s="295" t="s">
        <v>487</v>
      </c>
      <c r="E238" s="295" t="s">
        <v>488</v>
      </c>
      <c r="F238" s="822" t="s">
        <v>540</v>
      </c>
      <c r="G238" s="822">
        <v>414</v>
      </c>
      <c r="H238" s="29"/>
      <c r="I238" s="29"/>
      <c r="J238" s="29"/>
      <c r="K238" s="29"/>
      <c r="L238" s="29"/>
      <c r="M238" s="69"/>
      <c r="N238" s="69"/>
      <c r="O238" s="69"/>
      <c r="P238" s="69"/>
      <c r="Q238" s="69"/>
      <c r="R238" s="69">
        <f t="shared" ref="R238:X238" si="28">R239+R240+R241+R242+R243</f>
        <v>2063955.7000000002</v>
      </c>
      <c r="S238" s="69">
        <f t="shared" si="28"/>
        <v>235706.4</v>
      </c>
      <c r="T238" s="69">
        <f t="shared" si="28"/>
        <v>388085.9</v>
      </c>
      <c r="U238" s="69">
        <f t="shared" si="28"/>
        <v>437346.80000000005</v>
      </c>
      <c r="V238" s="69">
        <f t="shared" si="28"/>
        <v>1002816.6</v>
      </c>
      <c r="W238" s="69">
        <f t="shared" si="28"/>
        <v>3096777.3</v>
      </c>
      <c r="X238" s="69">
        <f t="shared" si="28"/>
        <v>1468326.5</v>
      </c>
      <c r="Y238" s="282"/>
      <c r="Z238" s="39"/>
      <c r="AA238" s="468"/>
      <c r="AB238" s="284"/>
      <c r="AC238" s="284"/>
      <c r="AD238" s="284"/>
      <c r="AE238" s="284"/>
      <c r="AF238" s="410"/>
      <c r="AG238" s="284"/>
      <c r="AH238" s="284"/>
      <c r="AI238" s="284"/>
      <c r="AJ238" s="284"/>
      <c r="AK238" s="284"/>
      <c r="AL238" s="284"/>
      <c r="AM238" s="284"/>
      <c r="AN238" s="284"/>
      <c r="AO238" s="284"/>
      <c r="AP238" s="284"/>
      <c r="AQ238" s="284"/>
      <c r="AR238" s="284"/>
      <c r="AS238" s="284"/>
      <c r="AT238" s="284"/>
      <c r="AU238" s="284"/>
      <c r="AV238" s="284"/>
      <c r="AW238" s="284"/>
      <c r="AX238" s="284"/>
      <c r="AY238" s="284"/>
      <c r="AZ238" s="284"/>
      <c r="BA238" s="284"/>
      <c r="BB238" s="284"/>
      <c r="BC238" s="284"/>
      <c r="BD238" s="284"/>
      <c r="BE238" s="284"/>
      <c r="BF238" s="284"/>
      <c r="BG238" s="284"/>
      <c r="BH238" s="284"/>
      <c r="BI238" s="284"/>
    </row>
    <row r="239" spans="1:61" ht="23.25" hidden="1" customHeight="1">
      <c r="A239" s="899"/>
      <c r="B239" s="826" t="s">
        <v>743</v>
      </c>
      <c r="C239" s="659">
        <v>176</v>
      </c>
      <c r="D239" s="102" t="s">
        <v>487</v>
      </c>
      <c r="E239" s="102" t="s">
        <v>488</v>
      </c>
      <c r="F239" s="659" t="s">
        <v>909</v>
      </c>
      <c r="G239" s="659">
        <v>414</v>
      </c>
      <c r="H239" s="6"/>
      <c r="I239" s="6"/>
      <c r="J239" s="6"/>
      <c r="K239" s="6"/>
      <c r="L239" s="6"/>
      <c r="M239" s="63"/>
      <c r="N239" s="63"/>
      <c r="O239" s="63"/>
      <c r="P239" s="63"/>
      <c r="Q239" s="63"/>
      <c r="R239" s="63">
        <f t="shared" ref="R239:X239" si="29">R124</f>
        <v>150588.20000000001</v>
      </c>
      <c r="S239" s="63">
        <f t="shared" si="29"/>
        <v>0</v>
      </c>
      <c r="T239" s="63">
        <f t="shared" si="29"/>
        <v>0</v>
      </c>
      <c r="U239" s="63">
        <f t="shared" si="29"/>
        <v>0</v>
      </c>
      <c r="V239" s="63">
        <f t="shared" si="29"/>
        <v>150588.20000000001</v>
      </c>
      <c r="W239" s="63">
        <f t="shared" si="29"/>
        <v>177869.2</v>
      </c>
      <c r="X239" s="63">
        <f t="shared" si="29"/>
        <v>257000</v>
      </c>
      <c r="Y239" s="25"/>
      <c r="Z239" s="25"/>
    </row>
    <row r="240" spans="1:61" ht="30" hidden="1" customHeight="1">
      <c r="A240" s="899"/>
      <c r="B240" s="826" t="s">
        <v>10</v>
      </c>
      <c r="C240" s="659">
        <v>176</v>
      </c>
      <c r="D240" s="102" t="s">
        <v>487</v>
      </c>
      <c r="E240" s="102" t="s">
        <v>488</v>
      </c>
      <c r="F240" s="659">
        <v>6100602920</v>
      </c>
      <c r="G240" s="659">
        <v>414</v>
      </c>
      <c r="H240" s="6" t="e">
        <f>H124</f>
        <v>#REF!</v>
      </c>
      <c r="I240" s="6" t="e">
        <f>I124</f>
        <v>#REF!</v>
      </c>
      <c r="J240" s="6" t="e">
        <f>J124</f>
        <v>#REF!</v>
      </c>
      <c r="K240" s="6" t="e">
        <f>K124</f>
        <v>#REF!</v>
      </c>
      <c r="L240" s="6" t="e">
        <f>L124</f>
        <v>#REF!</v>
      </c>
      <c r="M240" s="63" t="e">
        <f>M124+M185</f>
        <v>#REF!</v>
      </c>
      <c r="N240" s="63" t="e">
        <f>N124+N185</f>
        <v>#REF!</v>
      </c>
      <c r="O240" s="63" t="e">
        <f>O124+O185</f>
        <v>#REF!</v>
      </c>
      <c r="P240" s="63" t="e">
        <f>P124+P185</f>
        <v>#REF!</v>
      </c>
      <c r="Q240" s="63" t="e">
        <f>Q124+Q185</f>
        <v>#REF!</v>
      </c>
      <c r="R240" s="63">
        <f t="shared" ref="R240:X240" si="30">R208</f>
        <v>0</v>
      </c>
      <c r="S240" s="63">
        <f t="shared" si="30"/>
        <v>0</v>
      </c>
      <c r="T240" s="63">
        <f t="shared" si="30"/>
        <v>0</v>
      </c>
      <c r="U240" s="63">
        <f t="shared" si="30"/>
        <v>0</v>
      </c>
      <c r="V240" s="63">
        <f t="shared" si="30"/>
        <v>0</v>
      </c>
      <c r="W240" s="63">
        <f t="shared" si="30"/>
        <v>0</v>
      </c>
      <c r="X240" s="63">
        <f t="shared" si="30"/>
        <v>0</v>
      </c>
      <c r="Y240" s="25"/>
      <c r="Z240" s="293"/>
    </row>
    <row r="241" spans="1:27" ht="30" hidden="1" customHeight="1">
      <c r="A241" s="899"/>
      <c r="B241" s="826" t="s">
        <v>10</v>
      </c>
      <c r="C241" s="659">
        <v>124</v>
      </c>
      <c r="D241" s="102" t="s">
        <v>487</v>
      </c>
      <c r="E241" s="102" t="s">
        <v>488</v>
      </c>
      <c r="F241" s="659">
        <v>6100702780</v>
      </c>
      <c r="G241" s="659">
        <v>414</v>
      </c>
      <c r="H241" s="6"/>
      <c r="I241" s="6"/>
      <c r="J241" s="6"/>
      <c r="K241" s="6"/>
      <c r="L241" s="6"/>
      <c r="M241" s="63"/>
      <c r="N241" s="63"/>
      <c r="O241" s="63"/>
      <c r="P241" s="63"/>
      <c r="Q241" s="63"/>
      <c r="R241" s="63">
        <f t="shared" ref="R241:X241" si="31">R216</f>
        <v>447176.9</v>
      </c>
      <c r="S241" s="63">
        <f t="shared" si="31"/>
        <v>0</v>
      </c>
      <c r="T241" s="63">
        <f t="shared" si="31"/>
        <v>150601.79999999999</v>
      </c>
      <c r="U241" s="63">
        <f t="shared" si="31"/>
        <v>275843.20000000001</v>
      </c>
      <c r="V241" s="63">
        <f t="shared" si="31"/>
        <v>20731.900000000001</v>
      </c>
      <c r="W241" s="63">
        <f t="shared" si="31"/>
        <v>1028851.8</v>
      </c>
      <c r="X241" s="63">
        <f t="shared" si="31"/>
        <v>0</v>
      </c>
      <c r="Y241" s="25"/>
      <c r="Z241" s="293"/>
    </row>
    <row r="242" spans="1:27" ht="30" hidden="1" customHeight="1">
      <c r="A242" s="899"/>
      <c r="B242" s="826" t="s">
        <v>247</v>
      </c>
      <c r="C242" s="659">
        <v>176</v>
      </c>
      <c r="D242" s="102" t="s">
        <v>487</v>
      </c>
      <c r="E242" s="102" t="s">
        <v>488</v>
      </c>
      <c r="F242" s="659">
        <v>6100102770</v>
      </c>
      <c r="G242" s="659">
        <v>414</v>
      </c>
      <c r="H242" s="6"/>
      <c r="I242" s="6"/>
      <c r="J242" s="6"/>
      <c r="K242" s="6"/>
      <c r="L242" s="6"/>
      <c r="M242" s="63"/>
      <c r="N242" s="63"/>
      <c r="O242" s="63"/>
      <c r="P242" s="63"/>
      <c r="Q242" s="63"/>
      <c r="R242" s="63">
        <f t="shared" ref="R242:X242" si="32">R125</f>
        <v>671190.6</v>
      </c>
      <c r="S242" s="63">
        <f t="shared" si="32"/>
        <v>0</v>
      </c>
      <c r="T242" s="63">
        <f t="shared" si="32"/>
        <v>0</v>
      </c>
      <c r="U242" s="63">
        <f t="shared" si="32"/>
        <v>0</v>
      </c>
      <c r="V242" s="63">
        <f t="shared" si="32"/>
        <v>671190.6</v>
      </c>
      <c r="W242" s="63">
        <f t="shared" si="32"/>
        <v>390056.3</v>
      </c>
      <c r="X242" s="63">
        <f t="shared" si="32"/>
        <v>1211326.5</v>
      </c>
      <c r="Y242" s="25"/>
      <c r="Z242" s="293"/>
    </row>
    <row r="243" spans="1:27" ht="33.75" hidden="1" customHeight="1">
      <c r="A243" s="899"/>
      <c r="B243" s="826" t="s">
        <v>647</v>
      </c>
      <c r="C243" s="659">
        <v>176</v>
      </c>
      <c r="D243" s="102" t="s">
        <v>487</v>
      </c>
      <c r="E243" s="102" t="s">
        <v>488</v>
      </c>
      <c r="F243" s="659">
        <v>6100202790</v>
      </c>
      <c r="G243" s="659">
        <v>414</v>
      </c>
      <c r="H243" s="6"/>
      <c r="I243" s="6"/>
      <c r="J243" s="6"/>
      <c r="K243" s="6"/>
      <c r="L243" s="6"/>
      <c r="M243" s="63"/>
      <c r="N243" s="63"/>
      <c r="O243" s="63"/>
      <c r="P243" s="63"/>
      <c r="Q243" s="63"/>
      <c r="R243" s="63">
        <f>R193</f>
        <v>795000</v>
      </c>
      <c r="S243" s="63">
        <f>S185</f>
        <v>235706.4</v>
      </c>
      <c r="T243" s="63">
        <f>T185</f>
        <v>237484.1</v>
      </c>
      <c r="U243" s="63">
        <f>U185</f>
        <v>161503.6</v>
      </c>
      <c r="V243" s="63">
        <f>V193</f>
        <v>160305.9</v>
      </c>
      <c r="W243" s="63">
        <f>W193</f>
        <v>1500000</v>
      </c>
      <c r="X243" s="63">
        <f>X193</f>
        <v>0</v>
      </c>
      <c r="Y243" s="25"/>
      <c r="Z243" s="293"/>
      <c r="AA243" s="278">
        <f>W238-1713804.8</f>
        <v>1382972.4999999998</v>
      </c>
    </row>
    <row r="244" spans="1:27" ht="25.5" customHeight="1">
      <c r="A244" s="899"/>
      <c r="B244" s="826" t="s">
        <v>436</v>
      </c>
      <c r="C244" s="659">
        <v>176</v>
      </c>
      <c r="D244" s="102" t="s">
        <v>487</v>
      </c>
      <c r="E244" s="102" t="s">
        <v>488</v>
      </c>
      <c r="F244" s="659" t="s">
        <v>540</v>
      </c>
      <c r="G244" s="659">
        <v>414</v>
      </c>
      <c r="H244" s="6"/>
      <c r="I244" s="6"/>
      <c r="J244" s="6"/>
      <c r="K244" s="6"/>
      <c r="L244" s="6"/>
      <c r="M244" s="63"/>
      <c r="N244" s="63"/>
      <c r="O244" s="63"/>
      <c r="P244" s="63"/>
      <c r="Q244" s="63"/>
      <c r="R244" s="63">
        <f t="shared" ref="R244:X244" si="33">R245+R246+R247</f>
        <v>735662.1</v>
      </c>
      <c r="S244" s="63">
        <f t="shared" si="33"/>
        <v>0</v>
      </c>
      <c r="T244" s="63">
        <f t="shared" si="33"/>
        <v>500000</v>
      </c>
      <c r="U244" s="63">
        <f t="shared" si="33"/>
        <v>0</v>
      </c>
      <c r="V244" s="63">
        <f t="shared" si="33"/>
        <v>235662.1</v>
      </c>
      <c r="W244" s="63">
        <f t="shared" si="33"/>
        <v>8206790.0999999996</v>
      </c>
      <c r="X244" s="63">
        <f t="shared" si="33"/>
        <v>9368188.0999999996</v>
      </c>
      <c r="Y244" s="25"/>
      <c r="Z244" s="293"/>
    </row>
    <row r="245" spans="1:27" ht="30" hidden="1" customHeight="1">
      <c r="A245" s="899"/>
      <c r="B245" s="826" t="s">
        <v>643</v>
      </c>
      <c r="C245" s="659">
        <v>176</v>
      </c>
      <c r="D245" s="102" t="s">
        <v>487</v>
      </c>
      <c r="E245" s="102" t="s">
        <v>488</v>
      </c>
      <c r="F245" s="659" t="s">
        <v>644</v>
      </c>
      <c r="G245" s="659">
        <v>415</v>
      </c>
      <c r="H245" s="6"/>
      <c r="I245" s="6"/>
      <c r="J245" s="6"/>
      <c r="K245" s="6"/>
      <c r="L245" s="6"/>
      <c r="M245" s="63"/>
      <c r="N245" s="63"/>
      <c r="O245" s="63"/>
      <c r="P245" s="63"/>
      <c r="Q245" s="63"/>
      <c r="R245" s="63">
        <f t="shared" ref="R245:X245" si="34">R194</f>
        <v>500000</v>
      </c>
      <c r="S245" s="63">
        <f t="shared" si="34"/>
        <v>0</v>
      </c>
      <c r="T245" s="63">
        <f t="shared" si="34"/>
        <v>500000</v>
      </c>
      <c r="U245" s="63">
        <f t="shared" si="34"/>
        <v>0</v>
      </c>
      <c r="V245" s="63">
        <f t="shared" si="34"/>
        <v>0</v>
      </c>
      <c r="W245" s="63">
        <f t="shared" si="34"/>
        <v>8101500</v>
      </c>
      <c r="X245" s="63">
        <f t="shared" si="34"/>
        <v>9258420.6999999993</v>
      </c>
      <c r="Y245" s="25"/>
      <c r="Z245" s="25"/>
    </row>
    <row r="246" spans="1:27" ht="32.25" hidden="1" customHeight="1">
      <c r="A246" s="899"/>
      <c r="B246" s="826" t="s">
        <v>744</v>
      </c>
      <c r="C246" s="659">
        <v>176</v>
      </c>
      <c r="D246" s="102" t="s">
        <v>487</v>
      </c>
      <c r="E246" s="102" t="s">
        <v>488</v>
      </c>
      <c r="F246" s="659" t="s">
        <v>909</v>
      </c>
      <c r="G246" s="659">
        <v>414</v>
      </c>
      <c r="H246" s="6" t="e">
        <f>H126</f>
        <v>#REF!</v>
      </c>
      <c r="I246" s="6" t="e">
        <f>I126</f>
        <v>#REF!</v>
      </c>
      <c r="J246" s="6" t="e">
        <f>J126</f>
        <v>#REF!</v>
      </c>
      <c r="K246" s="6" t="e">
        <f>K126</f>
        <v>#REF!</v>
      </c>
      <c r="L246" s="6" t="e">
        <f>L126</f>
        <v>#REF!</v>
      </c>
      <c r="M246" s="63" t="e">
        <f>M126+M186</f>
        <v>#REF!</v>
      </c>
      <c r="N246" s="63"/>
      <c r="O246" s="63"/>
      <c r="P246" s="63" t="e">
        <f>P126+P186</f>
        <v>#REF!</v>
      </c>
      <c r="Q246" s="63" t="e">
        <f>Q126+Q186</f>
        <v>#REF!</v>
      </c>
      <c r="R246" s="63">
        <f t="shared" ref="R246:X246" si="35">R126</f>
        <v>235662.1</v>
      </c>
      <c r="S246" s="63">
        <f t="shared" si="35"/>
        <v>0</v>
      </c>
      <c r="T246" s="63">
        <f t="shared" si="35"/>
        <v>0</v>
      </c>
      <c r="U246" s="63">
        <f t="shared" si="35"/>
        <v>0</v>
      </c>
      <c r="V246" s="63">
        <f t="shared" si="35"/>
        <v>235662.1</v>
      </c>
      <c r="W246" s="63">
        <f t="shared" si="35"/>
        <v>105290.1</v>
      </c>
      <c r="X246" s="63">
        <f t="shared" si="35"/>
        <v>109767.4</v>
      </c>
      <c r="Y246" s="25"/>
      <c r="Z246" s="293"/>
    </row>
    <row r="247" spans="1:27" ht="32.25" hidden="1" customHeight="1">
      <c r="A247" s="899"/>
      <c r="B247" s="826" t="s">
        <v>642</v>
      </c>
      <c r="C247" s="659">
        <v>176</v>
      </c>
      <c r="D247" s="102" t="s">
        <v>487</v>
      </c>
      <c r="E247" s="102" t="s">
        <v>488</v>
      </c>
      <c r="F247" s="659" t="s">
        <v>553</v>
      </c>
      <c r="G247" s="659">
        <v>414</v>
      </c>
      <c r="H247" s="6"/>
      <c r="I247" s="6"/>
      <c r="J247" s="6"/>
      <c r="K247" s="6"/>
      <c r="L247" s="6"/>
      <c r="M247" s="63"/>
      <c r="N247" s="63"/>
      <c r="O247" s="63"/>
      <c r="P247" s="63"/>
      <c r="Q247" s="63"/>
      <c r="R247" s="63">
        <v>0</v>
      </c>
      <c r="S247" s="63">
        <f>'Подробный перечень(БКАД)'!$H$16</f>
        <v>0</v>
      </c>
      <c r="T247" s="63">
        <f>'Подробный перечень(БКАД)'!$I$16</f>
        <v>0</v>
      </c>
      <c r="U247" s="63">
        <f>'Подробный перечень(БКАД)'!$J$16</f>
        <v>0</v>
      </c>
      <c r="V247" s="63">
        <v>0</v>
      </c>
      <c r="W247" s="63">
        <v>0</v>
      </c>
      <c r="X247" s="63">
        <v>0</v>
      </c>
      <c r="Y247" s="293"/>
      <c r="Z247" s="25"/>
    </row>
    <row r="248" spans="1:27" ht="32.25" customHeight="1">
      <c r="A248" s="899"/>
      <c r="B248" s="826" t="s">
        <v>435</v>
      </c>
      <c r="C248" s="659"/>
      <c r="D248" s="102"/>
      <c r="E248" s="102"/>
      <c r="F248" s="659"/>
      <c r="G248" s="659"/>
      <c r="H248" s="6">
        <f>H129</f>
        <v>0</v>
      </c>
      <c r="I248" s="6">
        <v>0</v>
      </c>
      <c r="J248" s="6">
        <v>0</v>
      </c>
      <c r="K248" s="6">
        <v>0</v>
      </c>
      <c r="L248" s="6">
        <v>0</v>
      </c>
      <c r="M248" s="63"/>
      <c r="N248" s="63"/>
      <c r="O248" s="63"/>
      <c r="P248" s="63"/>
      <c r="Q248" s="63"/>
      <c r="R248" s="63"/>
      <c r="S248" s="63"/>
      <c r="T248" s="63"/>
      <c r="U248" s="63"/>
      <c r="V248" s="63"/>
      <c r="W248" s="63"/>
      <c r="X248" s="63"/>
      <c r="Y248" s="25"/>
      <c r="Z248" s="25"/>
      <c r="AA248" s="278"/>
    </row>
    <row r="249" spans="1:27" ht="33.75" customHeight="1">
      <c r="A249" s="899"/>
      <c r="B249" s="826" t="s">
        <v>447</v>
      </c>
      <c r="C249" s="659"/>
      <c r="D249" s="102"/>
      <c r="E249" s="102"/>
      <c r="F249" s="659"/>
      <c r="G249" s="659"/>
      <c r="H249" s="6">
        <v>0</v>
      </c>
      <c r="I249" s="6">
        <v>0</v>
      </c>
      <c r="J249" s="6">
        <v>0</v>
      </c>
      <c r="K249" s="6">
        <v>0</v>
      </c>
      <c r="L249" s="6">
        <v>0</v>
      </c>
      <c r="M249" s="63"/>
      <c r="N249" s="63"/>
      <c r="O249" s="63"/>
      <c r="P249" s="63"/>
      <c r="Q249" s="63"/>
      <c r="R249" s="63">
        <f t="shared" ref="R249:X249" si="36">R196</f>
        <v>4225277</v>
      </c>
      <c r="S249" s="63">
        <f t="shared" si="36"/>
        <v>0</v>
      </c>
      <c r="T249" s="63">
        <f t="shared" si="36"/>
        <v>0</v>
      </c>
      <c r="U249" s="63">
        <f t="shared" si="36"/>
        <v>0</v>
      </c>
      <c r="V249" s="63">
        <f t="shared" si="36"/>
        <v>4225277</v>
      </c>
      <c r="W249" s="63">
        <f t="shared" si="36"/>
        <v>2430741</v>
      </c>
      <c r="X249" s="63">
        <f t="shared" si="36"/>
        <v>668155</v>
      </c>
      <c r="Y249" s="25"/>
      <c r="Z249" s="25"/>
      <c r="AA249" s="278"/>
    </row>
    <row r="250" spans="1:27" ht="33.75" customHeight="1">
      <c r="A250" s="905"/>
      <c r="B250" s="826" t="s">
        <v>1010</v>
      </c>
      <c r="C250" s="659"/>
      <c r="D250" s="102"/>
      <c r="E250" s="102"/>
      <c r="F250" s="659"/>
      <c r="G250" s="659"/>
      <c r="H250" s="6"/>
      <c r="I250" s="6"/>
      <c r="J250" s="6"/>
      <c r="K250" s="6"/>
      <c r="L250" s="6"/>
      <c r="M250" s="63"/>
      <c r="N250" s="63"/>
      <c r="O250" s="63"/>
      <c r="P250" s="63"/>
      <c r="Q250" s="63"/>
      <c r="R250" s="63"/>
      <c r="S250" s="63"/>
      <c r="T250" s="63"/>
      <c r="U250" s="63"/>
      <c r="V250" s="63"/>
      <c r="W250" s="63"/>
      <c r="X250" s="63"/>
      <c r="Y250" s="25"/>
      <c r="Z250" s="25"/>
      <c r="AA250" s="278"/>
    </row>
    <row r="251" spans="1:27" ht="33.75" hidden="1" customHeight="1">
      <c r="A251" s="569"/>
      <c r="B251" s="825"/>
      <c r="C251" s="570"/>
      <c r="D251" s="571"/>
      <c r="E251" s="571"/>
      <c r="F251" s="570" t="s">
        <v>425</v>
      </c>
      <c r="G251" s="570"/>
      <c r="H251" s="572"/>
      <c r="I251" s="572"/>
      <c r="J251" s="572"/>
      <c r="K251" s="572"/>
      <c r="L251" s="572"/>
      <c r="M251" s="573"/>
      <c r="N251" s="573"/>
      <c r="O251" s="573"/>
      <c r="P251" s="573"/>
      <c r="Q251" s="573"/>
      <c r="R251" s="573">
        <f>R25+R124+R125</f>
        <v>1390078.6</v>
      </c>
      <c r="S251" s="573">
        <f t="shared" ref="S251:X251" si="37">S238+S25-S216</f>
        <v>241442.69999999998</v>
      </c>
      <c r="T251" s="573">
        <f t="shared" si="37"/>
        <v>237484.10000000003</v>
      </c>
      <c r="U251" s="573">
        <f t="shared" si="37"/>
        <v>161503.60000000003</v>
      </c>
      <c r="V251" s="573">
        <f t="shared" si="37"/>
        <v>1544648.2000000002</v>
      </c>
      <c r="W251" s="573">
        <f t="shared" si="37"/>
        <v>2978625.5</v>
      </c>
      <c r="X251" s="573">
        <f t="shared" si="37"/>
        <v>2648851.4</v>
      </c>
      <c r="Y251" s="573">
        <f>Y238+Y25</f>
        <v>0</v>
      </c>
      <c r="Z251" s="575"/>
      <c r="AA251" s="278"/>
    </row>
    <row r="252" spans="1:27" ht="33.75" hidden="1" customHeight="1">
      <c r="A252" s="569"/>
      <c r="B252" s="848"/>
      <c r="C252" s="570"/>
      <c r="D252" s="571"/>
      <c r="E252" s="571"/>
      <c r="F252" s="570" t="s">
        <v>1152</v>
      </c>
      <c r="G252" s="570"/>
      <c r="H252" s="572"/>
      <c r="I252" s="572"/>
      <c r="J252" s="572"/>
      <c r="K252" s="572"/>
      <c r="L252" s="572"/>
      <c r="M252" s="573"/>
      <c r="N252" s="573"/>
      <c r="O252" s="573"/>
      <c r="P252" s="573"/>
      <c r="Q252" s="573"/>
      <c r="R252" s="573">
        <f>R249</f>
        <v>4225277</v>
      </c>
      <c r="S252" s="573">
        <f t="shared" ref="S252:X252" si="38">S249</f>
        <v>0</v>
      </c>
      <c r="T252" s="573">
        <f t="shared" si="38"/>
        <v>0</v>
      </c>
      <c r="U252" s="573">
        <f t="shared" si="38"/>
        <v>0</v>
      </c>
      <c r="V252" s="573">
        <f t="shared" si="38"/>
        <v>4225277</v>
      </c>
      <c r="W252" s="573">
        <f t="shared" si="38"/>
        <v>2430741</v>
      </c>
      <c r="X252" s="573">
        <f t="shared" si="38"/>
        <v>668155</v>
      </c>
      <c r="Y252" s="573"/>
      <c r="Z252" s="575"/>
      <c r="AA252" s="278"/>
    </row>
    <row r="253" spans="1:27" ht="33.75" hidden="1" customHeight="1">
      <c r="A253" s="569"/>
      <c r="B253" s="825"/>
      <c r="C253" s="570"/>
      <c r="D253" s="571"/>
      <c r="E253" s="571"/>
      <c r="F253" s="570" t="s">
        <v>424</v>
      </c>
      <c r="G253" s="570"/>
      <c r="H253" s="572"/>
      <c r="I253" s="572"/>
      <c r="J253" s="572"/>
      <c r="K253" s="572"/>
      <c r="L253" s="572"/>
      <c r="M253" s="573"/>
      <c r="N253" s="573"/>
      <c r="O253" s="573"/>
      <c r="P253" s="573"/>
      <c r="Q253" s="573"/>
      <c r="R253" s="573">
        <f>R26+R126</f>
        <v>1097615.3</v>
      </c>
      <c r="S253" s="573">
        <f t="shared" ref="S253:X253" si="39">S244+S35</f>
        <v>0</v>
      </c>
      <c r="T253" s="573">
        <f t="shared" si="39"/>
        <v>500000</v>
      </c>
      <c r="U253" s="573">
        <f t="shared" si="39"/>
        <v>0</v>
      </c>
      <c r="V253" s="573">
        <f t="shared" si="39"/>
        <v>1097615.3</v>
      </c>
      <c r="W253" s="573">
        <f t="shared" si="39"/>
        <v>9176790.0999999996</v>
      </c>
      <c r="X253" s="573">
        <f t="shared" si="39"/>
        <v>9368188.0999999996</v>
      </c>
      <c r="Y253" s="574"/>
      <c r="Z253" s="575"/>
      <c r="AA253" s="278"/>
    </row>
    <row r="254" spans="1:27" ht="30.75" hidden="1" customHeight="1">
      <c r="A254" s="569"/>
      <c r="B254" s="825"/>
      <c r="C254" s="570"/>
      <c r="D254" s="571"/>
      <c r="E254" s="571"/>
      <c r="F254" s="570"/>
      <c r="G254" s="570"/>
      <c r="H254" s="572"/>
      <c r="I254" s="572"/>
      <c r="J254" s="572"/>
      <c r="K254" s="572"/>
      <c r="L254" s="572"/>
      <c r="M254" s="573"/>
      <c r="N254" s="573"/>
      <c r="O254" s="573"/>
      <c r="P254" s="573"/>
      <c r="Q254" s="573"/>
      <c r="R254" s="573">
        <f>R251+R252+R253</f>
        <v>6712970.8999999994</v>
      </c>
      <c r="S254" s="573">
        <f t="shared" ref="S254:X254" si="40">S251+S252+S253</f>
        <v>241442.69999999998</v>
      </c>
      <c r="T254" s="573">
        <f t="shared" si="40"/>
        <v>737484.10000000009</v>
      </c>
      <c r="U254" s="573">
        <f t="shared" si="40"/>
        <v>161503.60000000003</v>
      </c>
      <c r="V254" s="573">
        <f t="shared" si="40"/>
        <v>6867540.5</v>
      </c>
      <c r="W254" s="573">
        <f t="shared" si="40"/>
        <v>14586156.6</v>
      </c>
      <c r="X254" s="573">
        <f t="shared" si="40"/>
        <v>12685194.5</v>
      </c>
      <c r="Y254" s="574"/>
      <c r="Z254" s="575"/>
      <c r="AA254" s="278"/>
    </row>
    <row r="255" spans="1:27" ht="27.75" customHeight="1">
      <c r="A255" s="875" t="s">
        <v>326</v>
      </c>
      <c r="B255" s="876"/>
      <c r="C255" s="876"/>
      <c r="D255" s="876"/>
      <c r="E255" s="876"/>
      <c r="F255" s="876"/>
      <c r="G255" s="876"/>
      <c r="H255" s="876"/>
      <c r="I255" s="876"/>
      <c r="J255" s="876"/>
      <c r="K255" s="876"/>
      <c r="L255" s="876"/>
      <c r="M255" s="876"/>
      <c r="N255" s="876"/>
      <c r="O255" s="876"/>
      <c r="P255" s="876"/>
      <c r="Q255" s="876"/>
      <c r="R255" s="876"/>
      <c r="S255" s="876"/>
      <c r="T255" s="876"/>
      <c r="U255" s="876"/>
      <c r="V255" s="876"/>
      <c r="W255" s="876"/>
      <c r="X255" s="876"/>
      <c r="Y255" s="876"/>
      <c r="Z255" s="877"/>
      <c r="AA255" s="278"/>
    </row>
    <row r="256" spans="1:27" ht="25.5" customHeight="1">
      <c r="A256" s="887" t="s">
        <v>192</v>
      </c>
      <c r="B256" s="826" t="s">
        <v>266</v>
      </c>
      <c r="C256" s="659"/>
      <c r="D256" s="102"/>
      <c r="E256" s="102"/>
      <c r="F256" s="659"/>
      <c r="G256" s="659"/>
      <c r="H256" s="11">
        <v>0</v>
      </c>
      <c r="I256" s="11">
        <v>0</v>
      </c>
      <c r="J256" s="11">
        <v>0</v>
      </c>
      <c r="K256" s="11">
        <v>0</v>
      </c>
      <c r="L256" s="11">
        <v>0</v>
      </c>
      <c r="M256" s="48"/>
      <c r="N256" s="48"/>
      <c r="O256" s="48"/>
      <c r="P256" s="48"/>
      <c r="Q256" s="48"/>
      <c r="R256" s="48"/>
      <c r="S256" s="48"/>
      <c r="T256" s="48"/>
      <c r="U256" s="48"/>
      <c r="V256" s="48"/>
      <c r="W256" s="48"/>
      <c r="X256" s="48"/>
      <c r="Y256" s="878" t="s">
        <v>26</v>
      </c>
      <c r="Z256" s="884" t="s">
        <v>190</v>
      </c>
    </row>
    <row r="257" spans="1:33" ht="26.25" customHeight="1">
      <c r="A257" s="888"/>
      <c r="B257" s="826" t="s">
        <v>24</v>
      </c>
      <c r="C257" s="659"/>
      <c r="D257" s="102"/>
      <c r="E257" s="102"/>
      <c r="F257" s="659"/>
      <c r="G257" s="659"/>
      <c r="H257" s="11">
        <v>0</v>
      </c>
      <c r="I257" s="11">
        <v>0</v>
      </c>
      <c r="J257" s="11">
        <v>0</v>
      </c>
      <c r="K257" s="11">
        <v>0</v>
      </c>
      <c r="L257" s="11">
        <v>0</v>
      </c>
      <c r="M257" s="48"/>
      <c r="N257" s="48"/>
      <c r="O257" s="48"/>
      <c r="P257" s="48"/>
      <c r="Q257" s="48"/>
      <c r="R257" s="48"/>
      <c r="S257" s="48" t="s">
        <v>489</v>
      </c>
      <c r="T257" s="48" t="s">
        <v>489</v>
      </c>
      <c r="U257" s="48" t="s">
        <v>489</v>
      </c>
      <c r="V257" s="48" t="s">
        <v>489</v>
      </c>
      <c r="W257" s="48"/>
      <c r="X257" s="48"/>
      <c r="Y257" s="879"/>
      <c r="Z257" s="885"/>
    </row>
    <row r="258" spans="1:33" ht="33" customHeight="1">
      <c r="A258" s="888"/>
      <c r="B258" s="840" t="s">
        <v>1143</v>
      </c>
      <c r="C258" s="659">
        <v>176</v>
      </c>
      <c r="D258" s="102" t="s">
        <v>487</v>
      </c>
      <c r="E258" s="102" t="s">
        <v>488</v>
      </c>
      <c r="F258" s="659" t="s">
        <v>540</v>
      </c>
      <c r="G258" s="659" t="s">
        <v>28</v>
      </c>
      <c r="H258" s="11" t="e">
        <f>H260+H261</f>
        <v>#REF!</v>
      </c>
      <c r="I258" s="11" t="e">
        <f t="shared" ref="I258:Q258" si="41">I260</f>
        <v>#REF!</v>
      </c>
      <c r="J258" s="11" t="e">
        <f t="shared" si="41"/>
        <v>#REF!</v>
      </c>
      <c r="K258" s="11" t="e">
        <f t="shared" si="41"/>
        <v>#REF!</v>
      </c>
      <c r="L258" s="11" t="e">
        <f t="shared" si="41"/>
        <v>#REF!</v>
      </c>
      <c r="M258" s="48" t="e">
        <f t="shared" si="41"/>
        <v>#REF!</v>
      </c>
      <c r="N258" s="48" t="e">
        <f t="shared" si="41"/>
        <v>#REF!</v>
      </c>
      <c r="O258" s="48" t="e">
        <f t="shared" si="41"/>
        <v>#REF!</v>
      </c>
      <c r="P258" s="48" t="e">
        <f t="shared" si="41"/>
        <v>#REF!</v>
      </c>
      <c r="Q258" s="48" t="e">
        <f t="shared" si="41"/>
        <v>#REF!</v>
      </c>
      <c r="R258" s="48">
        <f>SUM(R260:R261)</f>
        <v>5718404.7000000002</v>
      </c>
      <c r="S258" s="48">
        <f t="shared" ref="S258:V258" si="42">SUM(S260:S261)</f>
        <v>998726.07045999996</v>
      </c>
      <c r="T258" s="48">
        <f t="shared" si="42"/>
        <v>993036.58594999998</v>
      </c>
      <c r="U258" s="48">
        <f t="shared" si="42"/>
        <v>966489.28530999995</v>
      </c>
      <c r="V258" s="48">
        <f t="shared" si="42"/>
        <v>2760152.7582800006</v>
      </c>
      <c r="W258" s="48">
        <f>SUM(W260:W261)</f>
        <v>4475324.7</v>
      </c>
      <c r="X258" s="48">
        <f t="shared" ref="X258" si="43">SUM(X260:X261)</f>
        <v>7108704</v>
      </c>
      <c r="Y258" s="879"/>
      <c r="Z258" s="885"/>
    </row>
    <row r="259" spans="1:33" ht="19.5" hidden="1" customHeight="1">
      <c r="A259" s="888"/>
      <c r="B259" s="841"/>
      <c r="C259" s="659"/>
      <c r="D259" s="102"/>
      <c r="E259" s="102"/>
      <c r="F259" s="659"/>
      <c r="G259" s="659"/>
      <c r="H259" s="11"/>
      <c r="I259" s="11"/>
      <c r="J259" s="11"/>
      <c r="K259" s="11"/>
      <c r="L259" s="11"/>
      <c r="M259" s="48"/>
      <c r="N259" s="48"/>
      <c r="O259" s="48"/>
      <c r="P259" s="48"/>
      <c r="Q259" s="48"/>
      <c r="R259" s="48"/>
      <c r="S259" s="48"/>
      <c r="T259" s="48"/>
      <c r="U259" s="48"/>
      <c r="V259" s="48"/>
      <c r="W259" s="48"/>
      <c r="X259" s="48"/>
      <c r="Y259" s="879"/>
      <c r="Z259" s="885"/>
      <c r="AG259" s="71"/>
    </row>
    <row r="260" spans="1:33" ht="27" customHeight="1">
      <c r="A260" s="888"/>
      <c r="B260" s="826" t="s">
        <v>10</v>
      </c>
      <c r="C260" s="659">
        <v>176</v>
      </c>
      <c r="D260" s="102" t="s">
        <v>487</v>
      </c>
      <c r="E260" s="102" t="s">
        <v>488</v>
      </c>
      <c r="F260" s="659">
        <v>6100302810</v>
      </c>
      <c r="G260" s="659" t="s">
        <v>28</v>
      </c>
      <c r="H260" s="11" t="e">
        <f>H268+H324+#REF!+H453+H462+H469+H494+H517</f>
        <v>#REF!</v>
      </c>
      <c r="I260" s="11" t="e">
        <f>I268+I325+#REF!+I453+I462+I469+I494+I517</f>
        <v>#REF!</v>
      </c>
      <c r="J260" s="11" t="e">
        <f>J268+J325+#REF!+J453+J462+J469+J494+J517</f>
        <v>#REF!</v>
      </c>
      <c r="K260" s="11" t="e">
        <f>K268+K325+#REF!+K453+K462+K469+K494+K517</f>
        <v>#REF!</v>
      </c>
      <c r="L260" s="11" t="e">
        <f>L268+L325+#REF!+L453+L462+L469+L494+L517</f>
        <v>#REF!</v>
      </c>
      <c r="M260" s="48" t="e">
        <f>M268+M325+#REF!+M453+M462+M469+M494+M517</f>
        <v>#REF!</v>
      </c>
      <c r="N260" s="48" t="e">
        <f>N268+N325+#REF!+N453+N462+N469+N494+N517</f>
        <v>#REF!</v>
      </c>
      <c r="O260" s="48" t="e">
        <f>O268+O325+#REF!+O453+O462+O469+O494+O517</f>
        <v>#REF!</v>
      </c>
      <c r="P260" s="48" t="e">
        <f>P268+P325+#REF!+P453+P462+P469+P494+P517</f>
        <v>#REF!</v>
      </c>
      <c r="Q260" s="48" t="e">
        <f>Q268+Q325+#REF!+Q453+Q462+Q469+Q494+Q517</f>
        <v>#REF!</v>
      </c>
      <c r="R260" s="48">
        <f t="shared" ref="R260:X260" si="44">R268+R324+R394+R453+R469+R494</f>
        <v>5718404.7000000002</v>
      </c>
      <c r="S260" s="48">
        <f t="shared" si="44"/>
        <v>998726.07045999996</v>
      </c>
      <c r="T260" s="48">
        <f t="shared" si="44"/>
        <v>993036.58594999998</v>
      </c>
      <c r="U260" s="48">
        <f t="shared" si="44"/>
        <v>966489.28530999995</v>
      </c>
      <c r="V260" s="48">
        <f t="shared" si="44"/>
        <v>2760152.7582800006</v>
      </c>
      <c r="W260" s="48">
        <f t="shared" si="44"/>
        <v>4475324.7</v>
      </c>
      <c r="X260" s="48">
        <f t="shared" si="44"/>
        <v>7108704</v>
      </c>
      <c r="Y260" s="879"/>
      <c r="Z260" s="885"/>
      <c r="AG260" s="71"/>
    </row>
    <row r="261" spans="1:33" ht="25.5" customHeight="1">
      <c r="A261" s="888"/>
      <c r="B261" s="826" t="s">
        <v>436</v>
      </c>
      <c r="C261" s="659">
        <v>176</v>
      </c>
      <c r="D261" s="102" t="s">
        <v>487</v>
      </c>
      <c r="E261" s="102" t="s">
        <v>488</v>
      </c>
      <c r="F261" s="659" t="s">
        <v>644</v>
      </c>
      <c r="G261" s="659" t="s">
        <v>28</v>
      </c>
      <c r="H261" s="11">
        <f>H269+H388</f>
        <v>45736.5</v>
      </c>
      <c r="I261" s="11">
        <v>0</v>
      </c>
      <c r="J261" s="11" t="e">
        <f>J269+J388</f>
        <v>#REF!</v>
      </c>
      <c r="K261" s="11" t="e">
        <f>K269+K388</f>
        <v>#REF!</v>
      </c>
      <c r="L261" s="11">
        <f>L269+L388</f>
        <v>0</v>
      </c>
      <c r="M261" s="64">
        <v>0</v>
      </c>
      <c r="N261" s="64"/>
      <c r="O261" s="64"/>
      <c r="P261" s="64"/>
      <c r="Q261" s="64"/>
      <c r="R261" s="48">
        <f t="shared" ref="R261:X261" si="45">R269+R326+R388</f>
        <v>0</v>
      </c>
      <c r="S261" s="48">
        <f t="shared" si="45"/>
        <v>0</v>
      </c>
      <c r="T261" s="48">
        <f t="shared" si="45"/>
        <v>0</v>
      </c>
      <c r="U261" s="48">
        <f t="shared" si="45"/>
        <v>0</v>
      </c>
      <c r="V261" s="48">
        <f t="shared" si="45"/>
        <v>0</v>
      </c>
      <c r="W261" s="48">
        <f t="shared" si="45"/>
        <v>0</v>
      </c>
      <c r="X261" s="48">
        <f t="shared" si="45"/>
        <v>0</v>
      </c>
      <c r="Y261" s="30"/>
      <c r="Z261" s="885"/>
    </row>
    <row r="262" spans="1:33" ht="19.5" customHeight="1">
      <c r="A262" s="888"/>
      <c r="B262" s="826" t="s">
        <v>435</v>
      </c>
      <c r="C262" s="659"/>
      <c r="D262" s="102"/>
      <c r="E262" s="102"/>
      <c r="F262" s="659"/>
      <c r="G262" s="659"/>
      <c r="H262" s="11">
        <v>0</v>
      </c>
      <c r="I262" s="11">
        <v>0</v>
      </c>
      <c r="J262" s="11">
        <v>0</v>
      </c>
      <c r="K262" s="11">
        <v>0</v>
      </c>
      <c r="L262" s="11">
        <v>0</v>
      </c>
      <c r="M262" s="64">
        <v>0</v>
      </c>
      <c r="N262" s="64"/>
      <c r="O262" s="64"/>
      <c r="P262" s="64"/>
      <c r="Q262" s="64"/>
      <c r="R262" s="64">
        <v>0</v>
      </c>
      <c r="S262" s="64"/>
      <c r="T262" s="64"/>
      <c r="U262" s="64"/>
      <c r="V262" s="64"/>
      <c r="W262" s="64">
        <v>0</v>
      </c>
      <c r="X262" s="64"/>
      <c r="Y262" s="30"/>
      <c r="Z262" s="885"/>
    </row>
    <row r="263" spans="1:33" ht="33" customHeight="1">
      <c r="A263" s="888"/>
      <c r="B263" s="826" t="s">
        <v>447</v>
      </c>
      <c r="C263" s="659"/>
      <c r="D263" s="102"/>
      <c r="E263" s="102"/>
      <c r="F263" s="659"/>
      <c r="G263" s="659"/>
      <c r="H263" s="11"/>
      <c r="I263" s="11"/>
      <c r="J263" s="11"/>
      <c r="K263" s="11"/>
      <c r="L263" s="11"/>
      <c r="M263" s="64"/>
      <c r="N263" s="64"/>
      <c r="O263" s="64"/>
      <c r="P263" s="64"/>
      <c r="Q263" s="64"/>
      <c r="R263" s="64"/>
      <c r="S263" s="64"/>
      <c r="T263" s="64"/>
      <c r="U263" s="64"/>
      <c r="V263" s="64"/>
      <c r="W263" s="64"/>
      <c r="X263" s="64"/>
      <c r="Y263" s="30"/>
      <c r="Z263" s="811"/>
    </row>
    <row r="264" spans="1:33" ht="31.5" customHeight="1">
      <c r="A264" s="889"/>
      <c r="B264" s="826" t="s">
        <v>1010</v>
      </c>
      <c r="C264" s="659"/>
      <c r="D264" s="102"/>
      <c r="E264" s="102"/>
      <c r="F264" s="659"/>
      <c r="G264" s="659"/>
      <c r="H264" s="11">
        <v>0</v>
      </c>
      <c r="I264" s="11">
        <v>0</v>
      </c>
      <c r="J264" s="11">
        <v>0</v>
      </c>
      <c r="K264" s="11">
        <v>0</v>
      </c>
      <c r="L264" s="11">
        <v>0</v>
      </c>
      <c r="M264" s="64">
        <v>0</v>
      </c>
      <c r="N264" s="64"/>
      <c r="O264" s="64"/>
      <c r="P264" s="64"/>
      <c r="Q264" s="64"/>
      <c r="R264" s="64">
        <v>0</v>
      </c>
      <c r="S264" s="64"/>
      <c r="T264" s="64"/>
      <c r="U264" s="64"/>
      <c r="V264" s="64"/>
      <c r="W264" s="64">
        <v>0</v>
      </c>
      <c r="X264" s="64"/>
      <c r="Y264" s="37"/>
      <c r="Z264" s="37"/>
    </row>
    <row r="265" spans="1:33" ht="26.25" customHeight="1">
      <c r="A265" s="916" t="s">
        <v>970</v>
      </c>
      <c r="B265" s="842" t="s">
        <v>721</v>
      </c>
      <c r="C265" s="659"/>
      <c r="D265" s="102"/>
      <c r="E265" s="102"/>
      <c r="F265" s="659"/>
      <c r="G265" s="659"/>
      <c r="H265" s="26" t="e">
        <f>L265</f>
        <v>#REF!</v>
      </c>
      <c r="I265" s="26"/>
      <c r="J265" s="26"/>
      <c r="K265" s="26"/>
      <c r="L265" s="26" t="e">
        <f>#REF!</f>
        <v>#REF!</v>
      </c>
      <c r="M265" s="48" t="e">
        <f>'Подробный перечень(БКАД)'!#REF!</f>
        <v>#REF!</v>
      </c>
      <c r="N265" s="48"/>
      <c r="O265" s="48"/>
      <c r="P265" s="48"/>
      <c r="Q265" s="48"/>
      <c r="R265" s="48"/>
      <c r="S265" s="48"/>
      <c r="T265" s="48"/>
      <c r="U265" s="48"/>
      <c r="V265" s="48"/>
      <c r="W265" s="48"/>
      <c r="X265" s="48"/>
      <c r="Y265" s="884" t="s">
        <v>26</v>
      </c>
      <c r="Z265" s="884" t="s">
        <v>1129</v>
      </c>
    </row>
    <row r="266" spans="1:33" ht="26.25" customHeight="1">
      <c r="A266" s="917"/>
      <c r="B266" s="826" t="s">
        <v>24</v>
      </c>
      <c r="C266" s="659"/>
      <c r="D266" s="102"/>
      <c r="E266" s="102"/>
      <c r="F266" s="659"/>
      <c r="G266" s="659"/>
      <c r="H266" s="11">
        <v>0</v>
      </c>
      <c r="I266" s="11">
        <v>0</v>
      </c>
      <c r="J266" s="11">
        <v>0</v>
      </c>
      <c r="K266" s="11">
        <v>0</v>
      </c>
      <c r="L266" s="11">
        <v>0</v>
      </c>
      <c r="M266" s="48"/>
      <c r="N266" s="48"/>
      <c r="O266" s="48"/>
      <c r="P266" s="48"/>
      <c r="Q266" s="48"/>
      <c r="R266" s="48"/>
      <c r="S266" s="48" t="s">
        <v>489</v>
      </c>
      <c r="T266" s="48" t="s">
        <v>489</v>
      </c>
      <c r="U266" s="48" t="s">
        <v>489</v>
      </c>
      <c r="V266" s="48" t="s">
        <v>489</v>
      </c>
      <c r="W266" s="48"/>
      <c r="X266" s="48"/>
      <c r="Y266" s="885"/>
      <c r="Z266" s="885"/>
    </row>
    <row r="267" spans="1:33" ht="29.25" customHeight="1">
      <c r="A267" s="917"/>
      <c r="B267" s="840" t="s">
        <v>1143</v>
      </c>
      <c r="C267" s="659">
        <v>176</v>
      </c>
      <c r="D267" s="102" t="s">
        <v>487</v>
      </c>
      <c r="E267" s="102" t="s">
        <v>488</v>
      </c>
      <c r="F267" s="659" t="s">
        <v>540</v>
      </c>
      <c r="G267" s="659">
        <v>243</v>
      </c>
      <c r="H267" s="11" t="e">
        <f t="shared" ref="H267:X267" si="46">H268+H269</f>
        <v>#REF!</v>
      </c>
      <c r="I267" s="11" t="e">
        <f t="shared" si="46"/>
        <v>#REF!</v>
      </c>
      <c r="J267" s="11" t="e">
        <f t="shared" si="46"/>
        <v>#REF!</v>
      </c>
      <c r="K267" s="11" t="e">
        <f t="shared" si="46"/>
        <v>#REF!</v>
      </c>
      <c r="L267" s="11" t="e">
        <f t="shared" si="46"/>
        <v>#REF!</v>
      </c>
      <c r="M267" s="48" t="e">
        <f t="shared" si="46"/>
        <v>#REF!</v>
      </c>
      <c r="N267" s="48" t="e">
        <f t="shared" si="46"/>
        <v>#REF!</v>
      </c>
      <c r="O267" s="48" t="e">
        <f t="shared" si="46"/>
        <v>#REF!</v>
      </c>
      <c r="P267" s="48" t="e">
        <f t="shared" si="46"/>
        <v>#REF!</v>
      </c>
      <c r="Q267" s="48" t="e">
        <f t="shared" si="46"/>
        <v>#REF!</v>
      </c>
      <c r="R267" s="48">
        <f t="shared" si="46"/>
        <v>578729.60000000009</v>
      </c>
      <c r="S267" s="48">
        <f t="shared" si="46"/>
        <v>4513.3</v>
      </c>
      <c r="T267" s="48">
        <f t="shared" si="46"/>
        <v>0</v>
      </c>
      <c r="U267" s="48">
        <f t="shared" si="46"/>
        <v>0</v>
      </c>
      <c r="V267" s="48">
        <f t="shared" si="46"/>
        <v>574216.30000000005</v>
      </c>
      <c r="W267" s="48">
        <f t="shared" si="46"/>
        <v>280545.40000000002</v>
      </c>
      <c r="X267" s="48">
        <f t="shared" si="46"/>
        <v>539061</v>
      </c>
      <c r="Y267" s="885"/>
      <c r="Z267" s="885"/>
    </row>
    <row r="268" spans="1:33" ht="28.5" customHeight="1">
      <c r="A268" s="917"/>
      <c r="B268" s="826" t="s">
        <v>10</v>
      </c>
      <c r="C268" s="659">
        <v>176</v>
      </c>
      <c r="D268" s="102" t="s">
        <v>487</v>
      </c>
      <c r="E268" s="102" t="s">
        <v>488</v>
      </c>
      <c r="F268" s="659">
        <v>6100302810</v>
      </c>
      <c r="G268" s="659">
        <v>243</v>
      </c>
      <c r="H268" s="11" t="e">
        <f>H282+H283+H284+H285+H286+H287+H288+H289+H290+H291+H292+H293+H294+H295+H296+H297+H298+H299+H300+H303+H304+H305+H306+#REF!+H309+H310+H311+H312+H313+H314+H315+#REF!-H269</f>
        <v>#REF!</v>
      </c>
      <c r="I268" s="11" t="e">
        <f>SUM(I282:I315)</f>
        <v>#REF!</v>
      </c>
      <c r="J268" s="11" t="e">
        <f>SUM(J282:J315)-J269</f>
        <v>#REF!</v>
      </c>
      <c r="K268" s="11" t="e">
        <f>SUM(K282:K315)-K269</f>
        <v>#REF!</v>
      </c>
      <c r="L268" s="11" t="e">
        <f>#REF!</f>
        <v>#REF!</v>
      </c>
      <c r="M268" s="48" t="e">
        <f>'Подробный перечень(БКАД)'!#REF!</f>
        <v>#REF!</v>
      </c>
      <c r="N268" s="48" t="e">
        <f>SUM(N282:N315)</f>
        <v>#REF!</v>
      </c>
      <c r="O268" s="48" t="e">
        <f>SUM(O282:O315)</f>
        <v>#REF!</v>
      </c>
      <c r="P268" s="48" t="e">
        <f>SUM(P282:P315)</f>
        <v>#REF!</v>
      </c>
      <c r="Q268" s="48" t="e">
        <f>SUM(Q282:Q315)</f>
        <v>#REF!</v>
      </c>
      <c r="R268" s="48">
        <f>R276+R317</f>
        <v>578729.60000000009</v>
      </c>
      <c r="S268" s="48">
        <f t="shared" ref="S268:V268" si="47">S276+S317</f>
        <v>4513.3</v>
      </c>
      <c r="T268" s="48">
        <f t="shared" si="47"/>
        <v>0</v>
      </c>
      <c r="U268" s="48">
        <f t="shared" si="47"/>
        <v>0</v>
      </c>
      <c r="V268" s="48">
        <f t="shared" si="47"/>
        <v>574216.30000000005</v>
      </c>
      <c r="W268" s="48">
        <f>W276+W317</f>
        <v>280545.40000000002</v>
      </c>
      <c r="X268" s="48">
        <f>X276+X317</f>
        <v>539061</v>
      </c>
      <c r="Y268" s="885"/>
      <c r="Z268" s="885"/>
    </row>
    <row r="269" spans="1:33" ht="30" customHeight="1">
      <c r="A269" s="917"/>
      <c r="B269" s="826" t="s">
        <v>436</v>
      </c>
      <c r="C269" s="659">
        <v>176</v>
      </c>
      <c r="D269" s="102" t="s">
        <v>487</v>
      </c>
      <c r="E269" s="102" t="s">
        <v>488</v>
      </c>
      <c r="F269" s="659"/>
      <c r="G269" s="659">
        <v>243</v>
      </c>
      <c r="H269" s="11">
        <v>45736.5</v>
      </c>
      <c r="I269" s="11"/>
      <c r="J269" s="11" t="e">
        <f>#REF!</f>
        <v>#REF!</v>
      </c>
      <c r="K269" s="11" t="e">
        <f>#REF!</f>
        <v>#REF!</v>
      </c>
      <c r="L269" s="11"/>
      <c r="M269" s="48"/>
      <c r="N269" s="48"/>
      <c r="O269" s="48"/>
      <c r="P269" s="48"/>
      <c r="Q269" s="48"/>
      <c r="R269" s="48">
        <f>[1]Мероприятия!X220</f>
        <v>0</v>
      </c>
      <c r="S269" s="48">
        <f t="shared" ref="S269:X269" si="48">S277</f>
        <v>0</v>
      </c>
      <c r="T269" s="48">
        <f t="shared" si="48"/>
        <v>0</v>
      </c>
      <c r="U269" s="48">
        <f t="shared" si="48"/>
        <v>0</v>
      </c>
      <c r="V269" s="48">
        <f t="shared" si="48"/>
        <v>0</v>
      </c>
      <c r="W269" s="48">
        <f t="shared" si="48"/>
        <v>0</v>
      </c>
      <c r="X269" s="48">
        <f t="shared" si="48"/>
        <v>0</v>
      </c>
      <c r="Y269" s="885"/>
      <c r="Z269" s="885"/>
      <c r="AA269" s="278"/>
      <c r="AB269" s="71">
        <f>W267</f>
        <v>280545.40000000002</v>
      </c>
      <c r="AD269" s="71">
        <f>X267</f>
        <v>539061</v>
      </c>
    </row>
    <row r="270" spans="1:33" ht="20.25" customHeight="1">
      <c r="A270" s="917"/>
      <c r="B270" s="826" t="s">
        <v>11</v>
      </c>
      <c r="C270" s="659"/>
      <c r="D270" s="102"/>
      <c r="E270" s="102"/>
      <c r="F270" s="659"/>
      <c r="G270" s="659"/>
      <c r="H270" s="11"/>
      <c r="I270" s="11"/>
      <c r="J270" s="11"/>
      <c r="K270" s="11"/>
      <c r="L270" s="11"/>
      <c r="M270" s="48"/>
      <c r="N270" s="48"/>
      <c r="O270" s="48"/>
      <c r="P270" s="48"/>
      <c r="Q270" s="48"/>
      <c r="R270" s="48"/>
      <c r="S270" s="48"/>
      <c r="T270" s="48"/>
      <c r="U270" s="48"/>
      <c r="V270" s="48"/>
      <c r="W270" s="48"/>
      <c r="X270" s="48"/>
      <c r="Y270" s="885"/>
      <c r="Z270" s="885"/>
      <c r="AA270" s="278"/>
      <c r="AB270" s="71">
        <f>W324</f>
        <v>98779.6</v>
      </c>
      <c r="AD270" s="71">
        <f>X324</f>
        <v>2057347.8999999997</v>
      </c>
    </row>
    <row r="271" spans="1:33" ht="28.5" customHeight="1">
      <c r="A271" s="917"/>
      <c r="B271" s="826" t="s">
        <v>447</v>
      </c>
      <c r="C271" s="659"/>
      <c r="D271" s="102"/>
      <c r="E271" s="102"/>
      <c r="F271" s="659"/>
      <c r="G271" s="659"/>
      <c r="H271" s="11"/>
      <c r="I271" s="11"/>
      <c r="J271" s="11"/>
      <c r="K271" s="11"/>
      <c r="L271" s="11"/>
      <c r="M271" s="48"/>
      <c r="N271" s="48"/>
      <c r="O271" s="48"/>
      <c r="P271" s="48"/>
      <c r="Q271" s="48"/>
      <c r="R271" s="48"/>
      <c r="S271" s="48"/>
      <c r="T271" s="48"/>
      <c r="U271" s="48"/>
      <c r="V271" s="48"/>
      <c r="W271" s="48"/>
      <c r="X271" s="48"/>
      <c r="Y271" s="885"/>
      <c r="Z271" s="885"/>
      <c r="AA271" s="278"/>
      <c r="AB271" s="71"/>
      <c r="AD271" s="71"/>
    </row>
    <row r="272" spans="1:33" ht="26.25" customHeight="1">
      <c r="A272" s="918"/>
      <c r="B272" s="826" t="s">
        <v>1010</v>
      </c>
      <c r="C272" s="659"/>
      <c r="D272" s="102"/>
      <c r="E272" s="102"/>
      <c r="F272" s="659"/>
      <c r="G272" s="659"/>
      <c r="H272" s="11"/>
      <c r="I272" s="11"/>
      <c r="J272" s="11"/>
      <c r="K272" s="11"/>
      <c r="L272" s="11"/>
      <c r="M272" s="48"/>
      <c r="N272" s="48"/>
      <c r="O272" s="48"/>
      <c r="P272" s="48"/>
      <c r="Q272" s="48"/>
      <c r="R272" s="48"/>
      <c r="S272" s="48"/>
      <c r="T272" s="48"/>
      <c r="U272" s="48"/>
      <c r="V272" s="48"/>
      <c r="W272" s="48"/>
      <c r="X272" s="48"/>
      <c r="Y272" s="885"/>
      <c r="Z272" s="885"/>
      <c r="AA272" s="278"/>
      <c r="AB272" s="71">
        <f t="shared" ref="AB272:AD272" si="49">AB269+AB270</f>
        <v>379325</v>
      </c>
      <c r="AC272" s="71">
        <f t="shared" si="49"/>
        <v>0</v>
      </c>
      <c r="AD272" s="71">
        <f t="shared" si="49"/>
        <v>2596408.8999999994</v>
      </c>
    </row>
    <row r="273" spans="1:31" ht="30.75" customHeight="1">
      <c r="A273" s="872" t="s">
        <v>867</v>
      </c>
      <c r="B273" s="830" t="s">
        <v>721</v>
      </c>
      <c r="C273" s="659"/>
      <c r="D273" s="102"/>
      <c r="E273" s="102"/>
      <c r="F273" s="58"/>
      <c r="G273" s="659"/>
      <c r="H273" s="11"/>
      <c r="I273" s="11"/>
      <c r="J273" s="11"/>
      <c r="K273" s="11"/>
      <c r="L273" s="11"/>
      <c r="M273" s="48"/>
      <c r="N273" s="48"/>
      <c r="O273" s="48"/>
      <c r="P273" s="48"/>
      <c r="Q273" s="48"/>
      <c r="R273" s="832">
        <f>V273</f>
        <v>18.048000000000002</v>
      </c>
      <c r="S273" s="48"/>
      <c r="T273" s="48"/>
      <c r="U273" s="48"/>
      <c r="V273" s="48">
        <f>'Подробный перечень (ОБ)'!K529</f>
        <v>18.048000000000002</v>
      </c>
      <c r="W273" s="48">
        <f>'Подробный перечень (ОБ)'!$L$529</f>
        <v>12</v>
      </c>
      <c r="X273" s="48">
        <f>'Подробный перечень (ОБ)'!$M$529</f>
        <v>10</v>
      </c>
      <c r="Y273" s="885"/>
      <c r="Z273" s="885"/>
    </row>
    <row r="274" spans="1:31" ht="30.75" customHeight="1">
      <c r="A274" s="873"/>
      <c r="B274" s="826" t="s">
        <v>24</v>
      </c>
      <c r="C274" s="659"/>
      <c r="D274" s="102"/>
      <c r="E274" s="102"/>
      <c r="F274" s="659"/>
      <c r="G274" s="659"/>
      <c r="H274" s="11"/>
      <c r="I274" s="11"/>
      <c r="J274" s="11"/>
      <c r="K274" s="11"/>
      <c r="L274" s="11"/>
      <c r="M274" s="48"/>
      <c r="N274" s="48"/>
      <c r="O274" s="48"/>
      <c r="P274" s="48"/>
      <c r="Q274" s="48"/>
      <c r="R274" s="833">
        <f>R275/R273</f>
        <v>31816.062721631206</v>
      </c>
      <c r="S274" s="48" t="s">
        <v>489</v>
      </c>
      <c r="T274" s="48" t="s">
        <v>489</v>
      </c>
      <c r="U274" s="48" t="s">
        <v>489</v>
      </c>
      <c r="V274" s="48" t="s">
        <v>489</v>
      </c>
      <c r="W274" s="48">
        <f>W276/W273</f>
        <v>23378.783333333336</v>
      </c>
      <c r="X274" s="48">
        <f>X276/X273</f>
        <v>53906.1</v>
      </c>
      <c r="Y274" s="885"/>
      <c r="Z274" s="885"/>
    </row>
    <row r="275" spans="1:31" ht="30.75" customHeight="1">
      <c r="A275" s="873"/>
      <c r="B275" s="840" t="s">
        <v>1143</v>
      </c>
      <c r="C275" s="659">
        <v>176</v>
      </c>
      <c r="D275" s="102" t="s">
        <v>487</v>
      </c>
      <c r="E275" s="102" t="s">
        <v>488</v>
      </c>
      <c r="F275" s="659" t="s">
        <v>540</v>
      </c>
      <c r="G275" s="659">
        <v>243</v>
      </c>
      <c r="H275" s="11"/>
      <c r="I275" s="11"/>
      <c r="J275" s="11"/>
      <c r="K275" s="11"/>
      <c r="L275" s="11"/>
      <c r="M275" s="48"/>
      <c r="N275" s="48"/>
      <c r="O275" s="48"/>
      <c r="P275" s="48"/>
      <c r="Q275" s="48"/>
      <c r="R275" s="48">
        <f t="shared" ref="R275:X275" si="50">R276+R277</f>
        <v>574216.30000000005</v>
      </c>
      <c r="S275" s="48">
        <f t="shared" si="50"/>
        <v>0</v>
      </c>
      <c r="T275" s="48">
        <f t="shared" si="50"/>
        <v>0</v>
      </c>
      <c r="U275" s="48">
        <f t="shared" si="50"/>
        <v>0</v>
      </c>
      <c r="V275" s="48">
        <f t="shared" si="50"/>
        <v>574216.30000000005</v>
      </c>
      <c r="W275" s="48">
        <f t="shared" si="50"/>
        <v>280545.40000000002</v>
      </c>
      <c r="X275" s="48">
        <f t="shared" si="50"/>
        <v>539061</v>
      </c>
      <c r="Y275" s="885"/>
      <c r="Z275" s="885"/>
    </row>
    <row r="276" spans="1:31" ht="26.25" customHeight="1">
      <c r="A276" s="873"/>
      <c r="B276" s="475" t="s">
        <v>10</v>
      </c>
      <c r="C276" s="659">
        <v>176</v>
      </c>
      <c r="D276" s="102" t="s">
        <v>487</v>
      </c>
      <c r="E276" s="102" t="s">
        <v>488</v>
      </c>
      <c r="F276" s="659">
        <v>6100302810</v>
      </c>
      <c r="G276" s="659">
        <v>243</v>
      </c>
      <c r="H276" s="11"/>
      <c r="I276" s="11"/>
      <c r="J276" s="11"/>
      <c r="K276" s="11"/>
      <c r="L276" s="11"/>
      <c r="M276" s="48"/>
      <c r="N276" s="48"/>
      <c r="O276" s="48"/>
      <c r="P276" s="48"/>
      <c r="Q276" s="48"/>
      <c r="R276" s="48">
        <f>R283+R287+R288+R289+R290+R293+R297+R299+R301+R303+R307+R309+R311+R312+R315+R306</f>
        <v>574216.30000000005</v>
      </c>
      <c r="S276" s="48">
        <f t="shared" ref="S276:U276" si="51">S283+S287+S288+S289+S290+S293+S297+S299+S301+S303+S307+S309+S311+S312+S315</f>
        <v>0</v>
      </c>
      <c r="T276" s="48">
        <f t="shared" si="51"/>
        <v>0</v>
      </c>
      <c r="U276" s="48">
        <f t="shared" si="51"/>
        <v>0</v>
      </c>
      <c r="V276" s="48">
        <f>V283+V287+V288+V289+V290+V293+V297+V299+V301+V303+V307+V309+V311+V312+V315+V306</f>
        <v>574216.30000000005</v>
      </c>
      <c r="W276" s="48">
        <f>W297+W299+W301+W311+W315+W289+W303+W307+W312</f>
        <v>280545.40000000002</v>
      </c>
      <c r="X276" s="48">
        <f>X288+X299+X301+X312+X315+X303+X307</f>
        <v>539061</v>
      </c>
      <c r="Y276" s="885"/>
      <c r="Z276" s="885"/>
    </row>
    <row r="277" spans="1:31" ht="24.75" customHeight="1">
      <c r="A277" s="873"/>
      <c r="B277" s="475" t="s">
        <v>436</v>
      </c>
      <c r="C277" s="659">
        <v>176</v>
      </c>
      <c r="D277" s="102" t="s">
        <v>487</v>
      </c>
      <c r="E277" s="102" t="s">
        <v>488</v>
      </c>
      <c r="F277" s="659"/>
      <c r="G277" s="659">
        <v>243</v>
      </c>
      <c r="H277" s="11"/>
      <c r="I277" s="11"/>
      <c r="J277" s="11"/>
      <c r="K277" s="11"/>
      <c r="L277" s="11"/>
      <c r="M277" s="48"/>
      <c r="N277" s="48"/>
      <c r="O277" s="48"/>
      <c r="P277" s="48"/>
      <c r="Q277" s="48"/>
      <c r="R277" s="48">
        <f t="shared" ref="R277:X277" si="52">R302</f>
        <v>0</v>
      </c>
      <c r="S277" s="48">
        <f t="shared" si="52"/>
        <v>0</v>
      </c>
      <c r="T277" s="48">
        <f t="shared" si="52"/>
        <v>0</v>
      </c>
      <c r="U277" s="48">
        <f t="shared" si="52"/>
        <v>0</v>
      </c>
      <c r="V277" s="48">
        <f t="shared" si="52"/>
        <v>0</v>
      </c>
      <c r="W277" s="48">
        <f>W302</f>
        <v>0</v>
      </c>
      <c r="X277" s="48">
        <f t="shared" si="52"/>
        <v>0</v>
      </c>
      <c r="Y277" s="885"/>
      <c r="Z277" s="885"/>
    </row>
    <row r="278" spans="1:31" ht="19.5" customHeight="1">
      <c r="A278" s="873"/>
      <c r="B278" s="475" t="s">
        <v>11</v>
      </c>
      <c r="C278" s="659"/>
      <c r="D278" s="102"/>
      <c r="E278" s="102"/>
      <c r="F278" s="659"/>
      <c r="G278" s="659"/>
      <c r="H278" s="11"/>
      <c r="I278" s="11"/>
      <c r="J278" s="11"/>
      <c r="K278" s="11"/>
      <c r="L278" s="11"/>
      <c r="M278" s="48"/>
      <c r="N278" s="48"/>
      <c r="O278" s="48"/>
      <c r="P278" s="48"/>
      <c r="Q278" s="48"/>
      <c r="R278" s="48"/>
      <c r="S278" s="48"/>
      <c r="T278" s="48"/>
      <c r="U278" s="48"/>
      <c r="V278" s="48"/>
      <c r="W278" s="48"/>
      <c r="X278" s="59"/>
      <c r="Y278" s="885"/>
      <c r="Z278" s="885"/>
    </row>
    <row r="279" spans="1:31" ht="34.5" customHeight="1">
      <c r="A279" s="873"/>
      <c r="B279" s="475" t="s">
        <v>447</v>
      </c>
      <c r="C279" s="659"/>
      <c r="D279" s="102"/>
      <c r="E279" s="102"/>
      <c r="F279" s="659"/>
      <c r="G279" s="659"/>
      <c r="H279" s="11"/>
      <c r="I279" s="11"/>
      <c r="J279" s="11"/>
      <c r="K279" s="11"/>
      <c r="L279" s="11"/>
      <c r="M279" s="48"/>
      <c r="N279" s="48"/>
      <c r="O279" s="48"/>
      <c r="P279" s="48"/>
      <c r="Q279" s="48"/>
      <c r="R279" s="48"/>
      <c r="S279" s="48"/>
      <c r="T279" s="48"/>
      <c r="U279" s="48"/>
      <c r="V279" s="48"/>
      <c r="W279" s="48"/>
      <c r="X279" s="59"/>
      <c r="Y279" s="885"/>
      <c r="Z279" s="885"/>
    </row>
    <row r="280" spans="1:31" ht="28.5" customHeight="1">
      <c r="A280" s="874"/>
      <c r="B280" s="475" t="s">
        <v>1010</v>
      </c>
      <c r="C280" s="659"/>
      <c r="D280" s="102"/>
      <c r="E280" s="102"/>
      <c r="F280" s="659"/>
      <c r="G280" s="659"/>
      <c r="H280" s="11"/>
      <c r="I280" s="11"/>
      <c r="J280" s="11"/>
      <c r="K280" s="11"/>
      <c r="L280" s="11"/>
      <c r="M280" s="48"/>
      <c r="N280" s="48"/>
      <c r="O280" s="48"/>
      <c r="P280" s="48"/>
      <c r="Q280" s="48"/>
      <c r="R280" s="48"/>
      <c r="S280" s="48"/>
      <c r="T280" s="48"/>
      <c r="U280" s="48"/>
      <c r="V280" s="48"/>
      <c r="W280" s="48"/>
      <c r="X280" s="59"/>
      <c r="Y280" s="885"/>
      <c r="Z280" s="885"/>
    </row>
    <row r="281" spans="1:31" ht="19.5" customHeight="1">
      <c r="A281" s="819"/>
      <c r="B281" s="475" t="s">
        <v>9</v>
      </c>
      <c r="C281" s="659"/>
      <c r="D281" s="102"/>
      <c r="E281" s="102"/>
      <c r="F281" s="659"/>
      <c r="G281" s="659"/>
      <c r="H281" s="11"/>
      <c r="I281" s="11"/>
      <c r="J281" s="11"/>
      <c r="K281" s="11"/>
      <c r="L281" s="11"/>
      <c r="M281" s="48"/>
      <c r="N281" s="48"/>
      <c r="O281" s="48"/>
      <c r="P281" s="48"/>
      <c r="Q281" s="48"/>
      <c r="R281" s="48"/>
      <c r="S281" s="48"/>
      <c r="T281" s="48"/>
      <c r="U281" s="48"/>
      <c r="V281" s="48"/>
      <c r="W281" s="48"/>
      <c r="X281" s="59"/>
      <c r="Y281" s="885"/>
      <c r="Z281" s="885"/>
    </row>
    <row r="282" spans="1:31" ht="30.75" hidden="1" customHeight="1">
      <c r="A282" s="12" t="s">
        <v>42</v>
      </c>
      <c r="B282" s="535" t="s">
        <v>331</v>
      </c>
      <c r="C282" s="808">
        <v>176</v>
      </c>
      <c r="D282" s="294" t="s">
        <v>487</v>
      </c>
      <c r="E282" s="294" t="s">
        <v>488</v>
      </c>
      <c r="F282" s="808">
        <v>6100302810</v>
      </c>
      <c r="G282" s="808">
        <v>243</v>
      </c>
      <c r="H282" s="36" t="e">
        <f>SUM(I282:L282)</f>
        <v>#REF!</v>
      </c>
      <c r="I282" s="22" t="e">
        <f>#REF!</f>
        <v>#REF!</v>
      </c>
      <c r="J282" s="22" t="e">
        <f>#REF!</f>
        <v>#REF!</v>
      </c>
      <c r="K282" s="22" t="e">
        <f>#REF!</f>
        <v>#REF!</v>
      </c>
      <c r="L282" s="22" t="e">
        <f>#REF!</f>
        <v>#REF!</v>
      </c>
      <c r="M282" s="60"/>
      <c r="N282" s="60"/>
      <c r="O282" s="60"/>
      <c r="P282" s="60"/>
      <c r="Q282" s="60"/>
      <c r="R282" s="60"/>
      <c r="S282" s="60"/>
      <c r="T282" s="60"/>
      <c r="U282" s="60"/>
      <c r="V282" s="60"/>
      <c r="W282" s="60"/>
      <c r="X282" s="61"/>
      <c r="Y282" s="885"/>
      <c r="Z282" s="885"/>
      <c r="AA282" s="278"/>
      <c r="AB282" s="71">
        <f>AB272+W568</f>
        <v>3201144.4736842103</v>
      </c>
      <c r="AD282" s="71">
        <f>AD272+X568</f>
        <v>5762185.9526315778</v>
      </c>
    </row>
    <row r="283" spans="1:31" ht="22.5" customHeight="1">
      <c r="A283" s="12" t="s">
        <v>43</v>
      </c>
      <c r="B283" s="535" t="s">
        <v>331</v>
      </c>
      <c r="C283" s="808">
        <v>176</v>
      </c>
      <c r="D283" s="294" t="s">
        <v>487</v>
      </c>
      <c r="E283" s="294" t="s">
        <v>488</v>
      </c>
      <c r="F283" s="808">
        <v>6100302810</v>
      </c>
      <c r="G283" s="808">
        <v>243</v>
      </c>
      <c r="H283" s="36" t="e">
        <f t="shared" ref="H283:H315" si="53">SUM(I283:L283)</f>
        <v>#REF!</v>
      </c>
      <c r="I283" s="22" t="e">
        <f>#REF!</f>
        <v>#REF!</v>
      </c>
      <c r="J283" s="22" t="e">
        <f>#REF!</f>
        <v>#REF!</v>
      </c>
      <c r="K283" s="22" t="e">
        <f>#REF!</f>
        <v>#REF!</v>
      </c>
      <c r="L283" s="22" t="e">
        <f>#REF!</f>
        <v>#REF!</v>
      </c>
      <c r="M283" s="60" t="e">
        <f>'Подробный перечень(БКАД)'!#REF!</f>
        <v>#REF!</v>
      </c>
      <c r="N283" s="60" t="e">
        <f>'Подробный перечень(БКАД)'!#REF!</f>
        <v>#REF!</v>
      </c>
      <c r="O283" s="60"/>
      <c r="P283" s="60"/>
      <c r="Q283" s="60"/>
      <c r="R283" s="60">
        <f>S283+T283+U283+V283</f>
        <v>16000</v>
      </c>
      <c r="S283" s="60"/>
      <c r="T283" s="60"/>
      <c r="U283" s="60"/>
      <c r="V283" s="60">
        <f>'Подробный перечень (ОБ)'!$K$545</f>
        <v>16000</v>
      </c>
      <c r="W283" s="60"/>
      <c r="X283" s="61"/>
      <c r="Y283" s="885"/>
      <c r="Z283" s="885"/>
      <c r="AA283" s="283"/>
    </row>
    <row r="284" spans="1:31" ht="18.75" customHeight="1">
      <c r="A284" s="12" t="s">
        <v>44</v>
      </c>
      <c r="B284" s="535" t="s">
        <v>331</v>
      </c>
      <c r="C284" s="808">
        <v>176</v>
      </c>
      <c r="D284" s="294" t="s">
        <v>487</v>
      </c>
      <c r="E284" s="294" t="s">
        <v>488</v>
      </c>
      <c r="F284" s="808">
        <v>6100302810</v>
      </c>
      <c r="G284" s="808">
        <v>243</v>
      </c>
      <c r="H284" s="36" t="e">
        <f t="shared" si="53"/>
        <v>#REF!</v>
      </c>
      <c r="I284" s="22" t="e">
        <f>#REF!</f>
        <v>#REF!</v>
      </c>
      <c r="J284" s="22" t="e">
        <f>#REF!</f>
        <v>#REF!</v>
      </c>
      <c r="K284" s="22" t="e">
        <f>#REF!</f>
        <v>#REF!</v>
      </c>
      <c r="L284" s="22" t="e">
        <f>#REF!</f>
        <v>#REF!</v>
      </c>
      <c r="M284" s="60" t="e">
        <f>'Подробный перечень(БКАД)'!#REF!</f>
        <v>#REF!</v>
      </c>
      <c r="N284" s="60" t="e">
        <f>'Подробный перечень(БКАД)'!#REF!</f>
        <v>#REF!</v>
      </c>
      <c r="O284" s="60" t="e">
        <f>'Подробный перечень(БКАД)'!#REF!</f>
        <v>#REF!</v>
      </c>
      <c r="P284" s="60"/>
      <c r="Q284" s="60"/>
      <c r="R284" s="60">
        <f t="shared" ref="R284:R315" si="54">S284+T284+U284+V284</f>
        <v>0</v>
      </c>
      <c r="S284" s="60"/>
      <c r="T284" s="60"/>
      <c r="U284" s="60"/>
      <c r="V284" s="60"/>
      <c r="W284" s="60"/>
      <c r="X284" s="61"/>
      <c r="Y284" s="885"/>
      <c r="Z284" s="885"/>
      <c r="AA284" s="278"/>
    </row>
    <row r="285" spans="1:31" ht="16.5" customHeight="1">
      <c r="A285" s="12" t="s">
        <v>45</v>
      </c>
      <c r="B285" s="535" t="s">
        <v>331</v>
      </c>
      <c r="C285" s="808">
        <v>176</v>
      </c>
      <c r="D285" s="294" t="s">
        <v>487</v>
      </c>
      <c r="E285" s="294" t="s">
        <v>488</v>
      </c>
      <c r="F285" s="808">
        <v>6100302810</v>
      </c>
      <c r="G285" s="808">
        <v>243</v>
      </c>
      <c r="H285" s="36" t="e">
        <f t="shared" si="53"/>
        <v>#REF!</v>
      </c>
      <c r="I285" s="22" t="e">
        <f>#REF!</f>
        <v>#REF!</v>
      </c>
      <c r="J285" s="22" t="e">
        <f>#REF!</f>
        <v>#REF!</v>
      </c>
      <c r="K285" s="22" t="e">
        <f>#REF!</f>
        <v>#REF!</v>
      </c>
      <c r="L285" s="22" t="e">
        <f>#REF!</f>
        <v>#REF!</v>
      </c>
      <c r="M285" s="60" t="e">
        <f>'Подробный перечень(БКАД)'!#REF!</f>
        <v>#REF!</v>
      </c>
      <c r="N285" s="60" t="e">
        <f>'Подробный перечень(БКАД)'!#REF!</f>
        <v>#REF!</v>
      </c>
      <c r="O285" s="60"/>
      <c r="P285" s="60"/>
      <c r="Q285" s="60"/>
      <c r="R285" s="60">
        <f t="shared" si="54"/>
        <v>0</v>
      </c>
      <c r="S285" s="60"/>
      <c r="T285" s="60"/>
      <c r="U285" s="60"/>
      <c r="V285" s="60"/>
      <c r="W285" s="60"/>
      <c r="X285" s="61"/>
      <c r="Y285" s="885"/>
      <c r="Z285" s="885"/>
      <c r="AA285" s="278"/>
    </row>
    <row r="286" spans="1:31" ht="30.75" customHeight="1">
      <c r="A286" s="12" t="s">
        <v>46</v>
      </c>
      <c r="B286" s="535" t="s">
        <v>331</v>
      </c>
      <c r="C286" s="808">
        <v>176</v>
      </c>
      <c r="D286" s="294" t="s">
        <v>487</v>
      </c>
      <c r="E286" s="294" t="s">
        <v>488</v>
      </c>
      <c r="F286" s="808">
        <v>6100302810</v>
      </c>
      <c r="G286" s="808">
        <v>243</v>
      </c>
      <c r="H286" s="36" t="e">
        <f t="shared" si="53"/>
        <v>#REF!</v>
      </c>
      <c r="I286" s="22" t="e">
        <f>#REF!</f>
        <v>#REF!</v>
      </c>
      <c r="J286" s="22" t="e">
        <f>#REF!</f>
        <v>#REF!</v>
      </c>
      <c r="K286" s="22" t="e">
        <f>#REF!</f>
        <v>#REF!</v>
      </c>
      <c r="L286" s="22" t="e">
        <f>#REF!</f>
        <v>#REF!</v>
      </c>
      <c r="M286" s="60"/>
      <c r="N286" s="60"/>
      <c r="O286" s="60"/>
      <c r="P286" s="60"/>
      <c r="Q286" s="60"/>
      <c r="R286" s="60">
        <f t="shared" si="54"/>
        <v>0</v>
      </c>
      <c r="S286" s="60"/>
      <c r="T286" s="60"/>
      <c r="U286" s="60"/>
      <c r="V286" s="60"/>
      <c r="W286" s="60"/>
      <c r="X286" s="61"/>
      <c r="Y286" s="885"/>
      <c r="Z286" s="885"/>
      <c r="AA286" s="278"/>
    </row>
    <row r="287" spans="1:31" ht="30.75" customHeight="1">
      <c r="A287" s="12" t="s">
        <v>47</v>
      </c>
      <c r="B287" s="535" t="s">
        <v>331</v>
      </c>
      <c r="C287" s="808">
        <v>176</v>
      </c>
      <c r="D287" s="294" t="s">
        <v>487</v>
      </c>
      <c r="E287" s="294" t="s">
        <v>488</v>
      </c>
      <c r="F287" s="808">
        <v>6100302810</v>
      </c>
      <c r="G287" s="808">
        <v>243</v>
      </c>
      <c r="H287" s="36" t="e">
        <f t="shared" si="53"/>
        <v>#REF!</v>
      </c>
      <c r="I287" s="22" t="e">
        <f>#REF!</f>
        <v>#REF!</v>
      </c>
      <c r="J287" s="22" t="e">
        <f>#REF!</f>
        <v>#REF!</v>
      </c>
      <c r="K287" s="22" t="e">
        <f>#REF!</f>
        <v>#REF!</v>
      </c>
      <c r="L287" s="22" t="e">
        <f>#REF!</f>
        <v>#REF!</v>
      </c>
      <c r="M287" s="60" t="e">
        <f>'Подробный перечень(БКАД)'!#REF!</f>
        <v>#REF!</v>
      </c>
      <c r="N287" s="60" t="e">
        <f>'Подробный перечень(БКАД)'!#REF!</f>
        <v>#REF!</v>
      </c>
      <c r="O287" s="60"/>
      <c r="P287" s="60"/>
      <c r="Q287" s="60"/>
      <c r="R287" s="60">
        <f t="shared" si="54"/>
        <v>2167.4</v>
      </c>
      <c r="S287" s="60"/>
      <c r="T287" s="60"/>
      <c r="U287" s="60"/>
      <c r="V287" s="60">
        <f>'Подробный перечень (ОБ)'!$K$580</f>
        <v>2167.4</v>
      </c>
      <c r="W287" s="60"/>
      <c r="X287" s="61"/>
      <c r="Y287" s="885"/>
      <c r="Z287" s="885"/>
      <c r="AA287" s="278"/>
    </row>
    <row r="288" spans="1:31" ht="24.75" customHeight="1">
      <c r="A288" s="12" t="s">
        <v>48</v>
      </c>
      <c r="B288" s="535" t="s">
        <v>331</v>
      </c>
      <c r="C288" s="808">
        <v>176</v>
      </c>
      <c r="D288" s="294" t="s">
        <v>487</v>
      </c>
      <c r="E288" s="294" t="s">
        <v>488</v>
      </c>
      <c r="F288" s="808">
        <v>6100302810</v>
      </c>
      <c r="G288" s="808">
        <v>243</v>
      </c>
      <c r="H288" s="36" t="e">
        <f t="shared" si="53"/>
        <v>#REF!</v>
      </c>
      <c r="I288" s="22" t="e">
        <f>#REF!</f>
        <v>#REF!</v>
      </c>
      <c r="J288" s="22" t="e">
        <f>#REF!</f>
        <v>#REF!</v>
      </c>
      <c r="K288" s="22" t="e">
        <f>#REF!</f>
        <v>#REF!</v>
      </c>
      <c r="L288" s="22" t="e">
        <f>#REF!</f>
        <v>#REF!</v>
      </c>
      <c r="M288" s="60"/>
      <c r="N288" s="60"/>
      <c r="O288" s="60"/>
      <c r="P288" s="60"/>
      <c r="Q288" s="60"/>
      <c r="R288" s="60">
        <f t="shared" si="54"/>
        <v>194588.7</v>
      </c>
      <c r="S288" s="60">
        <f>'Подробный перечень(БКАД)'!$H$510</f>
        <v>0</v>
      </c>
      <c r="T288" s="60">
        <f>'Подробный перечень(БКАД)'!$I$510</f>
        <v>0</v>
      </c>
      <c r="U288" s="60"/>
      <c r="V288" s="60">
        <f>'Подробный перечень (ОБ)'!$K$592</f>
        <v>194588.7</v>
      </c>
      <c r="W288" s="60"/>
      <c r="X288" s="61">
        <f>'Подробный перечень (ОБ)'!$M$592</f>
        <v>185000</v>
      </c>
      <c r="Y288" s="885"/>
      <c r="Z288" s="885"/>
      <c r="AA288" s="278"/>
      <c r="AE288" s="71"/>
    </row>
    <row r="289" spans="1:31" ht="24.75" customHeight="1">
      <c r="A289" s="12" t="s">
        <v>49</v>
      </c>
      <c r="B289" s="535" t="s">
        <v>331</v>
      </c>
      <c r="C289" s="808">
        <v>176</v>
      </c>
      <c r="D289" s="294" t="s">
        <v>487</v>
      </c>
      <c r="E289" s="294" t="s">
        <v>488</v>
      </c>
      <c r="F289" s="808">
        <v>6100302810</v>
      </c>
      <c r="G289" s="808">
        <v>243</v>
      </c>
      <c r="H289" s="36" t="e">
        <f t="shared" si="53"/>
        <v>#REF!</v>
      </c>
      <c r="I289" s="22" t="e">
        <f>#REF!</f>
        <v>#REF!</v>
      </c>
      <c r="J289" s="22" t="e">
        <f>#REF!</f>
        <v>#REF!</v>
      </c>
      <c r="K289" s="22" t="e">
        <f>#REF!</f>
        <v>#REF!</v>
      </c>
      <c r="L289" s="22" t="e">
        <f>#REF!</f>
        <v>#REF!</v>
      </c>
      <c r="M289" s="60"/>
      <c r="N289" s="60"/>
      <c r="O289" s="60"/>
      <c r="P289" s="60"/>
      <c r="Q289" s="60"/>
      <c r="R289" s="60">
        <f>'Подробный перечень (ОБ)'!$G$608</f>
        <v>40000</v>
      </c>
      <c r="S289" s="60"/>
      <c r="T289" s="60"/>
      <c r="U289" s="60"/>
      <c r="V289" s="60">
        <f>'Подробный перечень (ОБ)'!$K$608</f>
        <v>40000</v>
      </c>
      <c r="W289" s="60">
        <f>'Подробный перечень (ОБ)'!$L$612</f>
        <v>41200</v>
      </c>
      <c r="X289" s="61"/>
      <c r="Y289" s="885"/>
      <c r="Z289" s="885"/>
    </row>
    <row r="290" spans="1:31" ht="24.75" customHeight="1">
      <c r="A290" s="12" t="s">
        <v>50</v>
      </c>
      <c r="B290" s="535" t="s">
        <v>331</v>
      </c>
      <c r="C290" s="808">
        <v>176</v>
      </c>
      <c r="D290" s="294" t="s">
        <v>487</v>
      </c>
      <c r="E290" s="294" t="s">
        <v>488</v>
      </c>
      <c r="F290" s="808">
        <v>6100302810</v>
      </c>
      <c r="G290" s="808">
        <v>243</v>
      </c>
      <c r="H290" s="36" t="e">
        <f t="shared" si="53"/>
        <v>#REF!</v>
      </c>
      <c r="I290" s="22" t="e">
        <f>#REF!</f>
        <v>#REF!</v>
      </c>
      <c r="J290" s="22" t="e">
        <f>#REF!</f>
        <v>#REF!</v>
      </c>
      <c r="K290" s="22" t="e">
        <f>#REF!</f>
        <v>#REF!</v>
      </c>
      <c r="L290" s="22" t="e">
        <f>#REF!</f>
        <v>#REF!</v>
      </c>
      <c r="M290" s="60"/>
      <c r="N290" s="60"/>
      <c r="O290" s="60"/>
      <c r="P290" s="60"/>
      <c r="Q290" s="60"/>
      <c r="R290" s="60">
        <f t="shared" si="54"/>
        <v>26000</v>
      </c>
      <c r="S290" s="60"/>
      <c r="T290" s="60"/>
      <c r="U290" s="60"/>
      <c r="V290" s="60">
        <f>'Подробный перечень (ОБ)'!$K$622</f>
        <v>26000</v>
      </c>
      <c r="W290" s="60"/>
      <c r="X290" s="61"/>
      <c r="Y290" s="885"/>
      <c r="Z290" s="885"/>
      <c r="AE290" s="71"/>
    </row>
    <row r="291" spans="1:31" ht="24.75" customHeight="1">
      <c r="A291" s="12" t="s">
        <v>51</v>
      </c>
      <c r="B291" s="535" t="s">
        <v>331</v>
      </c>
      <c r="C291" s="808">
        <v>176</v>
      </c>
      <c r="D291" s="294" t="s">
        <v>487</v>
      </c>
      <c r="E291" s="294" t="s">
        <v>488</v>
      </c>
      <c r="F291" s="808">
        <v>6100302810</v>
      </c>
      <c r="G291" s="808">
        <v>243</v>
      </c>
      <c r="H291" s="36" t="e">
        <f t="shared" si="53"/>
        <v>#REF!</v>
      </c>
      <c r="I291" s="22" t="e">
        <f>#REF!</f>
        <v>#REF!</v>
      </c>
      <c r="J291" s="22" t="e">
        <f>#REF!</f>
        <v>#REF!</v>
      </c>
      <c r="K291" s="22" t="e">
        <f>#REF!</f>
        <v>#REF!</v>
      </c>
      <c r="L291" s="22" t="e">
        <f>#REF!</f>
        <v>#REF!</v>
      </c>
      <c r="M291" s="60"/>
      <c r="N291" s="60"/>
      <c r="O291" s="60"/>
      <c r="P291" s="60"/>
      <c r="Q291" s="60"/>
      <c r="R291" s="60">
        <f t="shared" si="54"/>
        <v>0</v>
      </c>
      <c r="S291" s="60">
        <f>'Подробный перечень(БКАД)'!$H$556</f>
        <v>0</v>
      </c>
      <c r="T291" s="60">
        <f>'Подробный перечень(БКАД)'!$I$556</f>
        <v>0</v>
      </c>
      <c r="U291" s="60"/>
      <c r="V291" s="60"/>
      <c r="W291" s="60"/>
      <c r="X291" s="61"/>
      <c r="Y291" s="885"/>
      <c r="Z291" s="885"/>
      <c r="AE291" s="71"/>
    </row>
    <row r="292" spans="1:31" ht="24.75" customHeight="1">
      <c r="A292" s="12" t="s">
        <v>52</v>
      </c>
      <c r="B292" s="535" t="s">
        <v>331</v>
      </c>
      <c r="C292" s="808">
        <v>176</v>
      </c>
      <c r="D292" s="294" t="s">
        <v>487</v>
      </c>
      <c r="E292" s="294" t="s">
        <v>488</v>
      </c>
      <c r="F292" s="808">
        <v>6100302810</v>
      </c>
      <c r="G292" s="808">
        <v>243</v>
      </c>
      <c r="H292" s="36" t="e">
        <f t="shared" si="53"/>
        <v>#REF!</v>
      </c>
      <c r="I292" s="22" t="e">
        <f>#REF!</f>
        <v>#REF!</v>
      </c>
      <c r="J292" s="22" t="e">
        <f>#REF!</f>
        <v>#REF!</v>
      </c>
      <c r="K292" s="22" t="e">
        <f>#REF!</f>
        <v>#REF!</v>
      </c>
      <c r="L292" s="22" t="e">
        <f>#REF!</f>
        <v>#REF!</v>
      </c>
      <c r="M292" s="60"/>
      <c r="N292" s="60"/>
      <c r="O292" s="60"/>
      <c r="P292" s="60"/>
      <c r="Q292" s="60"/>
      <c r="R292" s="60">
        <f t="shared" si="54"/>
        <v>0</v>
      </c>
      <c r="S292" s="60"/>
      <c r="T292" s="60"/>
      <c r="U292" s="60"/>
      <c r="V292" s="60"/>
      <c r="W292" s="60"/>
      <c r="X292" s="61"/>
      <c r="Y292" s="885"/>
      <c r="Z292" s="885"/>
    </row>
    <row r="293" spans="1:31" ht="24.75" customHeight="1">
      <c r="A293" s="12" t="s">
        <v>53</v>
      </c>
      <c r="B293" s="535" t="s">
        <v>331</v>
      </c>
      <c r="C293" s="808">
        <v>176</v>
      </c>
      <c r="D293" s="294" t="s">
        <v>487</v>
      </c>
      <c r="E293" s="294" t="s">
        <v>488</v>
      </c>
      <c r="F293" s="808">
        <v>6100302810</v>
      </c>
      <c r="G293" s="808">
        <v>243</v>
      </c>
      <c r="H293" s="36" t="e">
        <f t="shared" si="53"/>
        <v>#REF!</v>
      </c>
      <c r="I293" s="22" t="e">
        <f>#REF!</f>
        <v>#REF!</v>
      </c>
      <c r="J293" s="22" t="e">
        <f>#REF!</f>
        <v>#REF!</v>
      </c>
      <c r="K293" s="22" t="e">
        <f>#REF!</f>
        <v>#REF!</v>
      </c>
      <c r="L293" s="22" t="e">
        <f>#REF!</f>
        <v>#REF!</v>
      </c>
      <c r="M293" s="60"/>
      <c r="N293" s="60"/>
      <c r="O293" s="60"/>
      <c r="P293" s="60"/>
      <c r="Q293" s="60"/>
      <c r="R293" s="60">
        <f t="shared" si="54"/>
        <v>11420.7</v>
      </c>
      <c r="S293" s="60">
        <f>'Подробный перечень(БКАД)'!$H$578</f>
        <v>0</v>
      </c>
      <c r="T293" s="60">
        <f>'Подробный перечень(БКАД)'!$I$578</f>
        <v>0</v>
      </c>
      <c r="U293" s="60"/>
      <c r="V293" s="60">
        <f>'Подробный перечень (ОБ)'!$K$661</f>
        <v>11420.7</v>
      </c>
      <c r="W293" s="60"/>
      <c r="X293" s="61"/>
      <c r="Y293" s="885"/>
      <c r="Z293" s="885"/>
      <c r="AA293" s="278"/>
    </row>
    <row r="294" spans="1:31" ht="24.75" customHeight="1">
      <c r="A294" s="12" t="s">
        <v>54</v>
      </c>
      <c r="B294" s="535" t="s">
        <v>331</v>
      </c>
      <c r="C294" s="808">
        <v>176</v>
      </c>
      <c r="D294" s="294" t="s">
        <v>487</v>
      </c>
      <c r="E294" s="294" t="s">
        <v>488</v>
      </c>
      <c r="F294" s="808">
        <v>6100302810</v>
      </c>
      <c r="G294" s="808">
        <v>243</v>
      </c>
      <c r="H294" s="36" t="e">
        <f t="shared" si="53"/>
        <v>#REF!</v>
      </c>
      <c r="I294" s="22" t="e">
        <f>#REF!</f>
        <v>#REF!</v>
      </c>
      <c r="J294" s="22" t="e">
        <f>#REF!</f>
        <v>#REF!</v>
      </c>
      <c r="K294" s="22" t="e">
        <f>#REF!</f>
        <v>#REF!</v>
      </c>
      <c r="L294" s="22" t="e">
        <f>#REF!</f>
        <v>#REF!</v>
      </c>
      <c r="M294" s="60" t="e">
        <f>'Подробный перечень(БКАД)'!#REF!</f>
        <v>#REF!</v>
      </c>
      <c r="N294" s="60"/>
      <c r="O294" s="60"/>
      <c r="P294" s="60"/>
      <c r="Q294" s="60" t="e">
        <f>'Подробный перечень(БКАД)'!#REF!</f>
        <v>#REF!</v>
      </c>
      <c r="R294" s="60">
        <f t="shared" si="54"/>
        <v>0</v>
      </c>
      <c r="S294" s="60"/>
      <c r="T294" s="60"/>
      <c r="U294" s="60"/>
      <c r="V294" s="60"/>
      <c r="W294" s="60"/>
      <c r="X294" s="61"/>
      <c r="Y294" s="885"/>
      <c r="Z294" s="885"/>
    </row>
    <row r="295" spans="1:31" ht="24.75" customHeight="1">
      <c r="A295" s="12" t="s">
        <v>55</v>
      </c>
      <c r="B295" s="535" t="s">
        <v>331</v>
      </c>
      <c r="C295" s="808">
        <v>176</v>
      </c>
      <c r="D295" s="294" t="s">
        <v>487</v>
      </c>
      <c r="E295" s="294" t="s">
        <v>488</v>
      </c>
      <c r="F295" s="808">
        <v>6100302810</v>
      </c>
      <c r="G295" s="808">
        <v>243</v>
      </c>
      <c r="H295" s="36" t="e">
        <f t="shared" si="53"/>
        <v>#REF!</v>
      </c>
      <c r="I295" s="22" t="e">
        <f>#REF!</f>
        <v>#REF!</v>
      </c>
      <c r="J295" s="22" t="e">
        <f>#REF!</f>
        <v>#REF!</v>
      </c>
      <c r="K295" s="22" t="e">
        <f>#REF!</f>
        <v>#REF!</v>
      </c>
      <c r="L295" s="22" t="e">
        <f>#REF!</f>
        <v>#REF!</v>
      </c>
      <c r="M295" s="60" t="e">
        <f>'Подробный перечень(БКАД)'!#REF!</f>
        <v>#REF!</v>
      </c>
      <c r="N295" s="60" t="e">
        <f>'Подробный перечень(БКАД)'!#REF!</f>
        <v>#REF!</v>
      </c>
      <c r="O295" s="60"/>
      <c r="P295" s="60"/>
      <c r="Q295" s="60"/>
      <c r="R295" s="60">
        <f t="shared" si="54"/>
        <v>0</v>
      </c>
      <c r="S295" s="60"/>
      <c r="T295" s="60"/>
      <c r="U295" s="60"/>
      <c r="V295" s="60"/>
      <c r="W295" s="60"/>
      <c r="X295" s="61"/>
      <c r="Y295" s="885"/>
      <c r="Z295" s="885"/>
    </row>
    <row r="296" spans="1:31" ht="24.75" customHeight="1">
      <c r="A296" s="12" t="s">
        <v>56</v>
      </c>
      <c r="B296" s="535" t="s">
        <v>331</v>
      </c>
      <c r="C296" s="808">
        <v>176</v>
      </c>
      <c r="D296" s="294" t="s">
        <v>487</v>
      </c>
      <c r="E296" s="294" t="s">
        <v>488</v>
      </c>
      <c r="F296" s="808">
        <v>6100302810</v>
      </c>
      <c r="G296" s="808">
        <v>243</v>
      </c>
      <c r="H296" s="36" t="e">
        <f t="shared" si="53"/>
        <v>#REF!</v>
      </c>
      <c r="I296" s="22" t="e">
        <f>#REF!</f>
        <v>#REF!</v>
      </c>
      <c r="J296" s="22" t="e">
        <f>#REF!</f>
        <v>#REF!</v>
      </c>
      <c r="K296" s="22" t="e">
        <f>#REF!</f>
        <v>#REF!</v>
      </c>
      <c r="L296" s="22" t="e">
        <f>#REF!</f>
        <v>#REF!</v>
      </c>
      <c r="M296" s="60" t="e">
        <f>'Подробный перечень(БКАД)'!#REF!</f>
        <v>#REF!</v>
      </c>
      <c r="N296" s="60" t="e">
        <f>'Подробный перечень(БКАД)'!#REF!</f>
        <v>#REF!</v>
      </c>
      <c r="O296" s="60"/>
      <c r="P296" s="60"/>
      <c r="Q296" s="60"/>
      <c r="R296" s="60">
        <f t="shared" si="54"/>
        <v>0</v>
      </c>
      <c r="S296" s="60"/>
      <c r="T296" s="60"/>
      <c r="U296" s="60"/>
      <c r="V296" s="60"/>
      <c r="W296" s="60"/>
      <c r="X296" s="61"/>
      <c r="Y296" s="885"/>
      <c r="Z296" s="885"/>
    </row>
    <row r="297" spans="1:31" ht="24.75" customHeight="1">
      <c r="A297" s="12" t="s">
        <v>57</v>
      </c>
      <c r="B297" s="535" t="s">
        <v>10</v>
      </c>
      <c r="C297" s="808">
        <v>176</v>
      </c>
      <c r="D297" s="294" t="s">
        <v>487</v>
      </c>
      <c r="E297" s="294" t="s">
        <v>488</v>
      </c>
      <c r="F297" s="808">
        <v>6100302810</v>
      </c>
      <c r="G297" s="808">
        <v>243</v>
      </c>
      <c r="H297" s="36" t="e">
        <f t="shared" si="53"/>
        <v>#REF!</v>
      </c>
      <c r="I297" s="22" t="e">
        <f>#REF!</f>
        <v>#REF!</v>
      </c>
      <c r="J297" s="22" t="e">
        <f>#REF!</f>
        <v>#REF!</v>
      </c>
      <c r="K297" s="22" t="e">
        <f>#REF!</f>
        <v>#REF!</v>
      </c>
      <c r="L297" s="22" t="e">
        <f>#REF!</f>
        <v>#REF!</v>
      </c>
      <c r="M297" s="60" t="e">
        <f>'Подробный перечень(БКАД)'!#REF!</f>
        <v>#REF!</v>
      </c>
      <c r="N297" s="60" t="e">
        <f>'Подробный перечень(БКАД)'!#REF!</f>
        <v>#REF!</v>
      </c>
      <c r="O297" s="60"/>
      <c r="P297" s="60"/>
      <c r="Q297" s="60" t="e">
        <f>'Подробный перечень(БКАД)'!#REF!</f>
        <v>#REF!</v>
      </c>
      <c r="R297" s="60">
        <f t="shared" si="54"/>
        <v>3418.3</v>
      </c>
      <c r="S297" s="60"/>
      <c r="T297" s="60"/>
      <c r="U297" s="60"/>
      <c r="V297" s="60">
        <f>'Подробный перечень (ОБ)'!$K$690</f>
        <v>3418.3</v>
      </c>
      <c r="W297" s="60">
        <f>'Подробный перечень (ОБ)'!$L$690</f>
        <v>0</v>
      </c>
      <c r="X297" s="61"/>
      <c r="Y297" s="885"/>
      <c r="Z297" s="885"/>
    </row>
    <row r="298" spans="1:31" ht="24.75" customHeight="1">
      <c r="A298" s="12" t="s">
        <v>58</v>
      </c>
      <c r="B298" s="535" t="s">
        <v>10</v>
      </c>
      <c r="C298" s="808">
        <v>176</v>
      </c>
      <c r="D298" s="294" t="s">
        <v>487</v>
      </c>
      <c r="E298" s="294" t="s">
        <v>488</v>
      </c>
      <c r="F298" s="808">
        <v>6100302810</v>
      </c>
      <c r="G298" s="808">
        <v>243</v>
      </c>
      <c r="H298" s="36" t="e">
        <f t="shared" si="53"/>
        <v>#REF!</v>
      </c>
      <c r="I298" s="22" t="e">
        <f>#REF!</f>
        <v>#REF!</v>
      </c>
      <c r="J298" s="22" t="e">
        <f>#REF!</f>
        <v>#REF!</v>
      </c>
      <c r="K298" s="22" t="e">
        <f>#REF!</f>
        <v>#REF!</v>
      </c>
      <c r="L298" s="22" t="e">
        <f>#REF!</f>
        <v>#REF!</v>
      </c>
      <c r="M298" s="60"/>
      <c r="N298" s="60"/>
      <c r="O298" s="60"/>
      <c r="P298" s="60"/>
      <c r="Q298" s="60"/>
      <c r="R298" s="60">
        <f t="shared" si="54"/>
        <v>0</v>
      </c>
      <c r="S298" s="60"/>
      <c r="T298" s="60"/>
      <c r="U298" s="60"/>
      <c r="V298" s="60">
        <f>'Подробный перечень (ОБ)'!$K$702</f>
        <v>0</v>
      </c>
      <c r="W298" s="60"/>
      <c r="X298" s="61"/>
      <c r="Y298" s="885"/>
      <c r="Z298" s="885"/>
    </row>
    <row r="299" spans="1:31" ht="24.75" customHeight="1">
      <c r="A299" s="12" t="s">
        <v>59</v>
      </c>
      <c r="B299" s="535" t="s">
        <v>10</v>
      </c>
      <c r="C299" s="808">
        <v>176</v>
      </c>
      <c r="D299" s="294" t="s">
        <v>487</v>
      </c>
      <c r="E299" s="294" t="s">
        <v>488</v>
      </c>
      <c r="F299" s="808">
        <v>6100302810</v>
      </c>
      <c r="G299" s="808">
        <v>243</v>
      </c>
      <c r="H299" s="36" t="e">
        <f t="shared" si="53"/>
        <v>#REF!</v>
      </c>
      <c r="I299" s="22" t="e">
        <f>#REF!</f>
        <v>#REF!</v>
      </c>
      <c r="J299" s="22" t="e">
        <f>#REF!</f>
        <v>#REF!</v>
      </c>
      <c r="K299" s="22" t="e">
        <f>#REF!</f>
        <v>#REF!</v>
      </c>
      <c r="L299" s="22" t="e">
        <f>#REF!</f>
        <v>#REF!</v>
      </c>
      <c r="M299" s="60" t="e">
        <f>'Подробный перечень(БКАД)'!#REF!</f>
        <v>#REF!</v>
      </c>
      <c r="N299" s="60" t="e">
        <f>'Подробный перечень(БКАД)'!#REF!</f>
        <v>#REF!</v>
      </c>
      <c r="O299" s="60"/>
      <c r="P299" s="60"/>
      <c r="Q299" s="60"/>
      <c r="R299" s="60">
        <f t="shared" si="54"/>
        <v>5663.8</v>
      </c>
      <c r="S299" s="60"/>
      <c r="T299" s="60"/>
      <c r="U299" s="60"/>
      <c r="V299" s="60">
        <f>'Подробный перечень (ОБ)'!$K$718</f>
        <v>5663.8</v>
      </c>
      <c r="W299" s="60">
        <f>'Подробный перечень (ОБ)'!$L$718</f>
        <v>5000</v>
      </c>
      <c r="X299" s="61">
        <f>'Подробный перечень (ОБ)'!$M$718</f>
        <v>143000</v>
      </c>
      <c r="Y299" s="885"/>
      <c r="Z299" s="885"/>
    </row>
    <row r="300" spans="1:31" ht="24.75" customHeight="1">
      <c r="A300" s="881" t="s">
        <v>60</v>
      </c>
      <c r="B300" s="535" t="s">
        <v>25</v>
      </c>
      <c r="C300" s="808">
        <v>176</v>
      </c>
      <c r="D300" s="294" t="s">
        <v>487</v>
      </c>
      <c r="E300" s="294" t="s">
        <v>488</v>
      </c>
      <c r="F300" s="808" t="s">
        <v>263</v>
      </c>
      <c r="G300" s="808">
        <v>243</v>
      </c>
      <c r="H300" s="36" t="e">
        <f t="shared" si="53"/>
        <v>#REF!</v>
      </c>
      <c r="I300" s="22" t="e">
        <f>#REF!</f>
        <v>#REF!</v>
      </c>
      <c r="J300" s="22" t="e">
        <f>#REF!</f>
        <v>#REF!</v>
      </c>
      <c r="K300" s="22" t="e">
        <f>#REF!</f>
        <v>#REF!</v>
      </c>
      <c r="L300" s="22" t="e">
        <f>#REF!</f>
        <v>#REF!</v>
      </c>
      <c r="M300" s="60"/>
      <c r="N300" s="60"/>
      <c r="O300" s="60"/>
      <c r="P300" s="60"/>
      <c r="Q300" s="60"/>
      <c r="R300" s="60">
        <f t="shared" si="54"/>
        <v>2270.4</v>
      </c>
      <c r="S300" s="60">
        <f t="shared" ref="S300:V300" si="55">S301+S302</f>
        <v>0</v>
      </c>
      <c r="T300" s="60">
        <f t="shared" si="55"/>
        <v>0</v>
      </c>
      <c r="U300" s="60">
        <f t="shared" si="55"/>
        <v>0</v>
      </c>
      <c r="V300" s="60">
        <f t="shared" si="55"/>
        <v>2270.4</v>
      </c>
      <c r="W300" s="60">
        <f>W301</f>
        <v>150447.70000000001</v>
      </c>
      <c r="X300" s="61">
        <f>X301</f>
        <v>15000</v>
      </c>
      <c r="Y300" s="885"/>
      <c r="Z300" s="885"/>
    </row>
    <row r="301" spans="1:31" ht="24.75" customHeight="1">
      <c r="A301" s="882"/>
      <c r="B301" s="535" t="s">
        <v>10</v>
      </c>
      <c r="C301" s="808">
        <v>176</v>
      </c>
      <c r="D301" s="294" t="s">
        <v>487</v>
      </c>
      <c r="E301" s="294" t="s">
        <v>488</v>
      </c>
      <c r="F301" s="808">
        <v>6100302810</v>
      </c>
      <c r="G301" s="808">
        <v>243</v>
      </c>
      <c r="H301" s="36"/>
      <c r="I301" s="22"/>
      <c r="J301" s="22"/>
      <c r="K301" s="22"/>
      <c r="L301" s="22"/>
      <c r="M301" s="60"/>
      <c r="N301" s="60"/>
      <c r="O301" s="60"/>
      <c r="P301" s="60"/>
      <c r="Q301" s="60"/>
      <c r="R301" s="60">
        <f t="shared" si="54"/>
        <v>2270.4</v>
      </c>
      <c r="S301" s="60"/>
      <c r="T301" s="60"/>
      <c r="U301" s="60"/>
      <c r="V301" s="60">
        <f>'Подробный перечень (ОБ)'!$K$728</f>
        <v>2270.4</v>
      </c>
      <c r="W301" s="60">
        <f>'Подробный перечень (ОБ)'!$L$728</f>
        <v>150447.70000000001</v>
      </c>
      <c r="X301" s="61">
        <f>'Подробный перечень (ОБ)'!$M$728</f>
        <v>15000</v>
      </c>
      <c r="Y301" s="885"/>
      <c r="Z301" s="885"/>
      <c r="AA301" s="278"/>
    </row>
    <row r="302" spans="1:31" ht="24.75" hidden="1" customHeight="1">
      <c r="A302" s="883"/>
      <c r="B302" s="535" t="s">
        <v>436</v>
      </c>
      <c r="C302" s="808">
        <v>176</v>
      </c>
      <c r="D302" s="294" t="s">
        <v>487</v>
      </c>
      <c r="E302" s="294" t="s">
        <v>488</v>
      </c>
      <c r="F302" s="808">
        <v>6100353902</v>
      </c>
      <c r="G302" s="808">
        <v>243</v>
      </c>
      <c r="H302" s="36"/>
      <c r="I302" s="22"/>
      <c r="J302" s="22"/>
      <c r="K302" s="22"/>
      <c r="L302" s="22"/>
      <c r="M302" s="60"/>
      <c r="N302" s="60"/>
      <c r="O302" s="60"/>
      <c r="P302" s="60"/>
      <c r="Q302" s="60"/>
      <c r="R302" s="60">
        <f t="shared" si="54"/>
        <v>0</v>
      </c>
      <c r="S302" s="60"/>
      <c r="T302" s="60"/>
      <c r="U302" s="60"/>
      <c r="V302" s="60">
        <f>'Подробный перечень (ОБ)'!K528</f>
        <v>0</v>
      </c>
      <c r="W302" s="60"/>
      <c r="X302" s="61"/>
      <c r="Y302" s="885"/>
      <c r="Z302" s="885"/>
    </row>
    <row r="303" spans="1:31" ht="24.75" customHeight="1">
      <c r="A303" s="12" t="s">
        <v>61</v>
      </c>
      <c r="B303" s="535" t="s">
        <v>10</v>
      </c>
      <c r="C303" s="808">
        <v>176</v>
      </c>
      <c r="D303" s="294" t="s">
        <v>487</v>
      </c>
      <c r="E303" s="294" t="s">
        <v>488</v>
      </c>
      <c r="F303" s="808">
        <v>6100302810</v>
      </c>
      <c r="G303" s="808">
        <v>243</v>
      </c>
      <c r="H303" s="36" t="e">
        <f t="shared" si="53"/>
        <v>#REF!</v>
      </c>
      <c r="I303" s="22" t="e">
        <f>#REF!</f>
        <v>#REF!</v>
      </c>
      <c r="J303" s="22" t="e">
        <f>#REF!</f>
        <v>#REF!</v>
      </c>
      <c r="K303" s="22" t="e">
        <f>#REF!</f>
        <v>#REF!</v>
      </c>
      <c r="L303" s="22" t="e">
        <f>#REF!</f>
        <v>#REF!</v>
      </c>
      <c r="M303" s="60"/>
      <c r="N303" s="60"/>
      <c r="O303" s="60"/>
      <c r="P303" s="60"/>
      <c r="Q303" s="60"/>
      <c r="R303" s="60">
        <f t="shared" si="54"/>
        <v>107590.6</v>
      </c>
      <c r="S303" s="60"/>
      <c r="T303" s="60"/>
      <c r="U303" s="60"/>
      <c r="V303" s="60">
        <f>'Подробный перечень (ОБ)'!$K$754</f>
        <v>107590.6</v>
      </c>
      <c r="W303" s="60">
        <f>'Подробный перечень (ОБ)'!$L$754</f>
        <v>65828</v>
      </c>
      <c r="X303" s="61">
        <f>'Подробный перечень (ОБ)'!$M$754</f>
        <v>82061</v>
      </c>
      <c r="Y303" s="885"/>
      <c r="Z303" s="885"/>
    </row>
    <row r="304" spans="1:31" ht="24.75" customHeight="1">
      <c r="A304" s="12" t="s">
        <v>62</v>
      </c>
      <c r="B304" s="535" t="s">
        <v>10</v>
      </c>
      <c r="C304" s="808">
        <v>176</v>
      </c>
      <c r="D304" s="294" t="s">
        <v>487</v>
      </c>
      <c r="E304" s="294" t="s">
        <v>488</v>
      </c>
      <c r="F304" s="808">
        <v>6100302810</v>
      </c>
      <c r="G304" s="808">
        <v>243</v>
      </c>
      <c r="H304" s="36" t="e">
        <f t="shared" si="53"/>
        <v>#REF!</v>
      </c>
      <c r="I304" s="22" t="e">
        <f>#REF!</f>
        <v>#REF!</v>
      </c>
      <c r="J304" s="22" t="e">
        <f>#REF!</f>
        <v>#REF!</v>
      </c>
      <c r="K304" s="22" t="e">
        <f>#REF!</f>
        <v>#REF!</v>
      </c>
      <c r="L304" s="22" t="e">
        <f>#REF!</f>
        <v>#REF!</v>
      </c>
      <c r="M304" s="60" t="e">
        <f>'Подробный перечень(БКАД)'!#REF!</f>
        <v>#REF!</v>
      </c>
      <c r="N304" s="60"/>
      <c r="O304" s="60"/>
      <c r="P304" s="60" t="e">
        <f>'Подробный перечень(БКАД)'!#REF!</f>
        <v>#REF!</v>
      </c>
      <c r="Q304" s="60"/>
      <c r="R304" s="60">
        <f t="shared" si="54"/>
        <v>0</v>
      </c>
      <c r="S304" s="60"/>
      <c r="T304" s="60"/>
      <c r="U304" s="60"/>
      <c r="V304" s="60"/>
      <c r="W304" s="60"/>
      <c r="X304" s="61"/>
      <c r="Y304" s="885"/>
      <c r="Z304" s="885"/>
      <c r="AA304" s="278"/>
    </row>
    <row r="305" spans="1:31" ht="24.75" customHeight="1">
      <c r="A305" s="12" t="s">
        <v>63</v>
      </c>
      <c r="B305" s="535" t="s">
        <v>10</v>
      </c>
      <c r="C305" s="808">
        <v>176</v>
      </c>
      <c r="D305" s="294" t="s">
        <v>487</v>
      </c>
      <c r="E305" s="294" t="s">
        <v>488</v>
      </c>
      <c r="F305" s="808">
        <v>6100302810</v>
      </c>
      <c r="G305" s="808">
        <v>243</v>
      </c>
      <c r="H305" s="36" t="e">
        <f t="shared" si="53"/>
        <v>#REF!</v>
      </c>
      <c r="I305" s="22" t="e">
        <f>#REF!</f>
        <v>#REF!</v>
      </c>
      <c r="J305" s="22" t="e">
        <f>#REF!</f>
        <v>#REF!</v>
      </c>
      <c r="K305" s="22" t="e">
        <f>#REF!</f>
        <v>#REF!</v>
      </c>
      <c r="L305" s="22" t="e">
        <f>#REF!</f>
        <v>#REF!</v>
      </c>
      <c r="M305" s="60" t="e">
        <f>'Подробный перечень(БКАД)'!#REF!</f>
        <v>#REF!</v>
      </c>
      <c r="N305" s="60" t="e">
        <f>'Подробный перечень(БКАД)'!#REF!</f>
        <v>#REF!</v>
      </c>
      <c r="O305" s="60"/>
      <c r="P305" s="60"/>
      <c r="Q305" s="60" t="e">
        <f>'Подробный перечень(БКАД)'!#REF!</f>
        <v>#REF!</v>
      </c>
      <c r="R305" s="60">
        <f t="shared" si="54"/>
        <v>0</v>
      </c>
      <c r="S305" s="60"/>
      <c r="T305" s="60"/>
      <c r="U305" s="60"/>
      <c r="V305" s="60">
        <f>'Подробный перечень (ОБ)'!$K$793</f>
        <v>0</v>
      </c>
      <c r="W305" s="60"/>
      <c r="X305" s="61"/>
      <c r="Y305" s="885"/>
      <c r="Z305" s="885"/>
      <c r="AE305" s="71"/>
    </row>
    <row r="306" spans="1:31" ht="24.75" customHeight="1">
      <c r="A306" s="12" t="s">
        <v>64</v>
      </c>
      <c r="B306" s="535" t="s">
        <v>10</v>
      </c>
      <c r="C306" s="808">
        <v>176</v>
      </c>
      <c r="D306" s="294" t="s">
        <v>487</v>
      </c>
      <c r="E306" s="294" t="s">
        <v>488</v>
      </c>
      <c r="F306" s="808">
        <v>6100302810</v>
      </c>
      <c r="G306" s="808">
        <v>243</v>
      </c>
      <c r="H306" s="36" t="e">
        <f t="shared" si="53"/>
        <v>#REF!</v>
      </c>
      <c r="I306" s="22" t="e">
        <f>#REF!</f>
        <v>#REF!</v>
      </c>
      <c r="J306" s="22" t="e">
        <f>#REF!</f>
        <v>#REF!</v>
      </c>
      <c r="K306" s="22" t="e">
        <f>#REF!</f>
        <v>#REF!</v>
      </c>
      <c r="L306" s="22" t="e">
        <f>#REF!</f>
        <v>#REF!</v>
      </c>
      <c r="M306" s="60" t="e">
        <f>'Подробный перечень(БКАД)'!#REF!</f>
        <v>#REF!</v>
      </c>
      <c r="N306" s="60"/>
      <c r="O306" s="60"/>
      <c r="P306" s="60" t="e">
        <f>'Подробный перечень(БКАД)'!#REF!</f>
        <v>#REF!</v>
      </c>
      <c r="Q306" s="60"/>
      <c r="R306" s="60">
        <f>'Подробный перечень (ОБ)'!$G$806</f>
        <v>3500</v>
      </c>
      <c r="S306" s="60"/>
      <c r="T306" s="60"/>
      <c r="U306" s="60"/>
      <c r="V306" s="60">
        <f>'Подробный перечень (ОБ)'!$K$806</f>
        <v>3500</v>
      </c>
      <c r="W306" s="60"/>
      <c r="X306" s="61"/>
      <c r="Y306" s="885"/>
      <c r="Z306" s="885"/>
    </row>
    <row r="307" spans="1:31" ht="24.75" customHeight="1">
      <c r="A307" s="15" t="s">
        <v>65</v>
      </c>
      <c r="B307" s="535" t="s">
        <v>10</v>
      </c>
      <c r="C307" s="808">
        <v>176</v>
      </c>
      <c r="D307" s="294" t="s">
        <v>487</v>
      </c>
      <c r="E307" s="294" t="s">
        <v>488</v>
      </c>
      <c r="F307" s="808">
        <v>6100302810</v>
      </c>
      <c r="G307" s="808">
        <v>243</v>
      </c>
      <c r="H307" s="36"/>
      <c r="I307" s="22"/>
      <c r="J307" s="22"/>
      <c r="K307" s="22"/>
      <c r="L307" s="22"/>
      <c r="M307" s="60"/>
      <c r="N307" s="60"/>
      <c r="O307" s="60"/>
      <c r="P307" s="60"/>
      <c r="Q307" s="60"/>
      <c r="R307" s="60">
        <f t="shared" si="54"/>
        <v>6291.9</v>
      </c>
      <c r="S307" s="60"/>
      <c r="T307" s="60"/>
      <c r="U307" s="60"/>
      <c r="V307" s="60">
        <f>'Подробный перечень (ОБ)'!$K$815</f>
        <v>6291.9</v>
      </c>
      <c r="W307" s="60">
        <f>'Подробный перечень (ОБ)'!$L$815</f>
        <v>13069.7</v>
      </c>
      <c r="X307" s="61">
        <f>'Подробный перечень (ОБ)'!$M$815</f>
        <v>60000</v>
      </c>
      <c r="Y307" s="885"/>
      <c r="Z307" s="885"/>
    </row>
    <row r="308" spans="1:31" ht="24.75" hidden="1" customHeight="1">
      <c r="A308" s="405"/>
      <c r="B308" s="535" t="s">
        <v>10</v>
      </c>
      <c r="C308" s="808">
        <v>176</v>
      </c>
      <c r="D308" s="294" t="s">
        <v>15</v>
      </c>
      <c r="E308" s="294" t="s">
        <v>15</v>
      </c>
      <c r="F308" s="808">
        <v>6100053902</v>
      </c>
      <c r="G308" s="808">
        <v>243</v>
      </c>
      <c r="H308" s="36"/>
      <c r="I308" s="22"/>
      <c r="J308" s="22"/>
      <c r="K308" s="22"/>
      <c r="L308" s="22"/>
      <c r="M308" s="60"/>
      <c r="N308" s="60"/>
      <c r="O308" s="60"/>
      <c r="P308" s="60"/>
      <c r="Q308" s="60"/>
      <c r="R308" s="60">
        <f t="shared" si="54"/>
        <v>0</v>
      </c>
      <c r="S308" s="60"/>
      <c r="T308" s="60"/>
      <c r="U308" s="60"/>
      <c r="V308" s="60"/>
      <c r="W308" s="60"/>
      <c r="X308" s="61"/>
      <c r="Y308" s="885"/>
      <c r="Z308" s="885"/>
      <c r="AA308" s="278"/>
    </row>
    <row r="309" spans="1:31" ht="24.75" customHeight="1">
      <c r="A309" s="406" t="s">
        <v>66</v>
      </c>
      <c r="B309" s="535" t="s">
        <v>10</v>
      </c>
      <c r="C309" s="808">
        <v>176</v>
      </c>
      <c r="D309" s="294" t="s">
        <v>487</v>
      </c>
      <c r="E309" s="294" t="s">
        <v>488</v>
      </c>
      <c r="F309" s="808">
        <v>6100302810</v>
      </c>
      <c r="G309" s="808">
        <v>243</v>
      </c>
      <c r="H309" s="36" t="e">
        <f t="shared" si="53"/>
        <v>#REF!</v>
      </c>
      <c r="I309" s="22" t="e">
        <f>#REF!</f>
        <v>#REF!</v>
      </c>
      <c r="J309" s="22" t="e">
        <f>#REF!</f>
        <v>#REF!</v>
      </c>
      <c r="K309" s="22" t="e">
        <f>#REF!</f>
        <v>#REF!</v>
      </c>
      <c r="L309" s="22" t="e">
        <f>#REF!</f>
        <v>#REF!</v>
      </c>
      <c r="M309" s="60" t="e">
        <f>'Подробный перечень(БКАД)'!#REF!</f>
        <v>#REF!</v>
      </c>
      <c r="N309" s="60" t="e">
        <f>'Подробный перечень(БКАД)'!#REF!</f>
        <v>#REF!</v>
      </c>
      <c r="O309" s="60"/>
      <c r="P309" s="60"/>
      <c r="Q309" s="60"/>
      <c r="R309" s="60">
        <f t="shared" si="54"/>
        <v>21823.8</v>
      </c>
      <c r="S309" s="60"/>
      <c r="T309" s="60"/>
      <c r="U309" s="60"/>
      <c r="V309" s="60">
        <f>'Подробный перечень (ОБ)'!$K$835</f>
        <v>21823.8</v>
      </c>
      <c r="W309" s="60"/>
      <c r="X309" s="61"/>
      <c r="Y309" s="885"/>
      <c r="Z309" s="885"/>
      <c r="AA309" s="278"/>
    </row>
    <row r="310" spans="1:31" ht="24.75" customHeight="1">
      <c r="A310" s="12" t="s">
        <v>67</v>
      </c>
      <c r="B310" s="535" t="s">
        <v>10</v>
      </c>
      <c r="C310" s="808">
        <v>176</v>
      </c>
      <c r="D310" s="294" t="s">
        <v>487</v>
      </c>
      <c r="E310" s="294" t="s">
        <v>488</v>
      </c>
      <c r="F310" s="808">
        <v>6100302810</v>
      </c>
      <c r="G310" s="808">
        <v>243</v>
      </c>
      <c r="H310" s="36" t="e">
        <f t="shared" si="53"/>
        <v>#REF!</v>
      </c>
      <c r="I310" s="22" t="e">
        <f>#REF!</f>
        <v>#REF!</v>
      </c>
      <c r="J310" s="22" t="e">
        <f>#REF!</f>
        <v>#REF!</v>
      </c>
      <c r="K310" s="22" t="e">
        <f>#REF!</f>
        <v>#REF!</v>
      </c>
      <c r="L310" s="22" t="e">
        <f>#REF!</f>
        <v>#REF!</v>
      </c>
      <c r="M310" s="60" t="e">
        <f>'Подробный перечень(БКАД)'!#REF!</f>
        <v>#REF!</v>
      </c>
      <c r="N310" s="60"/>
      <c r="O310" s="60"/>
      <c r="P310" s="60" t="e">
        <f>'Подробный перечень(БКАД)'!#REF!</f>
        <v>#REF!</v>
      </c>
      <c r="Q310" s="60"/>
      <c r="R310" s="60">
        <f t="shared" si="54"/>
        <v>0</v>
      </c>
      <c r="S310" s="60"/>
      <c r="T310" s="60"/>
      <c r="U310" s="60"/>
      <c r="V310" s="60"/>
      <c r="W310" s="60"/>
      <c r="X310" s="61"/>
      <c r="Y310" s="885"/>
      <c r="Z310" s="885"/>
      <c r="AA310" s="278"/>
    </row>
    <row r="311" spans="1:31" ht="24.75" customHeight="1">
      <c r="A311" s="12" t="s">
        <v>68</v>
      </c>
      <c r="B311" s="535" t="s">
        <v>10</v>
      </c>
      <c r="C311" s="808">
        <v>176</v>
      </c>
      <c r="D311" s="294" t="s">
        <v>487</v>
      </c>
      <c r="E311" s="294" t="s">
        <v>488</v>
      </c>
      <c r="F311" s="808">
        <v>6100302810</v>
      </c>
      <c r="G311" s="808">
        <v>243</v>
      </c>
      <c r="H311" s="36" t="e">
        <f t="shared" si="53"/>
        <v>#REF!</v>
      </c>
      <c r="I311" s="22" t="e">
        <f>#REF!</f>
        <v>#REF!</v>
      </c>
      <c r="J311" s="22" t="e">
        <f>#REF!</f>
        <v>#REF!</v>
      </c>
      <c r="K311" s="22" t="e">
        <f>#REF!</f>
        <v>#REF!</v>
      </c>
      <c r="L311" s="22" t="e">
        <f>#REF!</f>
        <v>#REF!</v>
      </c>
      <c r="M311" s="60" t="e">
        <f>'Подробный перечень(БКАД)'!#REF!</f>
        <v>#REF!</v>
      </c>
      <c r="N311" s="60" t="e">
        <f>'Подробный перечень(БКАД)'!#REF!</f>
        <v>#REF!</v>
      </c>
      <c r="O311" s="60"/>
      <c r="P311" s="60"/>
      <c r="Q311" s="60"/>
      <c r="R311" s="60">
        <f t="shared" si="54"/>
        <v>20000</v>
      </c>
      <c r="S311" s="60"/>
      <c r="T311" s="60"/>
      <c r="U311" s="60"/>
      <c r="V311" s="60">
        <f>'Подробный перечень (ОБ)'!$K$858</f>
        <v>20000</v>
      </c>
      <c r="W311" s="60"/>
      <c r="X311" s="61"/>
      <c r="Y311" s="885"/>
      <c r="Z311" s="885"/>
    </row>
    <row r="312" spans="1:31" ht="24.75" customHeight="1">
      <c r="A312" s="12" t="s">
        <v>69</v>
      </c>
      <c r="B312" s="535" t="s">
        <v>10</v>
      </c>
      <c r="C312" s="808">
        <v>176</v>
      </c>
      <c r="D312" s="294" t="s">
        <v>487</v>
      </c>
      <c r="E312" s="294" t="s">
        <v>488</v>
      </c>
      <c r="F312" s="808">
        <v>6100302810</v>
      </c>
      <c r="G312" s="808">
        <v>243</v>
      </c>
      <c r="H312" s="36" t="e">
        <f t="shared" si="53"/>
        <v>#REF!</v>
      </c>
      <c r="I312" s="22" t="e">
        <f>#REF!</f>
        <v>#REF!</v>
      </c>
      <c r="J312" s="22" t="e">
        <f>#REF!</f>
        <v>#REF!</v>
      </c>
      <c r="K312" s="22" t="e">
        <f>#REF!</f>
        <v>#REF!</v>
      </c>
      <c r="L312" s="22" t="e">
        <f>#REF!</f>
        <v>#REF!</v>
      </c>
      <c r="M312" s="60" t="e">
        <f>'Подробный перечень(БКАД)'!#REF!</f>
        <v>#REF!</v>
      </c>
      <c r="N312" s="60" t="e">
        <f>'Подробный перечень(БКАД)'!#REF!</f>
        <v>#REF!</v>
      </c>
      <c r="O312" s="60"/>
      <c r="P312" s="60"/>
      <c r="Q312" s="60"/>
      <c r="R312" s="60">
        <f t="shared" si="54"/>
        <v>103480.7</v>
      </c>
      <c r="S312" s="60"/>
      <c r="T312" s="60"/>
      <c r="U312" s="60"/>
      <c r="V312" s="60">
        <f>'Подробный перечень (ОБ)'!$K$866</f>
        <v>103480.7</v>
      </c>
      <c r="W312" s="60">
        <f>'Подробный перечень (ОБ)'!$L$866</f>
        <v>5000</v>
      </c>
      <c r="X312" s="61">
        <f>'Подробный перечень (ОБ)'!$M$866</f>
        <v>45000</v>
      </c>
      <c r="Y312" s="885"/>
      <c r="Z312" s="885"/>
      <c r="AA312" s="278"/>
    </row>
    <row r="313" spans="1:31" ht="24.75" customHeight="1">
      <c r="A313" s="12" t="s">
        <v>70</v>
      </c>
      <c r="B313" s="535" t="s">
        <v>10</v>
      </c>
      <c r="C313" s="808">
        <v>176</v>
      </c>
      <c r="D313" s="294" t="s">
        <v>487</v>
      </c>
      <c r="E313" s="294" t="s">
        <v>488</v>
      </c>
      <c r="F313" s="808">
        <v>6100302810</v>
      </c>
      <c r="G313" s="808">
        <v>243</v>
      </c>
      <c r="H313" s="36" t="e">
        <f t="shared" si="53"/>
        <v>#REF!</v>
      </c>
      <c r="I313" s="22" t="e">
        <f>#REF!</f>
        <v>#REF!</v>
      </c>
      <c r="J313" s="22" t="e">
        <f>#REF!</f>
        <v>#REF!</v>
      </c>
      <c r="K313" s="22" t="e">
        <f>#REF!</f>
        <v>#REF!</v>
      </c>
      <c r="L313" s="22" t="e">
        <f>#REF!</f>
        <v>#REF!</v>
      </c>
      <c r="M313" s="60" t="e">
        <f>'Подробный перечень(БКАД)'!#REF!</f>
        <v>#REF!</v>
      </c>
      <c r="N313" s="60"/>
      <c r="O313" s="60"/>
      <c r="P313" s="60" t="e">
        <f>'Подробный перечень(БКАД)'!#REF!</f>
        <v>#REF!</v>
      </c>
      <c r="Q313" s="60"/>
      <c r="R313" s="60">
        <f t="shared" si="54"/>
        <v>0</v>
      </c>
      <c r="S313" s="60"/>
      <c r="T313" s="60"/>
      <c r="U313" s="60"/>
      <c r="V313" s="60"/>
      <c r="W313" s="60"/>
      <c r="X313" s="61"/>
      <c r="Y313" s="885"/>
      <c r="Z313" s="885"/>
    </row>
    <row r="314" spans="1:31" ht="24.75" customHeight="1">
      <c r="A314" s="12" t="s">
        <v>71</v>
      </c>
      <c r="B314" s="535" t="s">
        <v>10</v>
      </c>
      <c r="C314" s="808">
        <v>176</v>
      </c>
      <c r="D314" s="294" t="s">
        <v>487</v>
      </c>
      <c r="E314" s="294" t="s">
        <v>488</v>
      </c>
      <c r="F314" s="808">
        <v>6100302810</v>
      </c>
      <c r="G314" s="808">
        <v>243</v>
      </c>
      <c r="H314" s="36" t="e">
        <f t="shared" si="53"/>
        <v>#REF!</v>
      </c>
      <c r="I314" s="22" t="e">
        <f>#REF!</f>
        <v>#REF!</v>
      </c>
      <c r="J314" s="22" t="e">
        <f>#REF!</f>
        <v>#REF!</v>
      </c>
      <c r="K314" s="22" t="e">
        <f>#REF!</f>
        <v>#REF!</v>
      </c>
      <c r="L314" s="22" t="e">
        <f>#REF!</f>
        <v>#REF!</v>
      </c>
      <c r="M314" s="60" t="e">
        <f>'Подробный перечень(БКАД)'!#REF!</f>
        <v>#REF!</v>
      </c>
      <c r="N314" s="60" t="e">
        <f>'Подробный перечень(БКАД)'!#REF!</f>
        <v>#REF!</v>
      </c>
      <c r="O314" s="60"/>
      <c r="P314" s="60"/>
      <c r="Q314" s="60" t="e">
        <f>'Подробный перечень(БКАД)'!#REF!</f>
        <v>#REF!</v>
      </c>
      <c r="R314" s="60">
        <f t="shared" si="54"/>
        <v>0</v>
      </c>
      <c r="S314" s="60"/>
      <c r="T314" s="60"/>
      <c r="U314" s="60"/>
      <c r="V314" s="60"/>
      <c r="W314" s="60"/>
      <c r="X314" s="61"/>
      <c r="Y314" s="885"/>
      <c r="Z314" s="885"/>
      <c r="AA314" s="278"/>
    </row>
    <row r="315" spans="1:31" ht="24.75" customHeight="1">
      <c r="A315" s="535" t="s">
        <v>712</v>
      </c>
      <c r="B315" s="535" t="s">
        <v>10</v>
      </c>
      <c r="C315" s="808">
        <v>176</v>
      </c>
      <c r="D315" s="294" t="s">
        <v>487</v>
      </c>
      <c r="E315" s="294" t="s">
        <v>488</v>
      </c>
      <c r="F315" s="808">
        <v>6100302810</v>
      </c>
      <c r="G315" s="808">
        <v>243</v>
      </c>
      <c r="H315" s="36" t="e">
        <f t="shared" si="53"/>
        <v>#REF!</v>
      </c>
      <c r="I315" s="22" t="e">
        <f>#REF!</f>
        <v>#REF!</v>
      </c>
      <c r="J315" s="22" t="e">
        <f>#REF!</f>
        <v>#REF!</v>
      </c>
      <c r="K315" s="22" t="e">
        <f>#REF!</f>
        <v>#REF!</v>
      </c>
      <c r="L315" s="22" t="e">
        <f>#REF!</f>
        <v>#REF!</v>
      </c>
      <c r="M315" s="60" t="e">
        <f>'Подробный перечень(БКАД)'!#REF!</f>
        <v>#REF!</v>
      </c>
      <c r="N315" s="60"/>
      <c r="O315" s="60"/>
      <c r="P315" s="60"/>
      <c r="Q315" s="60" t="e">
        <f>'Подробный перечень(БКАД)'!#REF!</f>
        <v>#REF!</v>
      </c>
      <c r="R315" s="60">
        <f t="shared" si="54"/>
        <v>10000</v>
      </c>
      <c r="S315" s="60"/>
      <c r="T315" s="60">
        <f>'Подробный перечень(БКАД)'!$I$766</f>
        <v>0</v>
      </c>
      <c r="U315" s="60"/>
      <c r="V315" s="60">
        <f>'Подробный перечень (ОБ)'!$K$887</f>
        <v>10000</v>
      </c>
      <c r="W315" s="60">
        <f>'Подробный перечень (ОБ)'!$L$887</f>
        <v>0</v>
      </c>
      <c r="X315" s="61">
        <f>'Подробный перечень (ОБ)'!$M$887</f>
        <v>9000</v>
      </c>
      <c r="Y315" s="886"/>
      <c r="Z315" s="886"/>
    </row>
    <row r="316" spans="1:31" ht="24.75" customHeight="1">
      <c r="A316" s="872" t="s">
        <v>1153</v>
      </c>
      <c r="B316" s="840" t="s">
        <v>1143</v>
      </c>
      <c r="C316" s="659">
        <v>176</v>
      </c>
      <c r="D316" s="102" t="s">
        <v>487</v>
      </c>
      <c r="E316" s="102" t="s">
        <v>488</v>
      </c>
      <c r="F316" s="659" t="s">
        <v>263</v>
      </c>
      <c r="G316" s="808">
        <v>243</v>
      </c>
      <c r="H316" s="36"/>
      <c r="I316" s="22"/>
      <c r="J316" s="22"/>
      <c r="K316" s="22"/>
      <c r="L316" s="22"/>
      <c r="M316" s="60"/>
      <c r="N316" s="60"/>
      <c r="O316" s="60"/>
      <c r="P316" s="60"/>
      <c r="Q316" s="60"/>
      <c r="R316" s="60">
        <f>'Подробный перечень (ОБ)'!$G$889</f>
        <v>4513.3</v>
      </c>
      <c r="S316" s="60">
        <f>'Подробный перечень (ОБ)'!$H$889</f>
        <v>4513.3</v>
      </c>
      <c r="T316" s="60"/>
      <c r="U316" s="60"/>
      <c r="V316" s="60"/>
      <c r="W316" s="60"/>
      <c r="X316" s="61"/>
      <c r="Y316" s="878" t="s">
        <v>26</v>
      </c>
      <c r="Z316" s="878" t="s">
        <v>898</v>
      </c>
    </row>
    <row r="317" spans="1:31" ht="24.75" customHeight="1">
      <c r="A317" s="873"/>
      <c r="B317" s="826" t="s">
        <v>10</v>
      </c>
      <c r="C317" s="808">
        <v>176</v>
      </c>
      <c r="D317" s="294" t="s">
        <v>487</v>
      </c>
      <c r="E317" s="294" t="s">
        <v>488</v>
      </c>
      <c r="F317" s="808">
        <v>6100302810</v>
      </c>
      <c r="G317" s="808">
        <v>243</v>
      </c>
      <c r="H317" s="36"/>
      <c r="I317" s="22"/>
      <c r="J317" s="22"/>
      <c r="K317" s="22"/>
      <c r="L317" s="22"/>
      <c r="M317" s="60"/>
      <c r="N317" s="60"/>
      <c r="O317" s="60"/>
      <c r="P317" s="60"/>
      <c r="Q317" s="60"/>
      <c r="R317" s="60">
        <f>'Подробный перечень (ОБ)'!$G$890</f>
        <v>4513.3</v>
      </c>
      <c r="S317" s="60">
        <f>'Подробный перечень (ОБ)'!$H$890</f>
        <v>4513.3</v>
      </c>
      <c r="T317" s="60"/>
      <c r="U317" s="60"/>
      <c r="V317" s="60"/>
      <c r="W317" s="669"/>
      <c r="X317" s="670"/>
      <c r="Y317" s="879"/>
      <c r="Z317" s="879"/>
    </row>
    <row r="318" spans="1:31" ht="24.75" customHeight="1">
      <c r="A318" s="873"/>
      <c r="B318" s="826" t="s">
        <v>436</v>
      </c>
      <c r="C318" s="808">
        <v>176</v>
      </c>
      <c r="D318" s="294" t="s">
        <v>487</v>
      </c>
      <c r="E318" s="294" t="s">
        <v>488</v>
      </c>
      <c r="F318" s="808"/>
      <c r="G318" s="808"/>
      <c r="H318" s="36"/>
      <c r="I318" s="22"/>
      <c r="J318" s="22"/>
      <c r="K318" s="22"/>
      <c r="L318" s="22"/>
      <c r="M318" s="60"/>
      <c r="N318" s="60"/>
      <c r="O318" s="60"/>
      <c r="P318" s="60"/>
      <c r="Q318" s="60"/>
      <c r="R318" s="60"/>
      <c r="S318" s="60"/>
      <c r="T318" s="60"/>
      <c r="U318" s="60"/>
      <c r="V318" s="60"/>
      <c r="W318" s="60"/>
      <c r="X318" s="60"/>
      <c r="Y318" s="879"/>
      <c r="Z318" s="879"/>
    </row>
    <row r="319" spans="1:31" ht="24.75" customHeight="1">
      <c r="A319" s="873"/>
      <c r="B319" s="826"/>
      <c r="C319" s="808"/>
      <c r="D319" s="294"/>
      <c r="E319" s="294"/>
      <c r="F319" s="808"/>
      <c r="G319" s="808"/>
      <c r="H319" s="36"/>
      <c r="I319" s="22"/>
      <c r="J319" s="22"/>
      <c r="K319" s="22"/>
      <c r="L319" s="22"/>
      <c r="M319" s="60"/>
      <c r="N319" s="60"/>
      <c r="O319" s="60"/>
      <c r="P319" s="60"/>
      <c r="Q319" s="60"/>
      <c r="R319" s="60"/>
      <c r="S319" s="60"/>
      <c r="T319" s="60"/>
      <c r="U319" s="60"/>
      <c r="V319" s="60"/>
      <c r="W319" s="61"/>
      <c r="X319" s="61"/>
      <c r="Y319" s="879"/>
      <c r="Z319" s="879"/>
    </row>
    <row r="320" spans="1:31" ht="24.75" customHeight="1">
      <c r="A320" s="873"/>
      <c r="B320" s="826"/>
      <c r="C320" s="808"/>
      <c r="D320" s="294"/>
      <c r="E320" s="294"/>
      <c r="F320" s="808"/>
      <c r="G320" s="808"/>
      <c r="H320" s="36"/>
      <c r="I320" s="22"/>
      <c r="J320" s="22"/>
      <c r="K320" s="22"/>
      <c r="L320" s="22"/>
      <c r="M320" s="60"/>
      <c r="N320" s="60"/>
      <c r="O320" s="60"/>
      <c r="P320" s="60"/>
      <c r="Q320" s="60"/>
      <c r="R320" s="60"/>
      <c r="S320" s="60"/>
      <c r="T320" s="60"/>
      <c r="U320" s="60"/>
      <c r="V320" s="60"/>
      <c r="W320" s="61"/>
      <c r="X320" s="61"/>
      <c r="Y320" s="879"/>
      <c r="Z320" s="879"/>
    </row>
    <row r="321" spans="1:27" ht="24.75" customHeight="1">
      <c r="A321" s="874"/>
      <c r="B321" s="826"/>
      <c r="C321" s="808"/>
      <c r="D321" s="294"/>
      <c r="E321" s="294"/>
      <c r="F321" s="808"/>
      <c r="G321" s="808"/>
      <c r="H321" s="36"/>
      <c r="I321" s="22"/>
      <c r="J321" s="22"/>
      <c r="K321" s="22"/>
      <c r="L321" s="22"/>
      <c r="M321" s="60"/>
      <c r="N321" s="60"/>
      <c r="O321" s="60"/>
      <c r="P321" s="60"/>
      <c r="Q321" s="60"/>
      <c r="R321" s="60"/>
      <c r="S321" s="60"/>
      <c r="T321" s="60"/>
      <c r="U321" s="60"/>
      <c r="V321" s="60"/>
      <c r="W321" s="61"/>
      <c r="X321" s="61"/>
      <c r="Y321" s="880"/>
      <c r="Z321" s="880"/>
    </row>
    <row r="322" spans="1:27" ht="28.5" customHeight="1">
      <c r="A322" s="887" t="s">
        <v>1154</v>
      </c>
      <c r="B322" s="826" t="s">
        <v>89</v>
      </c>
      <c r="C322" s="659"/>
      <c r="D322" s="102"/>
      <c r="E322" s="102"/>
      <c r="F322" s="659"/>
      <c r="G322" s="659"/>
      <c r="H322" s="26" t="e">
        <f>L322</f>
        <v>#REF!</v>
      </c>
      <c r="I322" s="26"/>
      <c r="J322" s="26"/>
      <c r="K322" s="26"/>
      <c r="L322" s="26" t="e">
        <f>#REF!</f>
        <v>#REF!</v>
      </c>
      <c r="M322" s="48" t="e">
        <f>'Подробный перечень(БКАД)'!#REF!</f>
        <v>#REF!</v>
      </c>
      <c r="N322" s="48"/>
      <c r="O322" s="48"/>
      <c r="P322" s="48"/>
      <c r="Q322" s="48"/>
      <c r="R322" s="48"/>
      <c r="S322" s="48"/>
      <c r="T322" s="48"/>
      <c r="U322" s="48"/>
      <c r="V322" s="48"/>
      <c r="W322" s="59"/>
      <c r="X322" s="59"/>
      <c r="Y322" s="878" t="s">
        <v>26</v>
      </c>
      <c r="Z322" s="878" t="s">
        <v>1146</v>
      </c>
    </row>
    <row r="323" spans="1:27" ht="34.5" customHeight="1">
      <c r="A323" s="888"/>
      <c r="B323" s="826" t="s">
        <v>646</v>
      </c>
      <c r="C323" s="659">
        <f>C324</f>
        <v>176</v>
      </c>
      <c r="D323" s="659" t="str">
        <f t="shared" ref="D323:Q323" si="56">D324</f>
        <v>04</v>
      </c>
      <c r="E323" s="659" t="str">
        <f t="shared" si="56"/>
        <v>09</v>
      </c>
      <c r="F323" s="659" t="str">
        <f t="shared" si="56"/>
        <v>61ХХХХХХ</v>
      </c>
      <c r="G323" s="659">
        <f t="shared" si="56"/>
        <v>244</v>
      </c>
      <c r="H323" s="659" t="e">
        <f t="shared" si="56"/>
        <v>#REF!</v>
      </c>
      <c r="I323" s="659" t="e">
        <f t="shared" si="56"/>
        <v>#REF!</v>
      </c>
      <c r="J323" s="659" t="e">
        <f t="shared" si="56"/>
        <v>#REF!</v>
      </c>
      <c r="K323" s="659" t="e">
        <f t="shared" si="56"/>
        <v>#REF!</v>
      </c>
      <c r="L323" s="659" t="e">
        <f t="shared" si="56"/>
        <v>#REF!</v>
      </c>
      <c r="M323" s="659" t="e">
        <f t="shared" si="56"/>
        <v>#REF!</v>
      </c>
      <c r="N323" s="659" t="e">
        <f t="shared" si="56"/>
        <v>#REF!</v>
      </c>
      <c r="O323" s="659" t="e">
        <f t="shared" si="56"/>
        <v>#REF!</v>
      </c>
      <c r="P323" s="659" t="e">
        <f t="shared" si="56"/>
        <v>#REF!</v>
      </c>
      <c r="Q323" s="659" t="e">
        <f t="shared" si="56"/>
        <v>#REF!</v>
      </c>
      <c r="R323" s="58"/>
      <c r="S323" s="58" t="s">
        <v>489</v>
      </c>
      <c r="T323" s="58" t="s">
        <v>489</v>
      </c>
      <c r="U323" s="58" t="s">
        <v>489</v>
      </c>
      <c r="V323" s="58" t="s">
        <v>489</v>
      </c>
      <c r="W323" s="58"/>
      <c r="X323" s="58"/>
      <c r="Y323" s="879"/>
      <c r="Z323" s="879"/>
    </row>
    <row r="324" spans="1:27" ht="28.5" customHeight="1">
      <c r="A324" s="888"/>
      <c r="B324" s="840" t="s">
        <v>1143</v>
      </c>
      <c r="C324" s="659">
        <v>176</v>
      </c>
      <c r="D324" s="102" t="s">
        <v>487</v>
      </c>
      <c r="E324" s="102" t="s">
        <v>488</v>
      </c>
      <c r="F324" s="659" t="s">
        <v>263</v>
      </c>
      <c r="G324" s="659">
        <v>244</v>
      </c>
      <c r="H324" s="11" t="e">
        <f t="shared" ref="H324:M324" si="57">H325</f>
        <v>#REF!</v>
      </c>
      <c r="I324" s="11" t="e">
        <f t="shared" si="57"/>
        <v>#REF!</v>
      </c>
      <c r="J324" s="11" t="e">
        <f t="shared" si="57"/>
        <v>#REF!</v>
      </c>
      <c r="K324" s="11" t="e">
        <f t="shared" si="57"/>
        <v>#REF!</v>
      </c>
      <c r="L324" s="11" t="e">
        <f t="shared" si="57"/>
        <v>#REF!</v>
      </c>
      <c r="M324" s="48" t="e">
        <f t="shared" si="57"/>
        <v>#REF!</v>
      </c>
      <c r="N324" s="48" t="e">
        <f>N325</f>
        <v>#REF!</v>
      </c>
      <c r="O324" s="48" t="e">
        <f t="shared" ref="O324:Q324" si="58">O325</f>
        <v>#REF!</v>
      </c>
      <c r="P324" s="48" t="e">
        <f t="shared" si="58"/>
        <v>#REF!</v>
      </c>
      <c r="Q324" s="48" t="e">
        <f t="shared" si="58"/>
        <v>#REF!</v>
      </c>
      <c r="R324" s="48">
        <f>R325+R326</f>
        <v>1049214.5</v>
      </c>
      <c r="S324" s="48">
        <f>S325+S326</f>
        <v>6854.1</v>
      </c>
      <c r="T324" s="48">
        <f t="shared" ref="T324:X324" si="59">T325+T326</f>
        <v>0</v>
      </c>
      <c r="U324" s="48">
        <f t="shared" si="59"/>
        <v>0</v>
      </c>
      <c r="V324" s="48">
        <f t="shared" si="59"/>
        <v>1042360.3999999999</v>
      </c>
      <c r="W324" s="48">
        <f t="shared" si="59"/>
        <v>98779.6</v>
      </c>
      <c r="X324" s="48">
        <f t="shared" si="59"/>
        <v>2057347.8999999997</v>
      </c>
      <c r="Y324" s="879"/>
      <c r="Z324" s="879"/>
    </row>
    <row r="325" spans="1:27" ht="22.5" customHeight="1">
      <c r="A325" s="888"/>
      <c r="B325" s="826" t="s">
        <v>331</v>
      </c>
      <c r="C325" s="808">
        <v>176</v>
      </c>
      <c r="D325" s="294" t="s">
        <v>487</v>
      </c>
      <c r="E325" s="294" t="s">
        <v>488</v>
      </c>
      <c r="F325" s="659">
        <v>6100302810</v>
      </c>
      <c r="G325" s="659">
        <v>244</v>
      </c>
      <c r="H325" s="11" t="e">
        <f t="shared" ref="H325:Q325" si="60">SUM(H331:H373)</f>
        <v>#REF!</v>
      </c>
      <c r="I325" s="11" t="e">
        <f t="shared" si="60"/>
        <v>#REF!</v>
      </c>
      <c r="J325" s="11" t="e">
        <f t="shared" si="60"/>
        <v>#REF!</v>
      </c>
      <c r="K325" s="11" t="e">
        <f t="shared" si="60"/>
        <v>#REF!</v>
      </c>
      <c r="L325" s="11" t="e">
        <f t="shared" si="60"/>
        <v>#REF!</v>
      </c>
      <c r="M325" s="48" t="e">
        <f t="shared" si="60"/>
        <v>#REF!</v>
      </c>
      <c r="N325" s="48" t="e">
        <f t="shared" si="60"/>
        <v>#REF!</v>
      </c>
      <c r="O325" s="48" t="e">
        <f t="shared" si="60"/>
        <v>#REF!</v>
      </c>
      <c r="P325" s="48" t="e">
        <f t="shared" si="60"/>
        <v>#REF!</v>
      </c>
      <c r="Q325" s="48" t="e">
        <f t="shared" si="60"/>
        <v>#REF!</v>
      </c>
      <c r="R325" s="48">
        <f>R333+R379</f>
        <v>1049214.5</v>
      </c>
      <c r="S325" s="48">
        <f t="shared" ref="S325:X325" si="61">S333+S379</f>
        <v>6854.1</v>
      </c>
      <c r="T325" s="48">
        <f t="shared" si="61"/>
        <v>0</v>
      </c>
      <c r="U325" s="48">
        <f t="shared" si="61"/>
        <v>0</v>
      </c>
      <c r="V325" s="48">
        <f t="shared" si="61"/>
        <v>1042360.3999999999</v>
      </c>
      <c r="W325" s="48">
        <f t="shared" si="61"/>
        <v>98779.6</v>
      </c>
      <c r="X325" s="48">
        <f t="shared" si="61"/>
        <v>2057347.8999999997</v>
      </c>
      <c r="Y325" s="879"/>
      <c r="Z325" s="879"/>
    </row>
    <row r="326" spans="1:27" ht="22.5" customHeight="1">
      <c r="A326" s="888"/>
      <c r="B326" s="826" t="s">
        <v>436</v>
      </c>
      <c r="C326" s="808">
        <v>176</v>
      </c>
      <c r="D326" s="294" t="s">
        <v>487</v>
      </c>
      <c r="E326" s="294" t="s">
        <v>488</v>
      </c>
      <c r="F326" s="808"/>
      <c r="G326" s="808"/>
      <c r="H326" s="22"/>
      <c r="I326" s="22"/>
      <c r="J326" s="22"/>
      <c r="K326" s="22"/>
      <c r="L326" s="22"/>
      <c r="M326" s="60"/>
      <c r="N326" s="60"/>
      <c r="O326" s="60"/>
      <c r="P326" s="60"/>
      <c r="Q326" s="60"/>
      <c r="R326" s="60"/>
      <c r="S326" s="60"/>
      <c r="T326" s="60"/>
      <c r="U326" s="60"/>
      <c r="V326" s="60"/>
      <c r="W326" s="60"/>
      <c r="X326" s="60"/>
      <c r="Y326" s="879"/>
      <c r="Z326" s="879"/>
    </row>
    <row r="327" spans="1:27" ht="22.5" customHeight="1">
      <c r="A327" s="888"/>
      <c r="B327" s="826" t="s">
        <v>11</v>
      </c>
      <c r="C327" s="808"/>
      <c r="D327" s="294"/>
      <c r="E327" s="294"/>
      <c r="F327" s="808"/>
      <c r="G327" s="808"/>
      <c r="H327" s="22">
        <v>0</v>
      </c>
      <c r="I327" s="22">
        <v>0</v>
      </c>
      <c r="J327" s="22">
        <v>0</v>
      </c>
      <c r="K327" s="22">
        <v>0</v>
      </c>
      <c r="L327" s="22">
        <v>0</v>
      </c>
      <c r="M327" s="60"/>
      <c r="N327" s="60"/>
      <c r="O327" s="60"/>
      <c r="P327" s="60"/>
      <c r="Q327" s="60"/>
      <c r="R327" s="60"/>
      <c r="S327" s="60"/>
      <c r="T327" s="60"/>
      <c r="U327" s="60"/>
      <c r="V327" s="60"/>
      <c r="W327" s="60"/>
      <c r="X327" s="60"/>
      <c r="Y327" s="879"/>
      <c r="Z327" s="879"/>
      <c r="AA327" s="278"/>
    </row>
    <row r="328" spans="1:27" ht="22.5" customHeight="1">
      <c r="A328" s="888"/>
      <c r="B328" s="826" t="s">
        <v>447</v>
      </c>
      <c r="C328" s="808"/>
      <c r="D328" s="294"/>
      <c r="E328" s="294"/>
      <c r="F328" s="808"/>
      <c r="G328" s="808"/>
      <c r="H328" s="22">
        <v>0</v>
      </c>
      <c r="I328" s="22">
        <v>0</v>
      </c>
      <c r="J328" s="22">
        <v>0</v>
      </c>
      <c r="K328" s="22">
        <v>0</v>
      </c>
      <c r="L328" s="22">
        <v>0</v>
      </c>
      <c r="M328" s="60"/>
      <c r="N328" s="60"/>
      <c r="O328" s="60"/>
      <c r="P328" s="60"/>
      <c r="Q328" s="60"/>
      <c r="R328" s="60"/>
      <c r="S328" s="60"/>
      <c r="T328" s="60"/>
      <c r="U328" s="60"/>
      <c r="V328" s="60"/>
      <c r="W328" s="60"/>
      <c r="X328" s="60"/>
      <c r="Y328" s="879"/>
      <c r="Z328" s="879"/>
      <c r="AA328" s="278"/>
    </row>
    <row r="329" spans="1:27" ht="22.5" customHeight="1">
      <c r="A329" s="889"/>
      <c r="B329" s="826" t="s">
        <v>1010</v>
      </c>
      <c r="C329" s="808"/>
      <c r="D329" s="294"/>
      <c r="E329" s="294"/>
      <c r="F329" s="808"/>
      <c r="G329" s="808"/>
      <c r="H329" s="22"/>
      <c r="I329" s="22"/>
      <c r="J329" s="22"/>
      <c r="K329" s="22"/>
      <c r="L329" s="22"/>
      <c r="M329" s="60"/>
      <c r="N329" s="60"/>
      <c r="O329" s="60"/>
      <c r="P329" s="60"/>
      <c r="Q329" s="60"/>
      <c r="R329" s="60"/>
      <c r="S329" s="60"/>
      <c r="T329" s="60"/>
      <c r="U329" s="60"/>
      <c r="V329" s="60"/>
      <c r="W329" s="60"/>
      <c r="X329" s="60"/>
      <c r="Y329" s="879"/>
      <c r="Z329" s="879"/>
      <c r="AA329" s="278"/>
    </row>
    <row r="330" spans="1:27" ht="28.5" customHeight="1">
      <c r="A330" s="926" t="s">
        <v>1155</v>
      </c>
      <c r="B330" s="535" t="s">
        <v>89</v>
      </c>
      <c r="C330" s="808"/>
      <c r="D330" s="294"/>
      <c r="E330" s="294"/>
      <c r="F330" s="808"/>
      <c r="G330" s="808"/>
      <c r="H330" s="53" t="e">
        <f>L330</f>
        <v>#REF!</v>
      </c>
      <c r="I330" s="53"/>
      <c r="J330" s="53"/>
      <c r="K330" s="53"/>
      <c r="L330" s="53" t="e">
        <f>#REF!</f>
        <v>#REF!</v>
      </c>
      <c r="M330" s="60" t="e">
        <f>'Подробный перечень(БКАД)'!#REF!</f>
        <v>#REF!</v>
      </c>
      <c r="N330" s="60"/>
      <c r="O330" s="60"/>
      <c r="P330" s="60"/>
      <c r="Q330" s="60"/>
      <c r="R330" s="60">
        <f>'Подробный перечень (ОБ)'!$G$899</f>
        <v>58.100000000000009</v>
      </c>
      <c r="S330" s="60"/>
      <c r="T330" s="60"/>
      <c r="U330" s="60"/>
      <c r="V330" s="60">
        <f>'Подробный перечень (ОБ)'!$K$899</f>
        <v>58.100000000000009</v>
      </c>
      <c r="W330" s="60">
        <f>'Подробный перечень (ОБ)'!$L$899</f>
        <v>0</v>
      </c>
      <c r="X330" s="60">
        <f>'Подробный перечень (ОБ)'!$M$899</f>
        <v>74.300000000000011</v>
      </c>
      <c r="Y330" s="879"/>
      <c r="Z330" s="879"/>
    </row>
    <row r="331" spans="1:27" ht="34.5" customHeight="1">
      <c r="A331" s="927"/>
      <c r="B331" s="535" t="s">
        <v>646</v>
      </c>
      <c r="C331" s="808">
        <f>C332</f>
        <v>176</v>
      </c>
      <c r="D331" s="808" t="str">
        <f t="shared" ref="D331:Q332" si="62">D332</f>
        <v>04</v>
      </c>
      <c r="E331" s="808" t="str">
        <f t="shared" si="62"/>
        <v>09</v>
      </c>
      <c r="F331" s="808" t="str">
        <f t="shared" si="62"/>
        <v>61ХХХХХХ</v>
      </c>
      <c r="G331" s="808">
        <f t="shared" si="62"/>
        <v>244</v>
      </c>
      <c r="H331" s="808" t="e">
        <f t="shared" si="62"/>
        <v>#REF!</v>
      </c>
      <c r="I331" s="808" t="e">
        <f t="shared" si="62"/>
        <v>#REF!</v>
      </c>
      <c r="J331" s="808" t="e">
        <f t="shared" si="62"/>
        <v>#REF!</v>
      </c>
      <c r="K331" s="808" t="e">
        <f t="shared" si="62"/>
        <v>#REF!</v>
      </c>
      <c r="L331" s="808" t="e">
        <f t="shared" si="62"/>
        <v>#REF!</v>
      </c>
      <c r="M331" s="808" t="e">
        <f t="shared" si="62"/>
        <v>#REF!</v>
      </c>
      <c r="N331" s="808" t="e">
        <f t="shared" si="62"/>
        <v>#REF!</v>
      </c>
      <c r="O331" s="808" t="e">
        <f t="shared" si="62"/>
        <v>#REF!</v>
      </c>
      <c r="P331" s="808" t="e">
        <f t="shared" si="62"/>
        <v>#REF!</v>
      </c>
      <c r="Q331" s="808" t="e">
        <f t="shared" si="62"/>
        <v>#REF!</v>
      </c>
      <c r="R331" s="119">
        <f>R332/R330</f>
        <v>17940.798623063678</v>
      </c>
      <c r="S331" s="119" t="s">
        <v>489</v>
      </c>
      <c r="T331" s="119" t="s">
        <v>489</v>
      </c>
      <c r="U331" s="119" t="s">
        <v>489</v>
      </c>
      <c r="V331" s="119" t="s">
        <v>489</v>
      </c>
      <c r="W331" s="119"/>
      <c r="X331" s="119">
        <f>X332/X330</f>
        <v>27689.742934051137</v>
      </c>
      <c r="Y331" s="879"/>
      <c r="Z331" s="879"/>
    </row>
    <row r="332" spans="1:27" ht="33" customHeight="1">
      <c r="A332" s="927"/>
      <c r="B332" s="839" t="s">
        <v>1143</v>
      </c>
      <c r="C332" s="808">
        <v>176</v>
      </c>
      <c r="D332" s="294" t="s">
        <v>487</v>
      </c>
      <c r="E332" s="294" t="s">
        <v>488</v>
      </c>
      <c r="F332" s="808" t="s">
        <v>263</v>
      </c>
      <c r="G332" s="808">
        <v>244</v>
      </c>
      <c r="H332" s="22" t="e">
        <f t="shared" si="62"/>
        <v>#REF!</v>
      </c>
      <c r="I332" s="22" t="e">
        <f t="shared" si="62"/>
        <v>#REF!</v>
      </c>
      <c r="J332" s="22" t="e">
        <f t="shared" si="62"/>
        <v>#REF!</v>
      </c>
      <c r="K332" s="22" t="e">
        <f t="shared" si="62"/>
        <v>#REF!</v>
      </c>
      <c r="L332" s="22" t="e">
        <f t="shared" si="62"/>
        <v>#REF!</v>
      </c>
      <c r="M332" s="60" t="e">
        <f t="shared" si="62"/>
        <v>#REF!</v>
      </c>
      <c r="N332" s="60" t="e">
        <f>N333</f>
        <v>#REF!</v>
      </c>
      <c r="O332" s="60" t="e">
        <f t="shared" si="62"/>
        <v>#REF!</v>
      </c>
      <c r="P332" s="60" t="e">
        <f t="shared" si="62"/>
        <v>#REF!</v>
      </c>
      <c r="Q332" s="60" t="e">
        <f t="shared" si="62"/>
        <v>#REF!</v>
      </c>
      <c r="R332" s="60">
        <f>R333+R334</f>
        <v>1042360.3999999999</v>
      </c>
      <c r="S332" s="60">
        <f>S333+S334</f>
        <v>0</v>
      </c>
      <c r="T332" s="60">
        <f t="shared" ref="T332:X332" si="63">T333+T334</f>
        <v>0</v>
      </c>
      <c r="U332" s="60">
        <f t="shared" si="63"/>
        <v>0</v>
      </c>
      <c r="V332" s="60">
        <f t="shared" si="63"/>
        <v>1042360.3999999999</v>
      </c>
      <c r="W332" s="60">
        <f t="shared" si="63"/>
        <v>98779.6</v>
      </c>
      <c r="X332" s="60">
        <f t="shared" si="63"/>
        <v>2057347.8999999997</v>
      </c>
      <c r="Y332" s="879"/>
      <c r="Z332" s="879"/>
    </row>
    <row r="333" spans="1:27" ht="22.5" customHeight="1">
      <c r="A333" s="927"/>
      <c r="B333" s="535" t="s">
        <v>331</v>
      </c>
      <c r="C333" s="808">
        <v>176</v>
      </c>
      <c r="D333" s="294" t="s">
        <v>487</v>
      </c>
      <c r="E333" s="294" t="s">
        <v>488</v>
      </c>
      <c r="F333" s="808">
        <v>6100302810</v>
      </c>
      <c r="G333" s="808">
        <v>244</v>
      </c>
      <c r="H333" s="22" t="e">
        <f t="shared" ref="H333:Q333" si="64">SUM(H345:H382)</f>
        <v>#REF!</v>
      </c>
      <c r="I333" s="22" t="e">
        <f t="shared" si="64"/>
        <v>#REF!</v>
      </c>
      <c r="J333" s="22" t="e">
        <f t="shared" si="64"/>
        <v>#REF!</v>
      </c>
      <c r="K333" s="22" t="e">
        <f t="shared" si="64"/>
        <v>#REF!</v>
      </c>
      <c r="L333" s="22" t="e">
        <f t="shared" si="64"/>
        <v>#REF!</v>
      </c>
      <c r="M333" s="60" t="e">
        <f t="shared" si="64"/>
        <v>#REF!</v>
      </c>
      <c r="N333" s="60" t="e">
        <f t="shared" si="64"/>
        <v>#REF!</v>
      </c>
      <c r="O333" s="60" t="e">
        <f t="shared" si="64"/>
        <v>#REF!</v>
      </c>
      <c r="P333" s="60" t="e">
        <f t="shared" si="64"/>
        <v>#REF!</v>
      </c>
      <c r="Q333" s="60" t="e">
        <f t="shared" si="64"/>
        <v>#REF!</v>
      </c>
      <c r="R333" s="60">
        <f>SUM(R338:R374)</f>
        <v>1042360.3999999999</v>
      </c>
      <c r="S333" s="60">
        <f t="shared" ref="S333:X333" si="65">SUM(S338:S374)</f>
        <v>0</v>
      </c>
      <c r="T333" s="60">
        <f t="shared" si="65"/>
        <v>0</v>
      </c>
      <c r="U333" s="60">
        <f t="shared" si="65"/>
        <v>0</v>
      </c>
      <c r="V333" s="60">
        <f t="shared" si="65"/>
        <v>1042360.3999999999</v>
      </c>
      <c r="W333" s="60">
        <f t="shared" si="65"/>
        <v>98779.6</v>
      </c>
      <c r="X333" s="60">
        <f t="shared" si="65"/>
        <v>2057347.8999999997</v>
      </c>
      <c r="Y333" s="879"/>
      <c r="Z333" s="879"/>
    </row>
    <row r="334" spans="1:27" ht="22.5" customHeight="1">
      <c r="A334" s="927"/>
      <c r="B334" s="535" t="s">
        <v>436</v>
      </c>
      <c r="C334" s="808">
        <v>176</v>
      </c>
      <c r="D334" s="294" t="s">
        <v>487</v>
      </c>
      <c r="E334" s="294" t="s">
        <v>488</v>
      </c>
      <c r="F334" s="808"/>
      <c r="G334" s="808"/>
      <c r="H334" s="22"/>
      <c r="I334" s="22"/>
      <c r="J334" s="22"/>
      <c r="K334" s="22"/>
      <c r="L334" s="22"/>
      <c r="M334" s="60"/>
      <c r="N334" s="60"/>
      <c r="O334" s="60"/>
      <c r="P334" s="60"/>
      <c r="Q334" s="60"/>
      <c r="R334" s="60"/>
      <c r="S334" s="60"/>
      <c r="T334" s="60"/>
      <c r="U334" s="60"/>
      <c r="V334" s="60"/>
      <c r="W334" s="60"/>
      <c r="X334" s="60"/>
      <c r="Y334" s="879"/>
      <c r="Z334" s="879"/>
    </row>
    <row r="335" spans="1:27" ht="22.5" customHeight="1">
      <c r="A335" s="927"/>
      <c r="B335" s="535" t="s">
        <v>11</v>
      </c>
      <c r="C335" s="808"/>
      <c r="D335" s="294"/>
      <c r="E335" s="294"/>
      <c r="F335" s="808"/>
      <c r="G335" s="808"/>
      <c r="H335" s="22">
        <v>0</v>
      </c>
      <c r="I335" s="22">
        <v>0</v>
      </c>
      <c r="J335" s="22">
        <v>0</v>
      </c>
      <c r="K335" s="22">
        <v>0</v>
      </c>
      <c r="L335" s="22">
        <v>0</v>
      </c>
      <c r="M335" s="60"/>
      <c r="N335" s="60"/>
      <c r="O335" s="60"/>
      <c r="P335" s="60"/>
      <c r="Q335" s="60"/>
      <c r="R335" s="60"/>
      <c r="S335" s="60"/>
      <c r="T335" s="60"/>
      <c r="U335" s="60"/>
      <c r="V335" s="60"/>
      <c r="W335" s="60"/>
      <c r="X335" s="60"/>
      <c r="Y335" s="879"/>
      <c r="Z335" s="879"/>
      <c r="AA335" s="278"/>
    </row>
    <row r="336" spans="1:27" ht="22.5" customHeight="1">
      <c r="A336" s="927"/>
      <c r="B336" s="535" t="s">
        <v>447</v>
      </c>
      <c r="C336" s="808"/>
      <c r="D336" s="294"/>
      <c r="E336" s="294"/>
      <c r="F336" s="808"/>
      <c r="G336" s="808"/>
      <c r="H336" s="22"/>
      <c r="I336" s="22"/>
      <c r="J336" s="22"/>
      <c r="K336" s="22"/>
      <c r="L336" s="22"/>
      <c r="M336" s="60"/>
      <c r="N336" s="60"/>
      <c r="O336" s="60"/>
      <c r="P336" s="60"/>
      <c r="Q336" s="60"/>
      <c r="R336" s="60"/>
      <c r="S336" s="60"/>
      <c r="T336" s="60"/>
      <c r="U336" s="60"/>
      <c r="V336" s="60"/>
      <c r="W336" s="60"/>
      <c r="X336" s="60"/>
      <c r="Y336" s="879"/>
      <c r="Z336" s="879"/>
      <c r="AA336" s="278"/>
    </row>
    <row r="337" spans="1:27" ht="22.5" customHeight="1">
      <c r="A337" s="928"/>
      <c r="B337" s="535" t="s">
        <v>1010</v>
      </c>
      <c r="C337" s="808"/>
      <c r="D337" s="294"/>
      <c r="E337" s="294"/>
      <c r="F337" s="808"/>
      <c r="G337" s="808"/>
      <c r="H337" s="22">
        <v>0</v>
      </c>
      <c r="I337" s="22">
        <v>0</v>
      </c>
      <c r="J337" s="22">
        <v>0</v>
      </c>
      <c r="K337" s="22">
        <v>0</v>
      </c>
      <c r="L337" s="22">
        <v>0</v>
      </c>
      <c r="M337" s="60"/>
      <c r="N337" s="60"/>
      <c r="O337" s="60"/>
      <c r="P337" s="60"/>
      <c r="Q337" s="60"/>
      <c r="R337" s="60"/>
      <c r="S337" s="60"/>
      <c r="T337" s="60"/>
      <c r="U337" s="60"/>
      <c r="V337" s="60"/>
      <c r="W337" s="60"/>
      <c r="X337" s="60"/>
      <c r="Y337" s="879"/>
      <c r="Z337" s="879"/>
      <c r="AA337" s="278"/>
    </row>
    <row r="338" spans="1:27" ht="22.5" customHeight="1">
      <c r="A338" s="812" t="s">
        <v>96</v>
      </c>
      <c r="B338" s="535" t="s">
        <v>10</v>
      </c>
      <c r="C338" s="808">
        <v>176</v>
      </c>
      <c r="D338" s="294" t="s">
        <v>487</v>
      </c>
      <c r="E338" s="294" t="s">
        <v>488</v>
      </c>
      <c r="F338" s="808">
        <v>6100302810</v>
      </c>
      <c r="G338" s="808">
        <v>244</v>
      </c>
      <c r="H338" s="22"/>
      <c r="I338" s="22"/>
      <c r="J338" s="22"/>
      <c r="K338" s="22"/>
      <c r="L338" s="22"/>
      <c r="M338" s="60"/>
      <c r="N338" s="60"/>
      <c r="O338" s="60"/>
      <c r="P338" s="60"/>
      <c r="Q338" s="60"/>
      <c r="R338" s="60">
        <f>'Подробный перечень (ОБ)'!$G$908</f>
        <v>35554.1</v>
      </c>
      <c r="S338" s="60"/>
      <c r="T338" s="60"/>
      <c r="U338" s="60"/>
      <c r="V338" s="60">
        <f>'Подробный перечень (ОБ)'!$K$908</f>
        <v>35554.1</v>
      </c>
      <c r="W338" s="60">
        <f>'Подробный перечень (ОБ)'!$L$908</f>
        <v>0</v>
      </c>
      <c r="X338" s="61">
        <f>'Подробный перечень (ОБ)'!$M$908</f>
        <v>31798.400000000001</v>
      </c>
      <c r="Y338" s="879"/>
      <c r="Z338" s="879"/>
      <c r="AA338" s="278"/>
    </row>
    <row r="339" spans="1:27" ht="22.5" customHeight="1">
      <c r="A339" s="828" t="s">
        <v>116</v>
      </c>
      <c r="B339" s="535" t="s">
        <v>10</v>
      </c>
      <c r="C339" s="808">
        <v>176</v>
      </c>
      <c r="D339" s="294" t="s">
        <v>487</v>
      </c>
      <c r="E339" s="294" t="s">
        <v>488</v>
      </c>
      <c r="F339" s="808">
        <v>6100302810</v>
      </c>
      <c r="G339" s="808">
        <v>244</v>
      </c>
      <c r="H339" s="22"/>
      <c r="I339" s="22"/>
      <c r="J339" s="22"/>
      <c r="K339" s="22"/>
      <c r="L339" s="22"/>
      <c r="M339" s="60"/>
      <c r="N339" s="60"/>
      <c r="O339" s="60"/>
      <c r="P339" s="60"/>
      <c r="Q339" s="60"/>
      <c r="R339" s="60">
        <f>'Подробный перечень (ОБ)'!$G$918</f>
        <v>15919.1</v>
      </c>
      <c r="S339" s="60"/>
      <c r="T339" s="60"/>
      <c r="U339" s="60"/>
      <c r="V339" s="60">
        <f>'Подробный перечень (ОБ)'!$K$918</f>
        <v>15919.1</v>
      </c>
      <c r="W339" s="60">
        <f>'Подробный перечень (ОБ)'!$L$918</f>
        <v>0</v>
      </c>
      <c r="X339" s="61">
        <f>'Подробный перечень (ОБ)'!$M$918</f>
        <v>152657.79999999999</v>
      </c>
      <c r="Y339" s="879"/>
      <c r="Z339" s="879"/>
      <c r="AA339" s="278"/>
    </row>
    <row r="340" spans="1:27" ht="22.5" customHeight="1">
      <c r="A340" s="828" t="s">
        <v>97</v>
      </c>
      <c r="B340" s="535" t="s">
        <v>10</v>
      </c>
      <c r="C340" s="808">
        <v>176</v>
      </c>
      <c r="D340" s="294" t="s">
        <v>487</v>
      </c>
      <c r="E340" s="294" t="s">
        <v>488</v>
      </c>
      <c r="F340" s="808">
        <v>6100302810</v>
      </c>
      <c r="G340" s="808">
        <v>244</v>
      </c>
      <c r="H340" s="22"/>
      <c r="I340" s="22"/>
      <c r="J340" s="22"/>
      <c r="K340" s="22"/>
      <c r="L340" s="22"/>
      <c r="M340" s="60"/>
      <c r="N340" s="60"/>
      <c r="O340" s="60"/>
      <c r="P340" s="60"/>
      <c r="Q340" s="60"/>
      <c r="R340" s="60">
        <f>'Подробный перечень (ОБ)'!$G$929</f>
        <v>16076.8</v>
      </c>
      <c r="S340" s="60"/>
      <c r="T340" s="60"/>
      <c r="U340" s="60"/>
      <c r="V340" s="60">
        <f>'Подробный перечень (ОБ)'!$K$929</f>
        <v>16076.8</v>
      </c>
      <c r="W340" s="60">
        <f>'Подробный перечень (ОБ)'!$L$929</f>
        <v>7000</v>
      </c>
      <c r="X340" s="61">
        <f>'Подробный перечень (ОБ)'!$M$929</f>
        <v>17753.8</v>
      </c>
      <c r="Y340" s="879"/>
      <c r="Z340" s="879"/>
      <c r="AA340" s="278"/>
    </row>
    <row r="341" spans="1:27" ht="22.5" customHeight="1">
      <c r="A341" s="828" t="s">
        <v>98</v>
      </c>
      <c r="B341" s="535" t="s">
        <v>10</v>
      </c>
      <c r="C341" s="808">
        <v>176</v>
      </c>
      <c r="D341" s="294" t="s">
        <v>487</v>
      </c>
      <c r="E341" s="294" t="s">
        <v>488</v>
      </c>
      <c r="F341" s="808">
        <v>6100302810</v>
      </c>
      <c r="G341" s="808">
        <v>244</v>
      </c>
      <c r="H341" s="22"/>
      <c r="I341" s="22"/>
      <c r="J341" s="22"/>
      <c r="K341" s="22"/>
      <c r="L341" s="22"/>
      <c r="M341" s="60"/>
      <c r="N341" s="60"/>
      <c r="O341" s="60"/>
      <c r="P341" s="60"/>
      <c r="Q341" s="60"/>
      <c r="R341" s="60">
        <f>'Подробный перечень (ОБ)'!$G$941</f>
        <v>16032</v>
      </c>
      <c r="S341" s="60"/>
      <c r="T341" s="60"/>
      <c r="U341" s="60"/>
      <c r="V341" s="60">
        <f>'Подробный перечень (ОБ)'!$K$941</f>
        <v>16032</v>
      </c>
      <c r="W341" s="60">
        <f>'Подробный перечень (ОБ)'!$L$941</f>
        <v>0</v>
      </c>
      <c r="X341" s="61">
        <f>'Подробный перечень (ОБ)'!$M$941</f>
        <v>10094.799999999999</v>
      </c>
      <c r="Y341" s="879"/>
      <c r="Z341" s="879"/>
      <c r="AA341" s="278"/>
    </row>
    <row r="342" spans="1:27" ht="22.5" customHeight="1">
      <c r="A342" s="828" t="s">
        <v>99</v>
      </c>
      <c r="B342" s="535" t="s">
        <v>10</v>
      </c>
      <c r="C342" s="808">
        <v>176</v>
      </c>
      <c r="D342" s="294" t="s">
        <v>487</v>
      </c>
      <c r="E342" s="294" t="s">
        <v>488</v>
      </c>
      <c r="F342" s="808">
        <v>6100302810</v>
      </c>
      <c r="G342" s="808">
        <v>244</v>
      </c>
      <c r="H342" s="22"/>
      <c r="I342" s="22"/>
      <c r="J342" s="22"/>
      <c r="K342" s="22"/>
      <c r="L342" s="22"/>
      <c r="M342" s="60"/>
      <c r="N342" s="60"/>
      <c r="O342" s="60"/>
      <c r="P342" s="60"/>
      <c r="Q342" s="60"/>
      <c r="R342" s="60">
        <f>'Подробный перечень (ОБ)'!$G$953</f>
        <v>15365.2</v>
      </c>
      <c r="S342" s="60"/>
      <c r="T342" s="60"/>
      <c r="U342" s="60"/>
      <c r="V342" s="60">
        <f>'Подробный перечень (ОБ)'!$K$953</f>
        <v>15365.2</v>
      </c>
      <c r="W342" s="60">
        <f>'Подробный перечень (ОБ)'!$L$953</f>
        <v>0</v>
      </c>
      <c r="X342" s="61">
        <f>'Подробный перечень (ОБ)'!$M$953</f>
        <v>39474.199999999997</v>
      </c>
      <c r="Y342" s="879"/>
      <c r="Z342" s="879"/>
      <c r="AA342" s="278"/>
    </row>
    <row r="343" spans="1:27" ht="22.5" customHeight="1">
      <c r="A343" s="828" t="s">
        <v>117</v>
      </c>
      <c r="B343" s="535" t="s">
        <v>10</v>
      </c>
      <c r="C343" s="808">
        <v>176</v>
      </c>
      <c r="D343" s="294" t="s">
        <v>487</v>
      </c>
      <c r="E343" s="294" t="s">
        <v>488</v>
      </c>
      <c r="F343" s="808">
        <v>6100302810</v>
      </c>
      <c r="G343" s="808">
        <v>244</v>
      </c>
      <c r="H343" s="22"/>
      <c r="I343" s="22"/>
      <c r="J343" s="22"/>
      <c r="K343" s="22"/>
      <c r="L343" s="22"/>
      <c r="M343" s="60"/>
      <c r="N343" s="60"/>
      <c r="O343" s="60"/>
      <c r="P343" s="60"/>
      <c r="Q343" s="60"/>
      <c r="R343" s="60">
        <f>'Подробный перечень (ОБ)'!$G$969</f>
        <v>62595.1</v>
      </c>
      <c r="S343" s="60"/>
      <c r="T343" s="60"/>
      <c r="U343" s="60"/>
      <c r="V343" s="60">
        <f>'Подробный перечень (ОБ)'!$K$969</f>
        <v>62595.1</v>
      </c>
      <c r="W343" s="60">
        <f>'Подробный перечень (ОБ)'!$L$969</f>
        <v>15300.1</v>
      </c>
      <c r="X343" s="61">
        <f>'Подробный перечень (ОБ)'!$M$969</f>
        <v>162454.20000000001</v>
      </c>
      <c r="Y343" s="879"/>
      <c r="Z343" s="879"/>
      <c r="AA343" s="278"/>
    </row>
    <row r="344" spans="1:27" ht="22.5" customHeight="1">
      <c r="A344" s="12" t="s">
        <v>48</v>
      </c>
      <c r="B344" s="535" t="s">
        <v>10</v>
      </c>
      <c r="C344" s="808">
        <v>176</v>
      </c>
      <c r="D344" s="294" t="s">
        <v>487</v>
      </c>
      <c r="E344" s="294" t="s">
        <v>488</v>
      </c>
      <c r="F344" s="808">
        <v>6100302810</v>
      </c>
      <c r="G344" s="808">
        <v>244</v>
      </c>
      <c r="H344" s="22" t="e">
        <f t="shared" ref="H344:H373" si="66">SUM(I344:L344)</f>
        <v>#REF!</v>
      </c>
      <c r="I344" s="22" t="e">
        <f>#REF!</f>
        <v>#REF!</v>
      </c>
      <c r="J344" s="22" t="e">
        <f>#REF!</f>
        <v>#REF!</v>
      </c>
      <c r="K344" s="22" t="e">
        <f>#REF!</f>
        <v>#REF!</v>
      </c>
      <c r="L344" s="22" t="e">
        <f>#REF!</f>
        <v>#REF!</v>
      </c>
      <c r="M344" s="60" t="e">
        <f>'Подробный перечень(БКАД)'!#REF!</f>
        <v>#REF!</v>
      </c>
      <c r="N344" s="60" t="e">
        <f>'Подробный перечень(БКАД)'!#REF!</f>
        <v>#REF!</v>
      </c>
      <c r="O344" s="60"/>
      <c r="P344" s="60"/>
      <c r="Q344" s="60"/>
      <c r="R344" s="60">
        <f>'Подробный перечень (ОБ)'!$G$992</f>
        <v>19902.900000000001</v>
      </c>
      <c r="S344" s="60"/>
      <c r="T344" s="60"/>
      <c r="U344" s="60"/>
      <c r="V344" s="60">
        <f>'Подробный перечень (ОБ)'!$K$992</f>
        <v>19902.900000000001</v>
      </c>
      <c r="W344" s="60">
        <f>'Подробный перечень (ОБ)'!$L$992</f>
        <v>0</v>
      </c>
      <c r="X344" s="61">
        <f>'Подробный перечень (ОБ)'!$M$992</f>
        <v>16250.8</v>
      </c>
      <c r="Y344" s="879"/>
      <c r="Z344" s="879"/>
      <c r="AA344" s="278"/>
    </row>
    <row r="345" spans="1:27" ht="22.5" customHeight="1">
      <c r="A345" s="12" t="s">
        <v>49</v>
      </c>
      <c r="B345" s="535" t="s">
        <v>10</v>
      </c>
      <c r="C345" s="808">
        <v>176</v>
      </c>
      <c r="D345" s="294" t="s">
        <v>487</v>
      </c>
      <c r="E345" s="294" t="s">
        <v>488</v>
      </c>
      <c r="F345" s="808">
        <v>6100302810</v>
      </c>
      <c r="G345" s="808">
        <v>244</v>
      </c>
      <c r="H345" s="22" t="e">
        <f t="shared" si="66"/>
        <v>#REF!</v>
      </c>
      <c r="I345" s="22" t="e">
        <f>#REF!</f>
        <v>#REF!</v>
      </c>
      <c r="J345" s="22" t="e">
        <f>#REF!</f>
        <v>#REF!</v>
      </c>
      <c r="K345" s="22" t="e">
        <f>#REF!</f>
        <v>#REF!</v>
      </c>
      <c r="L345" s="22" t="e">
        <f>#REF!</f>
        <v>#REF!</v>
      </c>
      <c r="M345" s="60" t="e">
        <f>'Подробный перечень(БКАД)'!#REF!</f>
        <v>#REF!</v>
      </c>
      <c r="N345" s="60" t="e">
        <f>'Подробный перечень(БКАД)'!#REF!</f>
        <v>#REF!</v>
      </c>
      <c r="O345" s="60"/>
      <c r="P345" s="60"/>
      <c r="Q345" s="60"/>
      <c r="R345" s="60">
        <f>V345</f>
        <v>11312.4</v>
      </c>
      <c r="S345" s="60"/>
      <c r="T345" s="60"/>
      <c r="U345" s="60"/>
      <c r="V345" s="60">
        <f>'Подробный перечень (ОБ)'!$K$1004</f>
        <v>11312.4</v>
      </c>
      <c r="W345" s="60">
        <f>'Подробный перечень (ОБ)'!$L$1004</f>
        <v>8000</v>
      </c>
      <c r="X345" s="61">
        <f>'Подробный перечень (ОБ)'!M1004</f>
        <v>10219.5</v>
      </c>
      <c r="Y345" s="879"/>
      <c r="Z345" s="879"/>
    </row>
    <row r="346" spans="1:27" ht="22.5" customHeight="1">
      <c r="A346" s="12" t="s">
        <v>50</v>
      </c>
      <c r="B346" s="535" t="s">
        <v>10</v>
      </c>
      <c r="C346" s="808">
        <v>176</v>
      </c>
      <c r="D346" s="294" t="s">
        <v>487</v>
      </c>
      <c r="E346" s="294" t="s">
        <v>488</v>
      </c>
      <c r="F346" s="808">
        <v>6100302810</v>
      </c>
      <c r="G346" s="808">
        <v>244</v>
      </c>
      <c r="H346" s="22" t="e">
        <f t="shared" si="66"/>
        <v>#REF!</v>
      </c>
      <c r="I346" s="22" t="e">
        <f>#REF!</f>
        <v>#REF!</v>
      </c>
      <c r="J346" s="22" t="e">
        <f>#REF!</f>
        <v>#REF!</v>
      </c>
      <c r="K346" s="22" t="e">
        <f>#REF!</f>
        <v>#REF!</v>
      </c>
      <c r="L346" s="22" t="e">
        <f>#REF!</f>
        <v>#REF!</v>
      </c>
      <c r="M346" s="60"/>
      <c r="N346" s="60"/>
      <c r="O346" s="60"/>
      <c r="P346" s="60"/>
      <c r="Q346" s="60"/>
      <c r="R346" s="60">
        <f>'Подробный перечень (ОБ)'!$G$1010</f>
        <v>18980.599999999999</v>
      </c>
      <c r="S346" s="60"/>
      <c r="T346" s="60"/>
      <c r="U346" s="60"/>
      <c r="V346" s="60">
        <f>'Подробный перечень (ОБ)'!$K$1010</f>
        <v>18980.599999999999</v>
      </c>
      <c r="W346" s="60">
        <f>'Подробный перечень (ОБ)'!$L$1010</f>
        <v>0</v>
      </c>
      <c r="X346" s="61">
        <f>'Подробный перечень (ОБ)'!$M$1010</f>
        <v>37567.699999999997</v>
      </c>
      <c r="Y346" s="879"/>
      <c r="Z346" s="879"/>
      <c r="AA346" s="278"/>
    </row>
    <row r="347" spans="1:27" ht="22.5" hidden="1" customHeight="1">
      <c r="A347" s="897" t="s">
        <v>51</v>
      </c>
      <c r="B347" s="535" t="s">
        <v>10</v>
      </c>
      <c r="C347" s="808">
        <v>176</v>
      </c>
      <c r="D347" s="294" t="s">
        <v>487</v>
      </c>
      <c r="E347" s="294" t="s">
        <v>488</v>
      </c>
      <c r="F347" s="808" t="s">
        <v>263</v>
      </c>
      <c r="G347" s="808">
        <v>244</v>
      </c>
      <c r="H347" s="22" t="e">
        <f t="shared" si="66"/>
        <v>#REF!</v>
      </c>
      <c r="I347" s="22" t="e">
        <f>#REF!</f>
        <v>#REF!</v>
      </c>
      <c r="J347" s="22" t="e">
        <f>#REF!</f>
        <v>#REF!</v>
      </c>
      <c r="K347" s="22" t="e">
        <f>#REF!</f>
        <v>#REF!</v>
      </c>
      <c r="L347" s="22" t="e">
        <f>#REF!</f>
        <v>#REF!</v>
      </c>
      <c r="M347" s="60"/>
      <c r="N347" s="60"/>
      <c r="O347" s="60"/>
      <c r="P347" s="60"/>
      <c r="Q347" s="60"/>
      <c r="R347" s="60"/>
      <c r="S347" s="60"/>
      <c r="T347" s="60"/>
      <c r="U347" s="60"/>
      <c r="V347" s="60"/>
      <c r="W347" s="60"/>
      <c r="X347" s="61"/>
      <c r="Y347" s="879"/>
      <c r="Z347" s="879"/>
      <c r="AA347" s="278"/>
    </row>
    <row r="348" spans="1:27" ht="22.5" customHeight="1">
      <c r="A348" s="897"/>
      <c r="B348" s="535" t="s">
        <v>10</v>
      </c>
      <c r="C348" s="808">
        <v>176</v>
      </c>
      <c r="D348" s="294" t="s">
        <v>487</v>
      </c>
      <c r="E348" s="294" t="s">
        <v>488</v>
      </c>
      <c r="F348" s="808">
        <v>6100302810</v>
      </c>
      <c r="G348" s="808">
        <v>244</v>
      </c>
      <c r="H348" s="22"/>
      <c r="I348" s="22"/>
      <c r="J348" s="22"/>
      <c r="K348" s="22"/>
      <c r="L348" s="22"/>
      <c r="M348" s="60"/>
      <c r="N348" s="60"/>
      <c r="O348" s="60"/>
      <c r="P348" s="60"/>
      <c r="Q348" s="60"/>
      <c r="R348" s="60">
        <f>V348</f>
        <v>48010.200000000004</v>
      </c>
      <c r="S348" s="60"/>
      <c r="T348" s="60"/>
      <c r="U348" s="60"/>
      <c r="V348" s="60">
        <f>'Подробный перечень (ОБ)'!K$1025</f>
        <v>48010.200000000004</v>
      </c>
      <c r="W348" s="60">
        <f>'Подробный перечень (ОБ)'!$L$1025</f>
        <v>0</v>
      </c>
      <c r="X348" s="61">
        <f>'Подробный перечень (ОБ)'!$M$1025</f>
        <v>43132.1</v>
      </c>
      <c r="Y348" s="879"/>
      <c r="Z348" s="879"/>
      <c r="AA348" s="278"/>
    </row>
    <row r="349" spans="1:27" ht="22.5" customHeight="1">
      <c r="A349" s="823" t="s">
        <v>52</v>
      </c>
      <c r="B349" s="535" t="s">
        <v>10</v>
      </c>
      <c r="C349" s="808">
        <v>176</v>
      </c>
      <c r="D349" s="294" t="s">
        <v>487</v>
      </c>
      <c r="E349" s="294" t="s">
        <v>488</v>
      </c>
      <c r="F349" s="808">
        <v>6100302810</v>
      </c>
      <c r="G349" s="808">
        <v>244</v>
      </c>
      <c r="H349" s="22"/>
      <c r="I349" s="22"/>
      <c r="J349" s="22"/>
      <c r="K349" s="22"/>
      <c r="L349" s="22"/>
      <c r="M349" s="60"/>
      <c r="N349" s="60"/>
      <c r="O349" s="60"/>
      <c r="P349" s="60"/>
      <c r="Q349" s="60"/>
      <c r="R349" s="60">
        <f>'Подробный перечень (ОБ)'!$G$1045</f>
        <v>35903.1</v>
      </c>
      <c r="S349" s="60"/>
      <c r="T349" s="60"/>
      <c r="U349" s="60"/>
      <c r="V349" s="60">
        <f>'Подробный перечень (ОБ)'!$K$1045</f>
        <v>35903.1</v>
      </c>
      <c r="W349" s="60">
        <f>'Подробный перечень (ОБ)'!$L$1045</f>
        <v>6840</v>
      </c>
      <c r="X349" s="61">
        <f>'Подробный перечень (ОБ)'!$M$1045</f>
        <v>47370.5</v>
      </c>
      <c r="Y349" s="879"/>
      <c r="Z349" s="879"/>
    </row>
    <row r="350" spans="1:27" ht="22.5" customHeight="1">
      <c r="A350" s="12" t="s">
        <v>53</v>
      </c>
      <c r="B350" s="535" t="s">
        <v>10</v>
      </c>
      <c r="C350" s="808">
        <v>176</v>
      </c>
      <c r="D350" s="294" t="s">
        <v>487</v>
      </c>
      <c r="E350" s="294" t="s">
        <v>488</v>
      </c>
      <c r="F350" s="808">
        <v>6100302810</v>
      </c>
      <c r="G350" s="808">
        <v>244</v>
      </c>
      <c r="H350" s="22" t="e">
        <f t="shared" si="66"/>
        <v>#REF!</v>
      </c>
      <c r="I350" s="22" t="e">
        <f>#REF!</f>
        <v>#REF!</v>
      </c>
      <c r="J350" s="22" t="e">
        <f>#REF!</f>
        <v>#REF!</v>
      </c>
      <c r="K350" s="22" t="e">
        <f>#REF!</f>
        <v>#REF!</v>
      </c>
      <c r="L350" s="22" t="e">
        <f>#REF!</f>
        <v>#REF!</v>
      </c>
      <c r="M350" s="60" t="e">
        <f>'Подробный перечень(БКАД)'!#REF!</f>
        <v>#REF!</v>
      </c>
      <c r="N350" s="60" t="e">
        <f>'Подробный перечень(БКАД)'!#REF!</f>
        <v>#REF!</v>
      </c>
      <c r="O350" s="60"/>
      <c r="P350" s="60"/>
      <c r="Q350" s="60"/>
      <c r="R350" s="60">
        <f>'Подробный перечень (ОБ)'!$G$1064</f>
        <v>13397.800000000001</v>
      </c>
      <c r="S350" s="60"/>
      <c r="T350" s="60"/>
      <c r="U350" s="60"/>
      <c r="V350" s="60">
        <f>'Подробный перечень (ОБ)'!$K$1064</f>
        <v>13397.800000000001</v>
      </c>
      <c r="W350" s="60">
        <f>'Подробный перечень (ОБ)'!$L$1064</f>
        <v>0</v>
      </c>
      <c r="X350" s="61">
        <f>'Подробный перечень (ОБ)'!$M$1064</f>
        <v>63737.4</v>
      </c>
      <c r="Y350" s="879"/>
      <c r="Z350" s="879"/>
    </row>
    <row r="351" spans="1:27" ht="22.5" customHeight="1">
      <c r="A351" s="12" t="s">
        <v>54</v>
      </c>
      <c r="B351" s="535" t="s">
        <v>10</v>
      </c>
      <c r="C351" s="808">
        <v>176</v>
      </c>
      <c r="D351" s="294" t="s">
        <v>487</v>
      </c>
      <c r="E351" s="294" t="s">
        <v>488</v>
      </c>
      <c r="F351" s="808">
        <v>6100302810</v>
      </c>
      <c r="G351" s="808">
        <v>244</v>
      </c>
      <c r="H351" s="22" t="e">
        <f t="shared" si="66"/>
        <v>#REF!</v>
      </c>
      <c r="I351" s="22" t="e">
        <f>#REF!</f>
        <v>#REF!</v>
      </c>
      <c r="J351" s="22" t="e">
        <f>#REF!</f>
        <v>#REF!</v>
      </c>
      <c r="K351" s="22" t="e">
        <f>#REF!</f>
        <v>#REF!</v>
      </c>
      <c r="L351" s="22" t="e">
        <f>#REF!</f>
        <v>#REF!</v>
      </c>
      <c r="M351" s="60" t="e">
        <f>'Подробный перечень(БКАД)'!#REF!</f>
        <v>#REF!</v>
      </c>
      <c r="N351" s="60" t="e">
        <f>'Подробный перечень(БКАД)'!#REF!</f>
        <v>#REF!</v>
      </c>
      <c r="O351" s="60"/>
      <c r="P351" s="60"/>
      <c r="Q351" s="60"/>
      <c r="R351" s="60">
        <f>'Подробный перечень (ОБ)'!$G$1078</f>
        <v>72574.7</v>
      </c>
      <c r="S351" s="60"/>
      <c r="T351" s="60"/>
      <c r="U351" s="60"/>
      <c r="V351" s="60">
        <f>'Подробный перечень (ОБ)'!$K$1078</f>
        <v>72574.7</v>
      </c>
      <c r="W351" s="60">
        <f>'Подробный перечень (ОБ)'!$L$1078</f>
        <v>10649</v>
      </c>
      <c r="X351" s="61">
        <f>'Подробный перечень (ОБ)'!$M$1078</f>
        <v>97405.3</v>
      </c>
      <c r="Y351" s="879"/>
      <c r="Z351" s="879"/>
    </row>
    <row r="352" spans="1:27" ht="22.5" customHeight="1">
      <c r="A352" s="12" t="s">
        <v>55</v>
      </c>
      <c r="B352" s="535" t="s">
        <v>10</v>
      </c>
      <c r="C352" s="808">
        <v>176</v>
      </c>
      <c r="D352" s="294" t="s">
        <v>487</v>
      </c>
      <c r="E352" s="294" t="s">
        <v>488</v>
      </c>
      <c r="F352" s="808">
        <v>6100302810</v>
      </c>
      <c r="G352" s="808">
        <v>244</v>
      </c>
      <c r="H352" s="22" t="e">
        <f t="shared" si="66"/>
        <v>#REF!</v>
      </c>
      <c r="I352" s="22" t="e">
        <f>#REF!</f>
        <v>#REF!</v>
      </c>
      <c r="J352" s="22" t="e">
        <f>#REF!</f>
        <v>#REF!</v>
      </c>
      <c r="K352" s="22" t="e">
        <f>#REF!</f>
        <v>#REF!</v>
      </c>
      <c r="L352" s="22" t="e">
        <f>#REF!</f>
        <v>#REF!</v>
      </c>
      <c r="M352" s="60"/>
      <c r="N352" s="60"/>
      <c r="O352" s="60"/>
      <c r="P352" s="60"/>
      <c r="Q352" s="60"/>
      <c r="R352" s="60">
        <f>'Подробный перечень (ОБ)'!$G$1095</f>
        <v>34160.300000000003</v>
      </c>
      <c r="S352" s="60"/>
      <c r="T352" s="60"/>
      <c r="U352" s="60"/>
      <c r="V352" s="60">
        <f>'Подробный перечень (ОБ)'!$K$1095</f>
        <v>34160.300000000003</v>
      </c>
      <c r="W352" s="60">
        <f>'Подробный перечень (ОБ)'!$L$1095</f>
        <v>8000</v>
      </c>
      <c r="X352" s="61">
        <f>'Подробный перечень (ОБ)'!$M$1095</f>
        <v>143309.1</v>
      </c>
      <c r="Y352" s="879"/>
      <c r="Z352" s="879"/>
      <c r="AA352" s="278"/>
    </row>
    <row r="353" spans="1:27" ht="22.5" customHeight="1">
      <c r="A353" s="12" t="s">
        <v>56</v>
      </c>
      <c r="B353" s="535" t="s">
        <v>10</v>
      </c>
      <c r="C353" s="808">
        <v>176</v>
      </c>
      <c r="D353" s="294" t="s">
        <v>487</v>
      </c>
      <c r="E353" s="294" t="s">
        <v>488</v>
      </c>
      <c r="F353" s="808">
        <v>6100302810</v>
      </c>
      <c r="G353" s="808">
        <v>244</v>
      </c>
      <c r="H353" s="22" t="e">
        <f t="shared" si="66"/>
        <v>#REF!</v>
      </c>
      <c r="I353" s="22" t="e">
        <f>#REF!</f>
        <v>#REF!</v>
      </c>
      <c r="J353" s="22" t="e">
        <f>#REF!</f>
        <v>#REF!</v>
      </c>
      <c r="K353" s="22" t="e">
        <f>#REF!</f>
        <v>#REF!</v>
      </c>
      <c r="L353" s="22" t="e">
        <f>#REF!</f>
        <v>#REF!</v>
      </c>
      <c r="M353" s="60"/>
      <c r="N353" s="60"/>
      <c r="O353" s="60"/>
      <c r="P353" s="60"/>
      <c r="Q353" s="60"/>
      <c r="R353" s="60">
        <f>'Подробный перечень (ОБ)'!$G$1114</f>
        <v>13575.1</v>
      </c>
      <c r="S353" s="60"/>
      <c r="T353" s="60"/>
      <c r="U353" s="60"/>
      <c r="V353" s="60">
        <f>'Подробный перечень (ОБ)'!$K$1114</f>
        <v>13575.1</v>
      </c>
      <c r="W353" s="60">
        <f>'Подробный перечень (ОБ)'!$L$1114</f>
        <v>0</v>
      </c>
      <c r="X353" s="61">
        <f>'Подробный перечень (ОБ)'!$M$1114</f>
        <v>234560.59999999998</v>
      </c>
      <c r="Y353" s="879"/>
      <c r="Z353" s="879"/>
    </row>
    <row r="354" spans="1:27" ht="22.5" customHeight="1">
      <c r="A354" s="12" t="s">
        <v>57</v>
      </c>
      <c r="B354" s="535" t="s">
        <v>10</v>
      </c>
      <c r="C354" s="808">
        <v>176</v>
      </c>
      <c r="D354" s="294" t="s">
        <v>487</v>
      </c>
      <c r="E354" s="294" t="s">
        <v>488</v>
      </c>
      <c r="F354" s="808">
        <v>6100302810</v>
      </c>
      <c r="G354" s="808">
        <v>244</v>
      </c>
      <c r="H354" s="22" t="e">
        <f t="shared" si="66"/>
        <v>#REF!</v>
      </c>
      <c r="I354" s="22" t="e">
        <f>#REF!</f>
        <v>#REF!</v>
      </c>
      <c r="J354" s="22" t="e">
        <f>#REF!</f>
        <v>#REF!</v>
      </c>
      <c r="K354" s="22" t="e">
        <f>#REF!</f>
        <v>#REF!</v>
      </c>
      <c r="L354" s="22" t="e">
        <f>#REF!</f>
        <v>#REF!</v>
      </c>
      <c r="M354" s="60"/>
      <c r="N354" s="60"/>
      <c r="O354" s="60"/>
      <c r="P354" s="60"/>
      <c r="Q354" s="60"/>
      <c r="R354" s="60">
        <f>'Подробный перечень (ОБ)'!$G$1127</f>
        <v>17111.900000000001</v>
      </c>
      <c r="S354" s="60"/>
      <c r="T354" s="60"/>
      <c r="U354" s="60"/>
      <c r="V354" s="60">
        <f>'Подробный перечень (ОБ)'!$K$1127</f>
        <v>17111.900000000001</v>
      </c>
      <c r="W354" s="60">
        <f>'Подробный перечень (ОБ)'!$L$1127</f>
        <v>0</v>
      </c>
      <c r="X354" s="61">
        <f>'Подробный перечень (ОБ)'!$M$1127</f>
        <v>113953.4</v>
      </c>
      <c r="Y354" s="879"/>
      <c r="Z354" s="879"/>
    </row>
    <row r="355" spans="1:27" ht="22.5" customHeight="1">
      <c r="A355" s="12" t="s">
        <v>58</v>
      </c>
      <c r="B355" s="535" t="s">
        <v>10</v>
      </c>
      <c r="C355" s="808">
        <v>176</v>
      </c>
      <c r="D355" s="294" t="s">
        <v>487</v>
      </c>
      <c r="E355" s="294" t="s">
        <v>488</v>
      </c>
      <c r="F355" s="808">
        <v>6100302810</v>
      </c>
      <c r="G355" s="808">
        <v>244</v>
      </c>
      <c r="H355" s="22" t="e">
        <f t="shared" si="66"/>
        <v>#REF!</v>
      </c>
      <c r="I355" s="22" t="e">
        <f>#REF!</f>
        <v>#REF!</v>
      </c>
      <c r="J355" s="22" t="e">
        <f>#REF!</f>
        <v>#REF!</v>
      </c>
      <c r="K355" s="22" t="e">
        <f>#REF!</f>
        <v>#REF!</v>
      </c>
      <c r="L355" s="22" t="e">
        <f>#REF!</f>
        <v>#REF!</v>
      </c>
      <c r="M355" s="60"/>
      <c r="N355" s="60"/>
      <c r="O355" s="60"/>
      <c r="P355" s="60"/>
      <c r="Q355" s="60"/>
      <c r="R355" s="60">
        <f>'Подробный перечень (ОБ)'!$G$1136</f>
        <v>12155.4</v>
      </c>
      <c r="S355" s="60"/>
      <c r="T355" s="60"/>
      <c r="U355" s="60"/>
      <c r="V355" s="60">
        <f>'Подробный перечень (ОБ)'!$K$1136</f>
        <v>12155.4</v>
      </c>
      <c r="W355" s="60">
        <f>'Подробный перечень (ОБ)'!$L$1136</f>
        <v>3679.5</v>
      </c>
      <c r="X355" s="61">
        <f>'Подробный перечень (ОБ)'!$M$1136</f>
        <v>51620.1</v>
      </c>
      <c r="Y355" s="879"/>
      <c r="Z355" s="879"/>
    </row>
    <row r="356" spans="1:27" ht="22.5" customHeight="1">
      <c r="A356" s="12" t="s">
        <v>59</v>
      </c>
      <c r="B356" s="535" t="s">
        <v>10</v>
      </c>
      <c r="C356" s="808">
        <v>176</v>
      </c>
      <c r="D356" s="294" t="s">
        <v>487</v>
      </c>
      <c r="E356" s="294" t="s">
        <v>488</v>
      </c>
      <c r="F356" s="808">
        <v>6100302810</v>
      </c>
      <c r="G356" s="808">
        <v>244</v>
      </c>
      <c r="H356" s="22" t="e">
        <f t="shared" si="66"/>
        <v>#REF!</v>
      </c>
      <c r="I356" s="22" t="e">
        <f>#REF!</f>
        <v>#REF!</v>
      </c>
      <c r="J356" s="22" t="e">
        <f>#REF!</f>
        <v>#REF!</v>
      </c>
      <c r="K356" s="22" t="e">
        <f>#REF!</f>
        <v>#REF!</v>
      </c>
      <c r="L356" s="22" t="e">
        <f>#REF!</f>
        <v>#REF!</v>
      </c>
      <c r="M356" s="60"/>
      <c r="N356" s="60"/>
      <c r="O356" s="60"/>
      <c r="P356" s="60"/>
      <c r="Q356" s="60"/>
      <c r="R356" s="60">
        <f>'Подробный перечень (ОБ)'!$G$1150</f>
        <v>22082.7</v>
      </c>
      <c r="S356" s="60"/>
      <c r="T356" s="60"/>
      <c r="U356" s="60"/>
      <c r="V356" s="60">
        <f>'Подробный перечень (ОБ)'!$K$1150</f>
        <v>22082.7</v>
      </c>
      <c r="W356" s="60">
        <f>'Подробный перечень (ОБ)'!$L$1150</f>
        <v>0</v>
      </c>
      <c r="X356" s="61">
        <f>'Подробный перечень (ОБ)'!$M$1150</f>
        <v>27053.9</v>
      </c>
      <c r="Y356" s="879"/>
      <c r="Z356" s="879"/>
    </row>
    <row r="357" spans="1:27" ht="22.5" hidden="1" customHeight="1">
      <c r="A357" s="881" t="s">
        <v>60</v>
      </c>
      <c r="B357" s="535" t="s">
        <v>10</v>
      </c>
      <c r="C357" s="808">
        <v>176</v>
      </c>
      <c r="D357" s="294" t="s">
        <v>487</v>
      </c>
      <c r="E357" s="294" t="s">
        <v>488</v>
      </c>
      <c r="F357" s="808" t="s">
        <v>263</v>
      </c>
      <c r="G357" s="808">
        <v>244</v>
      </c>
      <c r="H357" s="22" t="e">
        <f t="shared" si="66"/>
        <v>#REF!</v>
      </c>
      <c r="I357" s="22" t="e">
        <f>#REF!</f>
        <v>#REF!</v>
      </c>
      <c r="J357" s="22" t="e">
        <f>#REF!</f>
        <v>#REF!</v>
      </c>
      <c r="K357" s="22" t="e">
        <f>#REF!</f>
        <v>#REF!</v>
      </c>
      <c r="L357" s="22" t="e">
        <f>#REF!</f>
        <v>#REF!</v>
      </c>
      <c r="M357" s="60" t="e">
        <f>'Подробный перечень(БКАД)'!#REF!</f>
        <v>#REF!</v>
      </c>
      <c r="N357" s="60" t="e">
        <f>'Подробный перечень(БКАД)'!#REF!</f>
        <v>#REF!</v>
      </c>
      <c r="O357" s="60" t="e">
        <f>'Подробный перечень(БКАД)'!#REF!</f>
        <v>#REF!</v>
      </c>
      <c r="P357" s="60" t="e">
        <f>'Подробный перечень(БКАД)'!#REF!</f>
        <v>#REF!</v>
      </c>
      <c r="Q357" s="60" t="e">
        <f>'Подробный перечень(БКАД)'!#REF!</f>
        <v>#REF!</v>
      </c>
      <c r="R357" s="60"/>
      <c r="S357" s="60"/>
      <c r="T357" s="60"/>
      <c r="U357" s="60"/>
      <c r="V357" s="60"/>
      <c r="W357" s="60"/>
      <c r="X357" s="61"/>
      <c r="Y357" s="879"/>
      <c r="Z357" s="879"/>
      <c r="AA357" s="278"/>
    </row>
    <row r="358" spans="1:27" ht="22.5" customHeight="1">
      <c r="A358" s="882"/>
      <c r="B358" s="535" t="s">
        <v>10</v>
      </c>
      <c r="C358" s="808">
        <v>176</v>
      </c>
      <c r="D358" s="294" t="s">
        <v>487</v>
      </c>
      <c r="E358" s="294" t="s">
        <v>488</v>
      </c>
      <c r="F358" s="808">
        <v>6100302810</v>
      </c>
      <c r="G358" s="808">
        <v>244</v>
      </c>
      <c r="H358" s="22"/>
      <c r="I358" s="22"/>
      <c r="J358" s="22"/>
      <c r="K358" s="22"/>
      <c r="L358" s="22"/>
      <c r="M358" s="60"/>
      <c r="N358" s="60"/>
      <c r="O358" s="60"/>
      <c r="P358" s="60"/>
      <c r="Q358" s="60"/>
      <c r="R358" s="60">
        <f>V358</f>
        <v>108708.8</v>
      </c>
      <c r="S358" s="60"/>
      <c r="T358" s="60"/>
      <c r="U358" s="60"/>
      <c r="V358" s="60">
        <f>'Подробный перечень (ОБ)'!$K$1170</f>
        <v>108708.8</v>
      </c>
      <c r="W358" s="60">
        <f>'Подробный перечень (ОБ)'!$L$1170</f>
        <v>10000</v>
      </c>
      <c r="X358" s="61">
        <f>'Подробный перечень (ОБ)'!$M$1170</f>
        <v>49851.1</v>
      </c>
      <c r="Y358" s="879"/>
      <c r="Z358" s="879"/>
    </row>
    <row r="359" spans="1:27" ht="22.5" hidden="1" customHeight="1">
      <c r="A359" s="883"/>
      <c r="B359" s="535" t="s">
        <v>10</v>
      </c>
      <c r="C359" s="808">
        <v>176</v>
      </c>
      <c r="D359" s="294" t="s">
        <v>487</v>
      </c>
      <c r="E359" s="294" t="s">
        <v>488</v>
      </c>
      <c r="F359" s="808">
        <v>6100053902</v>
      </c>
      <c r="G359" s="808">
        <v>244</v>
      </c>
      <c r="H359" s="22"/>
      <c r="I359" s="22"/>
      <c r="J359" s="22"/>
      <c r="K359" s="22"/>
      <c r="L359" s="22"/>
      <c r="M359" s="60"/>
      <c r="N359" s="60"/>
      <c r="O359" s="60"/>
      <c r="P359" s="60"/>
      <c r="Q359" s="60"/>
      <c r="R359" s="60"/>
      <c r="S359" s="60"/>
      <c r="T359" s="60"/>
      <c r="U359" s="60"/>
      <c r="V359" s="60"/>
      <c r="W359" s="60"/>
      <c r="X359" s="61"/>
      <c r="Y359" s="879"/>
      <c r="Z359" s="879"/>
      <c r="AA359" s="278"/>
    </row>
    <row r="360" spans="1:27" ht="22.5" customHeight="1">
      <c r="A360" s="12" t="s">
        <v>61</v>
      </c>
      <c r="B360" s="535" t="s">
        <v>10</v>
      </c>
      <c r="C360" s="808">
        <v>176</v>
      </c>
      <c r="D360" s="294" t="s">
        <v>487</v>
      </c>
      <c r="E360" s="294" t="s">
        <v>488</v>
      </c>
      <c r="F360" s="808">
        <v>6100302810</v>
      </c>
      <c r="G360" s="808">
        <v>244</v>
      </c>
      <c r="H360" s="22" t="e">
        <f t="shared" si="66"/>
        <v>#REF!</v>
      </c>
      <c r="I360" s="22" t="e">
        <f>#REF!</f>
        <v>#REF!</v>
      </c>
      <c r="J360" s="22" t="e">
        <f>#REF!</f>
        <v>#REF!</v>
      </c>
      <c r="K360" s="22" t="e">
        <f>#REF!</f>
        <v>#REF!</v>
      </c>
      <c r="L360" s="22" t="e">
        <f>#REF!</f>
        <v>#REF!</v>
      </c>
      <c r="M360" s="60" t="e">
        <f>'Подробный перечень(БКАД)'!#REF!</f>
        <v>#REF!</v>
      </c>
      <c r="N360" s="60"/>
      <c r="O360" s="60" t="e">
        <f>'Подробный перечень(БКАД)'!#REF!</f>
        <v>#REF!</v>
      </c>
      <c r="P360" s="60"/>
      <c r="Q360" s="60"/>
      <c r="R360" s="60">
        <f>V360</f>
        <v>18294.2</v>
      </c>
      <c r="S360" s="60"/>
      <c r="T360" s="60"/>
      <c r="U360" s="60"/>
      <c r="V360" s="60">
        <f>'Подробный перечень (ОБ)'!$K$1210</f>
        <v>18294.2</v>
      </c>
      <c r="W360" s="60">
        <f>'Подробный перечень (ОБ)'!$L$1210</f>
        <v>0</v>
      </c>
      <c r="X360" s="61">
        <f>'Подробный перечень (ОБ)'!$M$1210</f>
        <v>30780.9</v>
      </c>
      <c r="Y360" s="879"/>
      <c r="Z360" s="879"/>
    </row>
    <row r="361" spans="1:27" ht="22.5" customHeight="1">
      <c r="A361" s="12" t="s">
        <v>62</v>
      </c>
      <c r="B361" s="535" t="s">
        <v>10</v>
      </c>
      <c r="C361" s="808">
        <v>176</v>
      </c>
      <c r="D361" s="294" t="s">
        <v>487</v>
      </c>
      <c r="E361" s="294" t="s">
        <v>488</v>
      </c>
      <c r="F361" s="808">
        <v>6100302810</v>
      </c>
      <c r="G361" s="808">
        <v>244</v>
      </c>
      <c r="H361" s="22" t="e">
        <f t="shared" si="66"/>
        <v>#REF!</v>
      </c>
      <c r="I361" s="22" t="e">
        <f>#REF!</f>
        <v>#REF!</v>
      </c>
      <c r="J361" s="22" t="e">
        <f>#REF!</f>
        <v>#REF!</v>
      </c>
      <c r="K361" s="22" t="e">
        <f>#REF!</f>
        <v>#REF!</v>
      </c>
      <c r="L361" s="22" t="e">
        <f>#REF!</f>
        <v>#REF!</v>
      </c>
      <c r="M361" s="60" t="e">
        <f>'Подробный перечень(БКАД)'!#REF!</f>
        <v>#REF!</v>
      </c>
      <c r="N361" s="60"/>
      <c r="O361" s="60"/>
      <c r="P361" s="60" t="e">
        <f>'Подробный перечень(БКАД)'!#REF!</f>
        <v>#REF!</v>
      </c>
      <c r="Q361" s="60"/>
      <c r="R361" s="60">
        <f>'Подробный перечень (ОБ)'!$G$1224</f>
        <v>13685.5</v>
      </c>
      <c r="S361" s="60"/>
      <c r="T361" s="60"/>
      <c r="U361" s="60"/>
      <c r="V361" s="60">
        <f>'Подробный перечень (ОБ)'!$K$1224</f>
        <v>13685.5</v>
      </c>
      <c r="W361" s="60">
        <f>'Подробный перечень (ОБ)'!$L$1224</f>
        <v>0</v>
      </c>
      <c r="X361" s="61">
        <f>'Подробный перечень (ОБ)'!$M$1224</f>
        <v>111909.2</v>
      </c>
      <c r="Y361" s="879"/>
      <c r="Z361" s="879"/>
      <c r="AA361" s="278"/>
    </row>
    <row r="362" spans="1:27" ht="22.5" customHeight="1">
      <c r="A362" s="12" t="s">
        <v>63</v>
      </c>
      <c r="B362" s="535" t="s">
        <v>10</v>
      </c>
      <c r="C362" s="808">
        <v>176</v>
      </c>
      <c r="D362" s="294" t="s">
        <v>487</v>
      </c>
      <c r="E362" s="294" t="s">
        <v>488</v>
      </c>
      <c r="F362" s="808">
        <v>6100302810</v>
      </c>
      <c r="G362" s="808">
        <v>244</v>
      </c>
      <c r="H362" s="22" t="e">
        <f t="shared" si="66"/>
        <v>#REF!</v>
      </c>
      <c r="I362" s="22" t="e">
        <f>#REF!</f>
        <v>#REF!</v>
      </c>
      <c r="J362" s="22" t="e">
        <f>#REF!</f>
        <v>#REF!</v>
      </c>
      <c r="K362" s="22" t="e">
        <f>#REF!</f>
        <v>#REF!</v>
      </c>
      <c r="L362" s="22" t="e">
        <f>#REF!</f>
        <v>#REF!</v>
      </c>
      <c r="M362" s="60"/>
      <c r="N362" s="60"/>
      <c r="O362" s="60"/>
      <c r="P362" s="60"/>
      <c r="Q362" s="60"/>
      <c r="R362" s="60">
        <f>'Подробный перечень (ОБ)'!$G$1235</f>
        <v>18477.7</v>
      </c>
      <c r="S362" s="60"/>
      <c r="T362" s="60"/>
      <c r="U362" s="60"/>
      <c r="V362" s="60">
        <f>'Подробный перечень (ОБ)'!$K$1235</f>
        <v>18477.7</v>
      </c>
      <c r="W362" s="60">
        <f>'Подробный перечень (ОБ)'!$L$1235</f>
        <v>0</v>
      </c>
      <c r="X362" s="61">
        <f>'Подробный перечень (ОБ)'!$M$1235</f>
        <v>47328</v>
      </c>
      <c r="Y362" s="879"/>
      <c r="Z362" s="879"/>
    </row>
    <row r="363" spans="1:27" ht="22.5" customHeight="1">
      <c r="A363" s="12" t="s">
        <v>64</v>
      </c>
      <c r="B363" s="535" t="s">
        <v>10</v>
      </c>
      <c r="C363" s="808">
        <v>176</v>
      </c>
      <c r="D363" s="294" t="s">
        <v>487</v>
      </c>
      <c r="E363" s="294" t="s">
        <v>488</v>
      </c>
      <c r="F363" s="808">
        <v>6100302810</v>
      </c>
      <c r="G363" s="808">
        <v>244</v>
      </c>
      <c r="H363" s="22">
        <f t="shared" si="66"/>
        <v>0</v>
      </c>
      <c r="I363" s="22">
        <v>0</v>
      </c>
      <c r="J363" s="22"/>
      <c r="K363" s="22"/>
      <c r="L363" s="22"/>
      <c r="M363" s="60"/>
      <c r="N363" s="60"/>
      <c r="O363" s="60"/>
      <c r="P363" s="60"/>
      <c r="Q363" s="60"/>
      <c r="R363" s="60">
        <f>'Подробный перечень (ОБ)'!$G$1242</f>
        <v>15787.1</v>
      </c>
      <c r="S363" s="60"/>
      <c r="T363" s="60"/>
      <c r="U363" s="60"/>
      <c r="V363" s="60">
        <f>'Подробный перечень (ОБ)'!$K$1242</f>
        <v>15787.1</v>
      </c>
      <c r="W363" s="60">
        <f>'Подробный перечень (ОБ)'!$L$1242</f>
        <v>0</v>
      </c>
      <c r="X363" s="61">
        <f>'Подробный перечень (ОБ)'!$M$1242</f>
        <v>42104.2</v>
      </c>
      <c r="Y363" s="879"/>
      <c r="Z363" s="879"/>
      <c r="AA363" s="278"/>
    </row>
    <row r="364" spans="1:27" ht="22.5" hidden="1" customHeight="1">
      <c r="A364" s="881" t="s">
        <v>65</v>
      </c>
      <c r="B364" s="535" t="s">
        <v>10</v>
      </c>
      <c r="C364" s="808">
        <v>176</v>
      </c>
      <c r="D364" s="294" t="s">
        <v>487</v>
      </c>
      <c r="E364" s="294" t="s">
        <v>488</v>
      </c>
      <c r="F364" s="808" t="s">
        <v>263</v>
      </c>
      <c r="G364" s="808">
        <v>244</v>
      </c>
      <c r="H364" s="22" t="e">
        <f t="shared" si="66"/>
        <v>#REF!</v>
      </c>
      <c r="I364" s="22" t="e">
        <f>#REF!</f>
        <v>#REF!</v>
      </c>
      <c r="J364" s="22" t="e">
        <f>#REF!</f>
        <v>#REF!</v>
      </c>
      <c r="K364" s="22" t="e">
        <f>#REF!</f>
        <v>#REF!</v>
      </c>
      <c r="L364" s="22" t="e">
        <f>#REF!</f>
        <v>#REF!</v>
      </c>
      <c r="M364" s="60" t="e">
        <f>'Подробный перечень(БКАД)'!#REF!</f>
        <v>#REF!</v>
      </c>
      <c r="N364" s="60" t="e">
        <f>'Подробный перечень(БКАД)'!#REF!</f>
        <v>#REF!</v>
      </c>
      <c r="O364" s="60"/>
      <c r="P364" s="60" t="e">
        <f>'Подробный перечень(БКАД)'!#REF!</f>
        <v>#REF!</v>
      </c>
      <c r="Q364" s="60"/>
      <c r="R364" s="60"/>
      <c r="S364" s="60"/>
      <c r="T364" s="60"/>
      <c r="U364" s="60"/>
      <c r="V364" s="60"/>
      <c r="W364" s="60"/>
      <c r="X364" s="61"/>
      <c r="Y364" s="879"/>
      <c r="Z364" s="879"/>
      <c r="AA364" s="278"/>
    </row>
    <row r="365" spans="1:27" ht="22.5" customHeight="1">
      <c r="A365" s="882"/>
      <c r="B365" s="535" t="s">
        <v>10</v>
      </c>
      <c r="C365" s="808">
        <v>176</v>
      </c>
      <c r="D365" s="294" t="s">
        <v>487</v>
      </c>
      <c r="E365" s="294" t="s">
        <v>488</v>
      </c>
      <c r="F365" s="808">
        <v>6100302810</v>
      </c>
      <c r="G365" s="808">
        <v>244</v>
      </c>
      <c r="H365" s="22"/>
      <c r="I365" s="22"/>
      <c r="J365" s="22"/>
      <c r="K365" s="22"/>
      <c r="L365" s="22"/>
      <c r="M365" s="60"/>
      <c r="N365" s="60"/>
      <c r="O365" s="60"/>
      <c r="P365" s="60"/>
      <c r="Q365" s="60"/>
      <c r="R365" s="60">
        <f>'Подробный перечень (ОБ)'!$G$1254</f>
        <v>77917.399999999994</v>
      </c>
      <c r="S365" s="60"/>
      <c r="T365" s="60"/>
      <c r="U365" s="60"/>
      <c r="V365" s="60">
        <f>'Подробный перечень (ОБ)'!$K$1254</f>
        <v>77917.399999999994</v>
      </c>
      <c r="W365" s="60">
        <f>'Подробный перечень (ОБ)'!$L$1254</f>
        <v>0</v>
      </c>
      <c r="X365" s="61">
        <f>'Подробный перечень (ОБ)'!$M$1254</f>
        <v>59310.2</v>
      </c>
      <c r="Y365" s="879"/>
      <c r="Z365" s="879"/>
      <c r="AA365" s="278"/>
    </row>
    <row r="366" spans="1:27" ht="22.5" hidden="1" customHeight="1">
      <c r="A366" s="883"/>
      <c r="B366" s="535" t="s">
        <v>10</v>
      </c>
      <c r="C366" s="808">
        <v>176</v>
      </c>
      <c r="D366" s="294" t="s">
        <v>487</v>
      </c>
      <c r="E366" s="294" t="s">
        <v>488</v>
      </c>
      <c r="F366" s="808">
        <v>6100053902</v>
      </c>
      <c r="G366" s="808">
        <v>244</v>
      </c>
      <c r="H366" s="22"/>
      <c r="I366" s="22"/>
      <c r="J366" s="22"/>
      <c r="K366" s="22"/>
      <c r="L366" s="22"/>
      <c r="M366" s="60"/>
      <c r="N366" s="60"/>
      <c r="O366" s="60"/>
      <c r="P366" s="60"/>
      <c r="Q366" s="60"/>
      <c r="R366" s="60"/>
      <c r="S366" s="60"/>
      <c r="T366" s="60"/>
      <c r="U366" s="60"/>
      <c r="V366" s="60"/>
      <c r="W366" s="60"/>
      <c r="X366" s="61"/>
      <c r="Y366" s="879"/>
      <c r="Z366" s="879"/>
    </row>
    <row r="367" spans="1:27" ht="22.5" customHeight="1">
      <c r="A367" s="12" t="s">
        <v>66</v>
      </c>
      <c r="B367" s="535" t="s">
        <v>10</v>
      </c>
      <c r="C367" s="808">
        <v>176</v>
      </c>
      <c r="D367" s="294" t="s">
        <v>487</v>
      </c>
      <c r="E367" s="294" t="s">
        <v>488</v>
      </c>
      <c r="F367" s="808">
        <v>6100302810</v>
      </c>
      <c r="G367" s="808">
        <v>244</v>
      </c>
      <c r="H367" s="22">
        <f t="shared" si="66"/>
        <v>0</v>
      </c>
      <c r="I367" s="22"/>
      <c r="J367" s="22"/>
      <c r="K367" s="22"/>
      <c r="L367" s="22"/>
      <c r="M367" s="60"/>
      <c r="N367" s="60"/>
      <c r="O367" s="60"/>
      <c r="P367" s="60"/>
      <c r="Q367" s="60"/>
      <c r="R367" s="60">
        <f>'Подробный перечень (ОБ)'!$G$1269</f>
        <v>32747.599999999999</v>
      </c>
      <c r="S367" s="60"/>
      <c r="T367" s="60"/>
      <c r="U367" s="60"/>
      <c r="V367" s="60">
        <f>'Подробный перечень (ОБ)'!$K$1269</f>
        <v>32747.599999999999</v>
      </c>
      <c r="W367" s="60">
        <f>'Подробный перечень (ОБ)'!$L$1269</f>
        <v>5027</v>
      </c>
      <c r="X367" s="61">
        <f>'Подробный перечень (ОБ)'!$M$1269</f>
        <v>102435.3</v>
      </c>
      <c r="Y367" s="879"/>
      <c r="Z367" s="879"/>
    </row>
    <row r="368" spans="1:27" ht="22.5" customHeight="1">
      <c r="A368" s="12" t="s">
        <v>67</v>
      </c>
      <c r="B368" s="535" t="s">
        <v>10</v>
      </c>
      <c r="C368" s="808">
        <v>176</v>
      </c>
      <c r="D368" s="294" t="s">
        <v>487</v>
      </c>
      <c r="E368" s="294" t="s">
        <v>488</v>
      </c>
      <c r="F368" s="808">
        <v>6100302810</v>
      </c>
      <c r="G368" s="808">
        <v>244</v>
      </c>
      <c r="H368" s="22">
        <f t="shared" si="66"/>
        <v>0</v>
      </c>
      <c r="I368" s="22">
        <v>0</v>
      </c>
      <c r="J368" s="22">
        <v>0</v>
      </c>
      <c r="K368" s="22">
        <v>0</v>
      </c>
      <c r="L368" s="22">
        <v>0</v>
      </c>
      <c r="M368" s="60"/>
      <c r="N368" s="60"/>
      <c r="O368" s="60"/>
      <c r="P368" s="60"/>
      <c r="Q368" s="60"/>
      <c r="R368" s="60">
        <f>'Подробный перечень (ОБ)'!$G$1280</f>
        <v>15681</v>
      </c>
      <c r="S368" s="60"/>
      <c r="T368" s="60"/>
      <c r="U368" s="60"/>
      <c r="V368" s="60">
        <f>'Подробный перечень (ОБ)'!$K$1280</f>
        <v>15681</v>
      </c>
      <c r="W368" s="60">
        <f>'Подробный перечень (ОБ)'!$L$1280</f>
        <v>0</v>
      </c>
      <c r="X368" s="61">
        <f>'Подробный перечень (ОБ)'!$M$1280</f>
        <v>43588.3</v>
      </c>
      <c r="Y368" s="879"/>
      <c r="Z368" s="879"/>
      <c r="AA368" s="278"/>
    </row>
    <row r="369" spans="1:27" ht="22.5" customHeight="1">
      <c r="A369" s="12" t="s">
        <v>68</v>
      </c>
      <c r="B369" s="535" t="s">
        <v>10</v>
      </c>
      <c r="C369" s="808">
        <v>176</v>
      </c>
      <c r="D369" s="294" t="s">
        <v>487</v>
      </c>
      <c r="E369" s="294" t="s">
        <v>488</v>
      </c>
      <c r="F369" s="808">
        <v>6100302810</v>
      </c>
      <c r="G369" s="808">
        <v>244</v>
      </c>
      <c r="H369" s="22">
        <f t="shared" si="66"/>
        <v>0</v>
      </c>
      <c r="I369" s="22">
        <v>0</v>
      </c>
      <c r="J369" s="22">
        <v>0</v>
      </c>
      <c r="K369" s="22">
        <v>0</v>
      </c>
      <c r="L369" s="22">
        <v>0</v>
      </c>
      <c r="M369" s="60"/>
      <c r="N369" s="60"/>
      <c r="O369" s="60"/>
      <c r="P369" s="60"/>
      <c r="Q369" s="60"/>
      <c r="R369" s="60">
        <f>'Подробный перечень (ОБ)'!$G$1290</f>
        <v>14658.7</v>
      </c>
      <c r="S369" s="60"/>
      <c r="T369" s="60"/>
      <c r="U369" s="60"/>
      <c r="V369" s="60">
        <f>'Подробный перечень (ОБ)'!$K$1290</f>
        <v>14658.7</v>
      </c>
      <c r="W369" s="60">
        <f>'Подробный перечень (ОБ)'!$L$1290</f>
        <v>0</v>
      </c>
      <c r="X369" s="61">
        <f>'Подробный перечень (ОБ)'!$M$1290</f>
        <v>42729</v>
      </c>
      <c r="Y369" s="879"/>
      <c r="Z369" s="879"/>
      <c r="AA369" s="278"/>
    </row>
    <row r="370" spans="1:27" ht="22.5" customHeight="1">
      <c r="A370" s="12" t="s">
        <v>69</v>
      </c>
      <c r="B370" s="535" t="s">
        <v>10</v>
      </c>
      <c r="C370" s="808">
        <v>176</v>
      </c>
      <c r="D370" s="294" t="s">
        <v>487</v>
      </c>
      <c r="E370" s="294" t="s">
        <v>488</v>
      </c>
      <c r="F370" s="808">
        <v>6100302810</v>
      </c>
      <c r="G370" s="808">
        <v>244</v>
      </c>
      <c r="H370" s="22">
        <f t="shared" si="66"/>
        <v>0</v>
      </c>
      <c r="I370" s="22">
        <v>0</v>
      </c>
      <c r="J370" s="22">
        <v>0</v>
      </c>
      <c r="K370" s="22">
        <v>0</v>
      </c>
      <c r="L370" s="22">
        <v>0</v>
      </c>
      <c r="M370" s="60"/>
      <c r="N370" s="60"/>
      <c r="O370" s="60"/>
      <c r="P370" s="60"/>
      <c r="Q370" s="60"/>
      <c r="R370" s="60">
        <f>'Подробный перечень (ОБ)'!$G$1301</f>
        <v>29885.8</v>
      </c>
      <c r="S370" s="60"/>
      <c r="T370" s="60"/>
      <c r="U370" s="60"/>
      <c r="V370" s="60">
        <f>'Подробный перечень (ОБ)'!$K$1301</f>
        <v>29885.8</v>
      </c>
      <c r="W370" s="60">
        <f>'Подробный перечень (ОБ)'!$L$1301</f>
        <v>0</v>
      </c>
      <c r="X370" s="61">
        <f>'Подробный перечень (ОБ)'!$M$1301</f>
        <v>81235.399999999994</v>
      </c>
      <c r="Y370" s="879"/>
      <c r="Z370" s="879"/>
    </row>
    <row r="371" spans="1:27" ht="22.5" customHeight="1">
      <c r="A371" s="12" t="s">
        <v>70</v>
      </c>
      <c r="B371" s="535" t="s">
        <v>10</v>
      </c>
      <c r="C371" s="808">
        <v>176</v>
      </c>
      <c r="D371" s="294" t="s">
        <v>487</v>
      </c>
      <c r="E371" s="294" t="s">
        <v>488</v>
      </c>
      <c r="F371" s="808">
        <v>6100302810</v>
      </c>
      <c r="G371" s="808">
        <v>244</v>
      </c>
      <c r="H371" s="22" t="e">
        <f t="shared" si="66"/>
        <v>#REF!</v>
      </c>
      <c r="I371" s="22" t="e">
        <f>#REF!</f>
        <v>#REF!</v>
      </c>
      <c r="J371" s="22" t="e">
        <f>#REF!</f>
        <v>#REF!</v>
      </c>
      <c r="K371" s="22" t="e">
        <f>#REF!</f>
        <v>#REF!</v>
      </c>
      <c r="L371" s="22" t="e">
        <f>#REF!</f>
        <v>#REF!</v>
      </c>
      <c r="M371" s="60"/>
      <c r="N371" s="60"/>
      <c r="O371" s="60"/>
      <c r="P371" s="60"/>
      <c r="Q371" s="60"/>
      <c r="R371" s="60">
        <f>'Подробный перечень (ОБ)'!$G$1311</f>
        <v>115780.2</v>
      </c>
      <c r="S371" s="60"/>
      <c r="T371" s="60"/>
      <c r="U371" s="60"/>
      <c r="V371" s="60">
        <f>'Подробный перечень (ОБ)'!$K$1311</f>
        <v>115780.2</v>
      </c>
      <c r="W371" s="60">
        <f>'Подробный перечень (ОБ)'!$L$1311</f>
        <v>0</v>
      </c>
      <c r="X371" s="61">
        <f>'Подробный перечень (ОБ)'!$M$1311</f>
        <v>40777</v>
      </c>
      <c r="Y371" s="879"/>
      <c r="Z371" s="879"/>
    </row>
    <row r="372" spans="1:27" ht="22.5" customHeight="1">
      <c r="A372" s="12" t="s">
        <v>71</v>
      </c>
      <c r="B372" s="535" t="s">
        <v>10</v>
      </c>
      <c r="C372" s="808">
        <v>176</v>
      </c>
      <c r="D372" s="294" t="s">
        <v>487</v>
      </c>
      <c r="E372" s="294" t="s">
        <v>488</v>
      </c>
      <c r="F372" s="808">
        <v>6100302810</v>
      </c>
      <c r="G372" s="808">
        <v>244</v>
      </c>
      <c r="H372" s="22" t="e">
        <f t="shared" si="66"/>
        <v>#REF!</v>
      </c>
      <c r="I372" s="22" t="e">
        <f>#REF!</f>
        <v>#REF!</v>
      </c>
      <c r="J372" s="22" t="e">
        <f>#REF!</f>
        <v>#REF!</v>
      </c>
      <c r="K372" s="22" t="e">
        <f>#REF!</f>
        <v>#REF!</v>
      </c>
      <c r="L372" s="22" t="e">
        <f>#REF!</f>
        <v>#REF!</v>
      </c>
      <c r="M372" s="60"/>
      <c r="N372" s="60"/>
      <c r="O372" s="60"/>
      <c r="P372" s="60"/>
      <c r="Q372" s="60"/>
      <c r="R372" s="60">
        <f>'Подробный перечень (ОБ)'!$G$1322</f>
        <v>72527</v>
      </c>
      <c r="S372" s="60"/>
      <c r="T372" s="60"/>
      <c r="U372" s="60"/>
      <c r="V372" s="60">
        <f>'Подробный перечень (ОБ)'!$K$1322</f>
        <v>72527</v>
      </c>
      <c r="W372" s="60">
        <f>'Подробный перечень (ОБ)'!$L$1322</f>
        <v>8284</v>
      </c>
      <c r="X372" s="61">
        <f>'Подробный перечень (ОБ)'!$M$1322</f>
        <v>67760.7</v>
      </c>
      <c r="Y372" s="879"/>
      <c r="Z372" s="879"/>
      <c r="AA372" s="278"/>
    </row>
    <row r="373" spans="1:27" ht="27.75" customHeight="1">
      <c r="A373" s="535" t="s">
        <v>713</v>
      </c>
      <c r="B373" s="535" t="s">
        <v>10</v>
      </c>
      <c r="C373" s="808">
        <v>176</v>
      </c>
      <c r="D373" s="294" t="s">
        <v>487</v>
      </c>
      <c r="E373" s="294" t="s">
        <v>488</v>
      </c>
      <c r="F373" s="808">
        <v>6100302810</v>
      </c>
      <c r="G373" s="808">
        <v>244</v>
      </c>
      <c r="H373" s="22" t="e">
        <f t="shared" si="66"/>
        <v>#REF!</v>
      </c>
      <c r="I373" s="22" t="e">
        <f>#REF!</f>
        <v>#REF!</v>
      </c>
      <c r="J373" s="22" t="e">
        <f>#REF!</f>
        <v>#REF!</v>
      </c>
      <c r="K373" s="22" t="e">
        <f>#REF!</f>
        <v>#REF!</v>
      </c>
      <c r="L373" s="22" t="e">
        <f>#REF!</f>
        <v>#REF!</v>
      </c>
      <c r="M373" s="60" t="e">
        <f>'Подробный перечень(БКАД)'!#REF!</f>
        <v>#REF!</v>
      </c>
      <c r="N373" s="60"/>
      <c r="O373" s="60"/>
      <c r="P373" s="60"/>
      <c r="Q373" s="60" t="e">
        <f>'Подробный перечень(БКАД)'!#REF!</f>
        <v>#REF!</v>
      </c>
      <c r="R373" s="60">
        <f>V373</f>
        <v>7500</v>
      </c>
      <c r="S373" s="60"/>
      <c r="T373" s="60"/>
      <c r="U373" s="60"/>
      <c r="V373" s="60">
        <f>'Подробный перечень (ОБ)'!$K$1334</f>
        <v>7500</v>
      </c>
      <c r="W373" s="60">
        <f>'Подробный перечень (ОБ)'!$L$1334</f>
        <v>4000</v>
      </c>
      <c r="X373" s="61">
        <f>'Подробный перечень (ОБ)'!$M$1334</f>
        <v>17125</v>
      </c>
      <c r="Y373" s="879"/>
      <c r="Z373" s="879"/>
      <c r="AA373" s="278"/>
    </row>
    <row r="374" spans="1:27" ht="42.75" customHeight="1">
      <c r="A374" s="827" t="s">
        <v>1003</v>
      </c>
      <c r="B374" s="535" t="s">
        <v>10</v>
      </c>
      <c r="C374" s="808">
        <v>176</v>
      </c>
      <c r="D374" s="294" t="s">
        <v>487</v>
      </c>
      <c r="E374" s="294" t="s">
        <v>488</v>
      </c>
      <c r="F374" s="808">
        <v>6100302810</v>
      </c>
      <c r="G374" s="808">
        <v>244</v>
      </c>
      <c r="H374" s="22"/>
      <c r="I374" s="22"/>
      <c r="J374" s="22"/>
      <c r="K374" s="22"/>
      <c r="L374" s="22"/>
      <c r="M374" s="60"/>
      <c r="N374" s="60"/>
      <c r="O374" s="60"/>
      <c r="P374" s="60"/>
      <c r="Q374" s="60"/>
      <c r="R374" s="60">
        <f>'Подробный перечень (ОБ)'!$G$1335</f>
        <v>20000</v>
      </c>
      <c r="S374" s="60"/>
      <c r="T374" s="60"/>
      <c r="U374" s="60"/>
      <c r="V374" s="60">
        <f>'Подробный перечень (ОБ)'!$K$1335</f>
        <v>20000</v>
      </c>
      <c r="W374" s="60">
        <f>'Подробный перечень (ОБ)'!$L$1335</f>
        <v>12000</v>
      </c>
      <c r="X374" s="61">
        <f>'Подробный перечень (ОБ)'!$M$1335</f>
        <v>20000</v>
      </c>
      <c r="Y374" s="880"/>
      <c r="Z374" s="880"/>
      <c r="AA374" s="278"/>
    </row>
    <row r="375" spans="1:27" s="76" customFormat="1" ht="26.45" customHeight="1">
      <c r="A375" s="872" t="s">
        <v>1156</v>
      </c>
      <c r="B375" s="826" t="s">
        <v>89</v>
      </c>
      <c r="C375" s="659"/>
      <c r="D375" s="659"/>
      <c r="E375" s="659"/>
      <c r="F375" s="659"/>
      <c r="G375" s="659"/>
      <c r="H375" s="27"/>
      <c r="I375" s="659"/>
      <c r="J375" s="659"/>
      <c r="K375" s="659"/>
      <c r="L375" s="27"/>
      <c r="M375" s="58"/>
      <c r="N375" s="58"/>
      <c r="O375" s="58"/>
      <c r="P375" s="58"/>
      <c r="Q375" s="58"/>
      <c r="R375" s="58"/>
      <c r="S375" s="58"/>
      <c r="T375" s="58"/>
      <c r="U375" s="58"/>
      <c r="V375" s="58"/>
      <c r="W375" s="58"/>
      <c r="X375" s="58"/>
      <c r="Y375" s="878" t="s">
        <v>26</v>
      </c>
      <c r="Z375" s="878" t="s">
        <v>949</v>
      </c>
      <c r="AA375" s="471"/>
    </row>
    <row r="376" spans="1:27" s="76" customFormat="1" ht="22.5" customHeight="1">
      <c r="A376" s="873"/>
      <c r="B376" s="826" t="s">
        <v>493</v>
      </c>
      <c r="C376" s="659"/>
      <c r="D376" s="659"/>
      <c r="E376" s="659"/>
      <c r="F376" s="659"/>
      <c r="G376" s="659"/>
      <c r="H376" s="11"/>
      <c r="I376" s="11"/>
      <c r="J376" s="11"/>
      <c r="K376" s="11"/>
      <c r="L376" s="11"/>
      <c r="M376" s="48"/>
      <c r="N376" s="48"/>
      <c r="O376" s="48"/>
      <c r="P376" s="48"/>
      <c r="Q376" s="48"/>
      <c r="R376" s="48"/>
      <c r="S376" s="48"/>
      <c r="T376" s="48"/>
      <c r="U376" s="48"/>
      <c r="V376" s="48"/>
      <c r="W376" s="48"/>
      <c r="X376" s="48"/>
      <c r="Y376" s="879"/>
      <c r="Z376" s="879"/>
      <c r="AA376" s="471"/>
    </row>
    <row r="377" spans="1:27" s="76" customFormat="1" ht="30.75" customHeight="1">
      <c r="A377" s="873"/>
      <c r="B377" s="840" t="s">
        <v>1143</v>
      </c>
      <c r="C377" s="659">
        <v>176</v>
      </c>
      <c r="D377" s="102" t="s">
        <v>487</v>
      </c>
      <c r="E377" s="102" t="s">
        <v>488</v>
      </c>
      <c r="F377" s="659">
        <v>6100302810</v>
      </c>
      <c r="G377" s="659">
        <v>244</v>
      </c>
      <c r="H377" s="11"/>
      <c r="I377" s="11"/>
      <c r="J377" s="11"/>
      <c r="K377" s="11"/>
      <c r="L377" s="11"/>
      <c r="M377" s="48"/>
      <c r="N377" s="48"/>
      <c r="O377" s="48"/>
      <c r="P377" s="48"/>
      <c r="Q377" s="48"/>
      <c r="R377" s="48">
        <f>'Подробный перечень (ОБ)'!G1340</f>
        <v>6854.1</v>
      </c>
      <c r="S377" s="48">
        <f>S379</f>
        <v>6854.1</v>
      </c>
      <c r="T377" s="48"/>
      <c r="U377" s="48"/>
      <c r="V377" s="48"/>
      <c r="W377" s="48"/>
      <c r="X377" s="48"/>
      <c r="Y377" s="879"/>
      <c r="Z377" s="879"/>
      <c r="AA377" s="471"/>
    </row>
    <row r="378" spans="1:27" s="76" customFormat="1" ht="25.5" customHeight="1">
      <c r="A378" s="873"/>
      <c r="B378" s="826" t="s">
        <v>495</v>
      </c>
      <c r="C378" s="659"/>
      <c r="D378" s="659"/>
      <c r="E378" s="102"/>
      <c r="F378" s="659"/>
      <c r="G378" s="659"/>
      <c r="H378" s="11"/>
      <c r="I378" s="11"/>
      <c r="J378" s="11"/>
      <c r="K378" s="11"/>
      <c r="L378" s="11"/>
      <c r="M378" s="48"/>
      <c r="N378" s="48"/>
      <c r="O378" s="48"/>
      <c r="P378" s="48"/>
      <c r="Q378" s="48"/>
      <c r="R378" s="48"/>
      <c r="S378" s="48"/>
      <c r="T378" s="48"/>
      <c r="U378" s="48"/>
      <c r="V378" s="48"/>
      <c r="W378" s="48"/>
      <c r="X378" s="48"/>
      <c r="Y378" s="879"/>
      <c r="Z378" s="879"/>
      <c r="AA378" s="471"/>
    </row>
    <row r="379" spans="1:27" s="76" customFormat="1" ht="25.5" customHeight="1">
      <c r="A379" s="873"/>
      <c r="B379" s="826" t="s">
        <v>10</v>
      </c>
      <c r="C379" s="659">
        <v>176</v>
      </c>
      <c r="D379" s="102" t="s">
        <v>487</v>
      </c>
      <c r="E379" s="102" t="s">
        <v>488</v>
      </c>
      <c r="F379" s="659">
        <v>6100302810</v>
      </c>
      <c r="G379" s="659">
        <v>244</v>
      </c>
      <c r="H379" s="11"/>
      <c r="I379" s="11"/>
      <c r="J379" s="11"/>
      <c r="K379" s="11"/>
      <c r="L379" s="11"/>
      <c r="M379" s="48"/>
      <c r="N379" s="48"/>
      <c r="O379" s="48"/>
      <c r="P379" s="48"/>
      <c r="Q379" s="48"/>
      <c r="R379" s="48">
        <f>'Подробный перечень (ОБ)'!$G$1340</f>
        <v>6854.1</v>
      </c>
      <c r="S379" s="48">
        <f>'Подробный перечень (ОБ)'!$H$1340</f>
        <v>6854.1</v>
      </c>
      <c r="T379" s="48"/>
      <c r="U379" s="48"/>
      <c r="V379" s="48"/>
      <c r="W379" s="48"/>
      <c r="X379" s="48"/>
      <c r="Y379" s="879"/>
      <c r="Z379" s="879"/>
      <c r="AA379" s="471"/>
    </row>
    <row r="380" spans="1:27" s="76" customFormat="1" ht="24" customHeight="1">
      <c r="A380" s="873"/>
      <c r="B380" s="826" t="s">
        <v>435</v>
      </c>
      <c r="C380" s="659"/>
      <c r="D380" s="102"/>
      <c r="E380" s="102"/>
      <c r="F380" s="659"/>
      <c r="G380" s="659"/>
      <c r="H380" s="11"/>
      <c r="I380" s="11"/>
      <c r="J380" s="11"/>
      <c r="K380" s="11"/>
      <c r="L380" s="11"/>
      <c r="M380" s="48"/>
      <c r="N380" s="48"/>
      <c r="O380" s="48"/>
      <c r="P380" s="48"/>
      <c r="Q380" s="48"/>
      <c r="R380" s="48"/>
      <c r="S380" s="48"/>
      <c r="T380" s="48"/>
      <c r="U380" s="48"/>
      <c r="V380" s="48"/>
      <c r="W380" s="48"/>
      <c r="X380" s="48"/>
      <c r="Y380" s="879"/>
      <c r="Z380" s="879"/>
      <c r="AA380" s="471"/>
    </row>
    <row r="381" spans="1:27" s="76" customFormat="1" ht="24" customHeight="1">
      <c r="A381" s="873"/>
      <c r="B381" s="826" t="s">
        <v>447</v>
      </c>
      <c r="C381" s="659"/>
      <c r="D381" s="102"/>
      <c r="E381" s="102"/>
      <c r="F381" s="659"/>
      <c r="G381" s="659"/>
      <c r="H381" s="11"/>
      <c r="I381" s="11"/>
      <c r="J381" s="11"/>
      <c r="K381" s="11"/>
      <c r="L381" s="11"/>
      <c r="M381" s="48"/>
      <c r="N381" s="48"/>
      <c r="O381" s="48"/>
      <c r="P381" s="48"/>
      <c r="Q381" s="48"/>
      <c r="R381" s="48"/>
      <c r="S381" s="48"/>
      <c r="T381" s="48"/>
      <c r="U381" s="48"/>
      <c r="V381" s="48"/>
      <c r="W381" s="48"/>
      <c r="X381" s="48"/>
      <c r="Y381" s="879"/>
      <c r="Z381" s="879"/>
      <c r="AA381" s="471"/>
    </row>
    <row r="382" spans="1:27" s="76" customFormat="1" ht="30" customHeight="1">
      <c r="A382" s="873"/>
      <c r="B382" s="826" t="s">
        <v>1010</v>
      </c>
      <c r="C382" s="659"/>
      <c r="D382" s="102"/>
      <c r="E382" s="102"/>
      <c r="F382" s="659"/>
      <c r="G382" s="659"/>
      <c r="H382" s="11"/>
      <c r="I382" s="11"/>
      <c r="J382" s="11"/>
      <c r="K382" s="11"/>
      <c r="L382" s="11"/>
      <c r="M382" s="48"/>
      <c r="N382" s="48"/>
      <c r="O382" s="48"/>
      <c r="P382" s="48"/>
      <c r="Q382" s="48"/>
      <c r="R382" s="48"/>
      <c r="S382" s="48"/>
      <c r="T382" s="48"/>
      <c r="U382" s="48"/>
      <c r="V382" s="48"/>
      <c r="W382" s="48"/>
      <c r="X382" s="48"/>
      <c r="Y382" s="879"/>
      <c r="Z382" s="879"/>
      <c r="AA382" s="471"/>
    </row>
    <row r="383" spans="1:27" s="76" customFormat="1" ht="26.45" hidden="1" customHeight="1">
      <c r="A383" s="872" t="s">
        <v>951</v>
      </c>
      <c r="B383" s="826" t="s">
        <v>89</v>
      </c>
      <c r="C383" s="659"/>
      <c r="D383" s="659"/>
      <c r="E383" s="659"/>
      <c r="F383" s="659"/>
      <c r="G383" s="659"/>
      <c r="H383" s="27"/>
      <c r="I383" s="659"/>
      <c r="J383" s="659"/>
      <c r="K383" s="659"/>
      <c r="L383" s="27"/>
      <c r="M383" s="58"/>
      <c r="N383" s="58"/>
      <c r="O383" s="58"/>
      <c r="P383" s="58"/>
      <c r="Q383" s="58"/>
      <c r="R383" s="58"/>
      <c r="S383" s="58"/>
      <c r="T383" s="58"/>
      <c r="U383" s="58"/>
      <c r="V383" s="58"/>
      <c r="W383" s="58"/>
      <c r="X383" s="58"/>
      <c r="Y383" s="896" t="s">
        <v>26</v>
      </c>
      <c r="Z383" s="867" t="s">
        <v>952</v>
      </c>
      <c r="AA383" s="471"/>
    </row>
    <row r="384" spans="1:27" s="76" customFormat="1" ht="22.5" hidden="1" customHeight="1">
      <c r="A384" s="873"/>
      <c r="B384" s="826" t="s">
        <v>493</v>
      </c>
      <c r="C384" s="659"/>
      <c r="D384" s="659"/>
      <c r="E384" s="659"/>
      <c r="F384" s="659"/>
      <c r="G384" s="659"/>
      <c r="H384" s="11"/>
      <c r="I384" s="11"/>
      <c r="J384" s="11"/>
      <c r="K384" s="11"/>
      <c r="L384" s="11"/>
      <c r="M384" s="48"/>
      <c r="N384" s="48"/>
      <c r="O384" s="48"/>
      <c r="P384" s="48"/>
      <c r="Q384" s="48"/>
      <c r="R384" s="48"/>
      <c r="S384" s="48"/>
      <c r="T384" s="48"/>
      <c r="U384" s="48"/>
      <c r="V384" s="48"/>
      <c r="W384" s="48"/>
      <c r="X384" s="48"/>
      <c r="Y384" s="896"/>
      <c r="Z384" s="906"/>
      <c r="AA384" s="471"/>
    </row>
    <row r="385" spans="1:27" s="76" customFormat="1" ht="30.75" hidden="1" customHeight="1">
      <c r="A385" s="873"/>
      <c r="B385" s="826" t="s">
        <v>494</v>
      </c>
      <c r="C385" s="659">
        <v>176</v>
      </c>
      <c r="D385" s="102" t="s">
        <v>487</v>
      </c>
      <c r="E385" s="102" t="s">
        <v>488</v>
      </c>
      <c r="F385" s="659">
        <v>6100302810</v>
      </c>
      <c r="G385" s="659">
        <v>244</v>
      </c>
      <c r="H385" s="11"/>
      <c r="I385" s="11"/>
      <c r="J385" s="11"/>
      <c r="K385" s="11"/>
      <c r="L385" s="11"/>
      <c r="M385" s="48"/>
      <c r="N385" s="48"/>
      <c r="O385" s="48"/>
      <c r="P385" s="48"/>
      <c r="Q385" s="48"/>
      <c r="R385" s="48">
        <f>R387</f>
        <v>0</v>
      </c>
      <c r="S385" s="48">
        <f>S387</f>
        <v>0</v>
      </c>
      <c r="T385" s="48"/>
      <c r="U385" s="48"/>
      <c r="V385" s="48"/>
      <c r="W385" s="48"/>
      <c r="X385" s="48"/>
      <c r="Y385" s="896"/>
      <c r="Z385" s="906"/>
      <c r="AA385" s="471"/>
    </row>
    <row r="386" spans="1:27" s="76" customFormat="1" ht="25.5" hidden="1" customHeight="1">
      <c r="A386" s="873"/>
      <c r="B386" s="826" t="s">
        <v>495</v>
      </c>
      <c r="C386" s="659"/>
      <c r="D386" s="659"/>
      <c r="E386" s="102"/>
      <c r="F386" s="659"/>
      <c r="G386" s="659"/>
      <c r="H386" s="11"/>
      <c r="I386" s="11"/>
      <c r="J386" s="11"/>
      <c r="K386" s="11"/>
      <c r="L386" s="11"/>
      <c r="M386" s="48"/>
      <c r="N386" s="48"/>
      <c r="O386" s="48"/>
      <c r="P386" s="48"/>
      <c r="Q386" s="48"/>
      <c r="R386" s="48"/>
      <c r="S386" s="48"/>
      <c r="T386" s="48"/>
      <c r="U386" s="48"/>
      <c r="V386" s="48"/>
      <c r="W386" s="48"/>
      <c r="X386" s="48"/>
      <c r="Y386" s="896"/>
      <c r="Z386" s="906"/>
      <c r="AA386" s="471"/>
    </row>
    <row r="387" spans="1:27" s="76" customFormat="1" ht="25.5" hidden="1" customHeight="1">
      <c r="A387" s="873"/>
      <c r="B387" s="404" t="s">
        <v>247</v>
      </c>
      <c r="C387" s="659">
        <v>176</v>
      </c>
      <c r="D387" s="102" t="s">
        <v>487</v>
      </c>
      <c r="E387" s="102" t="s">
        <v>488</v>
      </c>
      <c r="F387" s="659">
        <v>6100302810</v>
      </c>
      <c r="G387" s="659">
        <v>244</v>
      </c>
      <c r="H387" s="11"/>
      <c r="I387" s="11"/>
      <c r="J387" s="11"/>
      <c r="K387" s="11"/>
      <c r="L387" s="11"/>
      <c r="M387" s="48"/>
      <c r="N387" s="48"/>
      <c r="O387" s="48"/>
      <c r="P387" s="48"/>
      <c r="Q387" s="48"/>
      <c r="R387" s="48">
        <f>S387</f>
        <v>0</v>
      </c>
      <c r="S387" s="48">
        <v>0</v>
      </c>
      <c r="T387" s="48"/>
      <c r="U387" s="48"/>
      <c r="V387" s="48"/>
      <c r="W387" s="48"/>
      <c r="X387" s="48"/>
      <c r="Y387" s="896"/>
      <c r="Z387" s="906"/>
      <c r="AA387" s="471"/>
    </row>
    <row r="388" spans="1:27" s="76" customFormat="1" ht="30" hidden="1" customHeight="1">
      <c r="A388" s="873"/>
      <c r="B388" s="826" t="s">
        <v>435</v>
      </c>
      <c r="C388" s="659"/>
      <c r="D388" s="102"/>
      <c r="E388" s="102"/>
      <c r="F388" s="659"/>
      <c r="G388" s="659"/>
      <c r="H388" s="11"/>
      <c r="I388" s="11"/>
      <c r="J388" s="11"/>
      <c r="K388" s="11"/>
      <c r="L388" s="11"/>
      <c r="M388" s="48"/>
      <c r="N388" s="48"/>
      <c r="O388" s="48"/>
      <c r="P388" s="48"/>
      <c r="Q388" s="48"/>
      <c r="R388" s="48"/>
      <c r="S388" s="48"/>
      <c r="T388" s="48"/>
      <c r="U388" s="48"/>
      <c r="V388" s="48"/>
      <c r="W388" s="48"/>
      <c r="X388" s="48"/>
      <c r="Y388" s="896"/>
      <c r="Z388" s="906"/>
      <c r="AA388" s="471"/>
    </row>
    <row r="389" spans="1:27" ht="27.75" hidden="1" customHeight="1">
      <c r="A389" s="32"/>
      <c r="B389" s="826" t="s">
        <v>447</v>
      </c>
      <c r="C389" s="659"/>
      <c r="D389" s="102"/>
      <c r="E389" s="102"/>
      <c r="F389" s="659"/>
      <c r="G389" s="659"/>
      <c r="H389" s="11">
        <v>0</v>
      </c>
      <c r="I389" s="11">
        <v>0</v>
      </c>
      <c r="J389" s="11"/>
      <c r="K389" s="11"/>
      <c r="L389" s="11"/>
      <c r="M389" s="48"/>
      <c r="N389" s="48"/>
      <c r="O389" s="48"/>
      <c r="P389" s="48"/>
      <c r="Q389" s="48"/>
      <c r="R389" s="48"/>
      <c r="S389" s="48"/>
      <c r="T389" s="48"/>
      <c r="U389" s="48"/>
      <c r="V389" s="48"/>
      <c r="W389" s="48"/>
      <c r="X389" s="48"/>
      <c r="Y389" s="896"/>
      <c r="Z389" s="906"/>
    </row>
    <row r="390" spans="1:27" ht="33" hidden="1" customHeight="1">
      <c r="A390" s="38"/>
      <c r="B390" s="826" t="s">
        <v>1010</v>
      </c>
      <c r="C390" s="659"/>
      <c r="D390" s="102"/>
      <c r="E390" s="102"/>
      <c r="F390" s="659"/>
      <c r="G390" s="659"/>
      <c r="H390" s="11">
        <v>0</v>
      </c>
      <c r="I390" s="11">
        <v>0</v>
      </c>
      <c r="J390" s="11">
        <v>0</v>
      </c>
      <c r="K390" s="11">
        <v>0</v>
      </c>
      <c r="L390" s="11">
        <v>0</v>
      </c>
      <c r="M390" s="48"/>
      <c r="N390" s="48"/>
      <c r="O390" s="48"/>
      <c r="P390" s="48"/>
      <c r="Q390" s="48"/>
      <c r="R390" s="48"/>
      <c r="S390" s="48"/>
      <c r="T390" s="48"/>
      <c r="U390" s="48"/>
      <c r="V390" s="48"/>
      <c r="W390" s="48"/>
      <c r="X390" s="48"/>
      <c r="Y390" s="896"/>
      <c r="Z390" s="868"/>
      <c r="AA390" s="278"/>
    </row>
    <row r="391" spans="1:27" ht="25.5" customHeight="1">
      <c r="A391" s="872" t="s">
        <v>1157</v>
      </c>
      <c r="B391" s="826" t="s">
        <v>91</v>
      </c>
      <c r="C391" s="659"/>
      <c r="D391" s="102"/>
      <c r="E391" s="102"/>
      <c r="F391" s="659"/>
      <c r="G391" s="659"/>
      <c r="H391" s="337"/>
      <c r="I391" s="337"/>
      <c r="J391" s="337"/>
      <c r="K391" s="337"/>
      <c r="L391" s="337"/>
      <c r="M391" s="48"/>
      <c r="N391" s="48"/>
      <c r="O391" s="48"/>
      <c r="P391" s="48"/>
      <c r="Q391" s="48"/>
      <c r="R391" s="48">
        <f>R399</f>
        <v>12731.924000000001</v>
      </c>
      <c r="S391" s="48"/>
      <c r="T391" s="48"/>
      <c r="U391" s="48"/>
      <c r="V391" s="48"/>
      <c r="W391" s="48">
        <f>W399</f>
        <v>12731.924000000001</v>
      </c>
      <c r="X391" s="48">
        <f>X399</f>
        <v>12732.924000000001</v>
      </c>
      <c r="Y391" s="813"/>
      <c r="Z391" s="817"/>
      <c r="AA391" s="278">
        <f>T384-T434-T435</f>
        <v>-60504.336405252448</v>
      </c>
    </row>
    <row r="392" spans="1:27" ht="38.25" customHeight="1">
      <c r="A392" s="873"/>
      <c r="B392" s="826" t="s">
        <v>24</v>
      </c>
      <c r="C392" s="659">
        <v>176</v>
      </c>
      <c r="D392" s="102" t="s">
        <v>487</v>
      </c>
      <c r="E392" s="102" t="s">
        <v>488</v>
      </c>
      <c r="F392" s="659">
        <v>6100302810</v>
      </c>
      <c r="G392" s="659" t="s">
        <v>28</v>
      </c>
      <c r="H392" s="337"/>
      <c r="I392" s="337"/>
      <c r="J392" s="337"/>
      <c r="K392" s="337"/>
      <c r="L392" s="337"/>
      <c r="M392" s="48"/>
      <c r="N392" s="48"/>
      <c r="O392" s="48"/>
      <c r="P392" s="48"/>
      <c r="Q392" s="48"/>
      <c r="R392" s="48">
        <f>R393/R391</f>
        <v>299.21590012632811</v>
      </c>
      <c r="S392" s="48" t="s">
        <v>489</v>
      </c>
      <c r="T392" s="48" t="s">
        <v>489</v>
      </c>
      <c r="U392" s="48" t="s">
        <v>489</v>
      </c>
      <c r="V392" s="48" t="s">
        <v>489</v>
      </c>
      <c r="W392" s="48">
        <f>W393/W391</f>
        <v>305.33467683281799</v>
      </c>
      <c r="X392" s="48">
        <f>X393/X391</f>
        <v>326.6941827344607</v>
      </c>
      <c r="Y392" s="813"/>
      <c r="Z392" s="817"/>
      <c r="AA392" s="278">
        <f>AA391+T434+T435</f>
        <v>0</v>
      </c>
    </row>
    <row r="393" spans="1:27" ht="30.75" customHeight="1">
      <c r="A393" s="873"/>
      <c r="B393" s="840" t="s">
        <v>1143</v>
      </c>
      <c r="C393" s="659">
        <f>C394</f>
        <v>176</v>
      </c>
      <c r="D393" s="659" t="str">
        <f t="shared" ref="D393:X393" si="67">D394</f>
        <v>04</v>
      </c>
      <c r="E393" s="659" t="str">
        <f t="shared" si="67"/>
        <v>09</v>
      </c>
      <c r="F393" s="659">
        <f t="shared" si="67"/>
        <v>6100302810</v>
      </c>
      <c r="G393" s="659" t="str">
        <f t="shared" si="67"/>
        <v>ХХХ</v>
      </c>
      <c r="H393" s="659">
        <f t="shared" si="67"/>
        <v>0</v>
      </c>
      <c r="I393" s="659">
        <f t="shared" si="67"/>
        <v>0</v>
      </c>
      <c r="J393" s="659">
        <f t="shared" si="67"/>
        <v>0</v>
      </c>
      <c r="K393" s="659">
        <f t="shared" si="67"/>
        <v>0</v>
      </c>
      <c r="L393" s="659">
        <f t="shared" si="67"/>
        <v>0</v>
      </c>
      <c r="M393" s="659">
        <f t="shared" si="67"/>
        <v>0</v>
      </c>
      <c r="N393" s="659">
        <f t="shared" si="67"/>
        <v>0</v>
      </c>
      <c r="O393" s="659">
        <f t="shared" si="67"/>
        <v>0</v>
      </c>
      <c r="P393" s="659">
        <f t="shared" si="67"/>
        <v>0</v>
      </c>
      <c r="Q393" s="659">
        <f t="shared" si="67"/>
        <v>0</v>
      </c>
      <c r="R393" s="58">
        <f>R394</f>
        <v>3809594.1</v>
      </c>
      <c r="S393" s="58">
        <f t="shared" si="67"/>
        <v>961384.5</v>
      </c>
      <c r="T393" s="58">
        <f t="shared" si="67"/>
        <v>973123.1</v>
      </c>
      <c r="U393" s="58">
        <f t="shared" si="67"/>
        <v>949793.2</v>
      </c>
      <c r="V393" s="58">
        <f t="shared" si="67"/>
        <v>925293.30000000051</v>
      </c>
      <c r="W393" s="58">
        <f t="shared" si="67"/>
        <v>3887497.9</v>
      </c>
      <c r="X393" s="58">
        <f t="shared" si="67"/>
        <v>4159772.2000000007</v>
      </c>
      <c r="Y393" s="813"/>
      <c r="Z393" s="817"/>
    </row>
    <row r="394" spans="1:27" ht="26.25" customHeight="1">
      <c r="A394" s="873"/>
      <c r="B394" s="535" t="s">
        <v>10</v>
      </c>
      <c r="C394" s="808">
        <v>176</v>
      </c>
      <c r="D394" s="294" t="s">
        <v>487</v>
      </c>
      <c r="E394" s="294" t="s">
        <v>488</v>
      </c>
      <c r="F394" s="808">
        <v>6100302810</v>
      </c>
      <c r="G394" s="808" t="s">
        <v>28</v>
      </c>
      <c r="H394" s="24"/>
      <c r="I394" s="24"/>
      <c r="J394" s="24"/>
      <c r="K394" s="24"/>
      <c r="L394" s="24"/>
      <c r="M394" s="60"/>
      <c r="N394" s="60"/>
      <c r="O394" s="60"/>
      <c r="P394" s="60"/>
      <c r="Q394" s="60"/>
      <c r="R394" s="60">
        <f t="shared" ref="R394:X394" si="68">R402+R446</f>
        <v>3809594.1</v>
      </c>
      <c r="S394" s="60">
        <f t="shared" si="68"/>
        <v>961384.5</v>
      </c>
      <c r="T394" s="60">
        <f t="shared" si="68"/>
        <v>973123.1</v>
      </c>
      <c r="U394" s="60">
        <f t="shared" si="68"/>
        <v>949793.2</v>
      </c>
      <c r="V394" s="60">
        <f t="shared" si="68"/>
        <v>925293.30000000051</v>
      </c>
      <c r="W394" s="60">
        <f t="shared" si="68"/>
        <v>3887497.9</v>
      </c>
      <c r="X394" s="60">
        <f t="shared" si="68"/>
        <v>4159772.2000000007</v>
      </c>
      <c r="Y394" s="813"/>
      <c r="Z394" s="817"/>
    </row>
    <row r="395" spans="1:27" ht="26.25" customHeight="1">
      <c r="A395" s="873"/>
      <c r="B395" s="535" t="s">
        <v>495</v>
      </c>
      <c r="C395" s="808"/>
      <c r="D395" s="294"/>
      <c r="E395" s="294"/>
      <c r="F395" s="808"/>
      <c r="G395" s="808"/>
      <c r="H395" s="24"/>
      <c r="I395" s="24"/>
      <c r="J395" s="24"/>
      <c r="K395" s="24"/>
      <c r="L395" s="24"/>
      <c r="M395" s="60"/>
      <c r="N395" s="60"/>
      <c r="O395" s="60"/>
      <c r="P395" s="60"/>
      <c r="Q395" s="60"/>
      <c r="R395" s="60"/>
      <c r="S395" s="60"/>
      <c r="T395" s="60"/>
      <c r="U395" s="60"/>
      <c r="V395" s="60"/>
      <c r="W395" s="60"/>
      <c r="X395" s="60"/>
      <c r="Y395" s="813"/>
      <c r="Z395" s="817"/>
    </row>
    <row r="396" spans="1:27" ht="26.25" customHeight="1">
      <c r="A396" s="873"/>
      <c r="B396" s="535" t="s">
        <v>435</v>
      </c>
      <c r="C396" s="808"/>
      <c r="D396" s="294"/>
      <c r="E396" s="294"/>
      <c r="F396" s="808"/>
      <c r="G396" s="808"/>
      <c r="H396" s="24"/>
      <c r="I396" s="24"/>
      <c r="J396" s="24"/>
      <c r="K396" s="24"/>
      <c r="L396" s="24"/>
      <c r="M396" s="60"/>
      <c r="N396" s="60"/>
      <c r="O396" s="60"/>
      <c r="P396" s="60"/>
      <c r="Q396" s="60"/>
      <c r="R396" s="60"/>
      <c r="S396" s="60"/>
      <c r="T396" s="60"/>
      <c r="U396" s="60"/>
      <c r="V396" s="60"/>
      <c r="W396" s="60"/>
      <c r="X396" s="60"/>
      <c r="Y396" s="813"/>
      <c r="Z396" s="817"/>
    </row>
    <row r="397" spans="1:27" ht="26.25" customHeight="1">
      <c r="A397" s="873"/>
      <c r="B397" s="535" t="s">
        <v>447</v>
      </c>
      <c r="C397" s="808"/>
      <c r="D397" s="294"/>
      <c r="E397" s="294"/>
      <c r="F397" s="808"/>
      <c r="G397" s="808"/>
      <c r="H397" s="24"/>
      <c r="I397" s="24"/>
      <c r="J397" s="24"/>
      <c r="K397" s="24"/>
      <c r="L397" s="24"/>
      <c r="M397" s="60"/>
      <c r="N397" s="60"/>
      <c r="O397" s="60"/>
      <c r="P397" s="60"/>
      <c r="Q397" s="60"/>
      <c r="R397" s="60"/>
      <c r="S397" s="60"/>
      <c r="T397" s="60"/>
      <c r="U397" s="60"/>
      <c r="V397" s="60"/>
      <c r="W397" s="60"/>
      <c r="X397" s="60"/>
      <c r="Y397" s="813"/>
      <c r="Z397" s="817"/>
    </row>
    <row r="398" spans="1:27" ht="26.25" customHeight="1">
      <c r="A398" s="874"/>
      <c r="B398" s="535" t="s">
        <v>1010</v>
      </c>
      <c r="C398" s="808"/>
      <c r="D398" s="294"/>
      <c r="E398" s="294"/>
      <c r="F398" s="808"/>
      <c r="G398" s="808"/>
      <c r="H398" s="24"/>
      <c r="I398" s="24"/>
      <c r="J398" s="24"/>
      <c r="K398" s="24"/>
      <c r="L398" s="24"/>
      <c r="M398" s="60"/>
      <c r="N398" s="60"/>
      <c r="O398" s="60"/>
      <c r="P398" s="60"/>
      <c r="Q398" s="60"/>
      <c r="R398" s="60"/>
      <c r="S398" s="60"/>
      <c r="T398" s="60"/>
      <c r="U398" s="60"/>
      <c r="V398" s="60"/>
      <c r="W398" s="60"/>
      <c r="X398" s="60"/>
      <c r="Y398" s="813"/>
      <c r="Z398" s="817"/>
    </row>
    <row r="399" spans="1:27" ht="25.5" customHeight="1">
      <c r="A399" s="872" t="s">
        <v>1158</v>
      </c>
      <c r="B399" s="826" t="s">
        <v>91</v>
      </c>
      <c r="C399" s="659"/>
      <c r="D399" s="102"/>
      <c r="E399" s="102"/>
      <c r="F399" s="659"/>
      <c r="G399" s="659"/>
      <c r="H399" s="337"/>
      <c r="I399" s="337"/>
      <c r="J399" s="337"/>
      <c r="K399" s="337"/>
      <c r="L399" s="337"/>
      <c r="M399" s="48"/>
      <c r="N399" s="48"/>
      <c r="O399" s="48"/>
      <c r="P399" s="48"/>
      <c r="Q399" s="48"/>
      <c r="R399" s="48">
        <f>'прил. 1  (3)'!$N$16</f>
        <v>12731.924000000001</v>
      </c>
      <c r="S399" s="48"/>
      <c r="T399" s="48"/>
      <c r="U399" s="48"/>
      <c r="V399" s="48"/>
      <c r="W399" s="48">
        <f>'прил. 1  (3)'!$O$16</f>
        <v>12731.924000000001</v>
      </c>
      <c r="X399" s="48">
        <f>'прил. 1  (3)'!$P$16</f>
        <v>12732.924000000001</v>
      </c>
      <c r="Y399" s="878" t="s">
        <v>26</v>
      </c>
      <c r="Z399" s="867" t="s">
        <v>1147</v>
      </c>
      <c r="AA399" s="278" t="e">
        <f>#REF!-T438-T439</f>
        <v>#REF!</v>
      </c>
    </row>
    <row r="400" spans="1:27" ht="32.25" customHeight="1">
      <c r="A400" s="873"/>
      <c r="B400" s="826" t="s">
        <v>24</v>
      </c>
      <c r="C400" s="659">
        <v>176</v>
      </c>
      <c r="D400" s="102" t="s">
        <v>487</v>
      </c>
      <c r="E400" s="102" t="s">
        <v>488</v>
      </c>
      <c r="F400" s="659">
        <v>6100302810</v>
      </c>
      <c r="G400" s="659" t="s">
        <v>28</v>
      </c>
      <c r="H400" s="337"/>
      <c r="I400" s="337"/>
      <c r="J400" s="337"/>
      <c r="K400" s="337"/>
      <c r="L400" s="337"/>
      <c r="M400" s="48"/>
      <c r="N400" s="48"/>
      <c r="O400" s="48"/>
      <c r="P400" s="48"/>
      <c r="Q400" s="48"/>
      <c r="R400" s="48">
        <f>R401/R399</f>
        <v>296.53160040854783</v>
      </c>
      <c r="S400" s="48" t="s">
        <v>489</v>
      </c>
      <c r="T400" s="48" t="s">
        <v>489</v>
      </c>
      <c r="U400" s="48" t="s">
        <v>489</v>
      </c>
      <c r="V400" s="48" t="s">
        <v>489</v>
      </c>
      <c r="W400" s="48">
        <f>W401/W399</f>
        <v>305.33467683281799</v>
      </c>
      <c r="X400" s="48">
        <f>X401/X399</f>
        <v>326.6941827344607</v>
      </c>
      <c r="Y400" s="879"/>
      <c r="Z400" s="906"/>
      <c r="AA400" s="278" t="e">
        <f>AA399+T438+T439</f>
        <v>#REF!</v>
      </c>
    </row>
    <row r="401" spans="1:33" ht="30.75" customHeight="1">
      <c r="A401" s="873"/>
      <c r="B401" s="840" t="s">
        <v>1143</v>
      </c>
      <c r="C401" s="659">
        <f>C402</f>
        <v>176</v>
      </c>
      <c r="D401" s="659" t="str">
        <f t="shared" ref="D401:X401" si="69">D402</f>
        <v>04</v>
      </c>
      <c r="E401" s="659" t="str">
        <f t="shared" si="69"/>
        <v>09</v>
      </c>
      <c r="F401" s="659">
        <f t="shared" si="69"/>
        <v>6100302810</v>
      </c>
      <c r="G401" s="659" t="str">
        <f t="shared" si="69"/>
        <v>ХХХ</v>
      </c>
      <c r="H401" s="659">
        <f t="shared" si="69"/>
        <v>0</v>
      </c>
      <c r="I401" s="659">
        <f t="shared" si="69"/>
        <v>0</v>
      </c>
      <c r="J401" s="659">
        <f t="shared" si="69"/>
        <v>0</v>
      </c>
      <c r="K401" s="659">
        <f t="shared" si="69"/>
        <v>0</v>
      </c>
      <c r="L401" s="659">
        <f t="shared" si="69"/>
        <v>0</v>
      </c>
      <c r="M401" s="659">
        <f t="shared" si="69"/>
        <v>0</v>
      </c>
      <c r="N401" s="659">
        <f t="shared" si="69"/>
        <v>0</v>
      </c>
      <c r="O401" s="659">
        <f t="shared" si="69"/>
        <v>0</v>
      </c>
      <c r="P401" s="659">
        <f t="shared" si="69"/>
        <v>0</v>
      </c>
      <c r="Q401" s="659">
        <f t="shared" si="69"/>
        <v>0</v>
      </c>
      <c r="R401" s="58">
        <f>R402</f>
        <v>3775417.8000000003</v>
      </c>
      <c r="S401" s="58">
        <f t="shared" si="69"/>
        <v>927208.2</v>
      </c>
      <c r="T401" s="58">
        <f t="shared" si="69"/>
        <v>973123.1</v>
      </c>
      <c r="U401" s="58">
        <f t="shared" si="69"/>
        <v>949793.2</v>
      </c>
      <c r="V401" s="58">
        <f t="shared" si="69"/>
        <v>925293.30000000051</v>
      </c>
      <c r="W401" s="58">
        <f t="shared" si="69"/>
        <v>3887497.9</v>
      </c>
      <c r="X401" s="58">
        <f t="shared" si="69"/>
        <v>4159772.2000000007</v>
      </c>
      <c r="Y401" s="879"/>
      <c r="Z401" s="906"/>
      <c r="AG401" s="278">
        <f>R402-R438-R439</f>
        <v>3560336.8000000003</v>
      </c>
    </row>
    <row r="402" spans="1:33" ht="26.25" customHeight="1">
      <c r="A402" s="873"/>
      <c r="B402" s="535" t="s">
        <v>10</v>
      </c>
      <c r="C402" s="808">
        <v>176</v>
      </c>
      <c r="D402" s="294" t="s">
        <v>487</v>
      </c>
      <c r="E402" s="294" t="s">
        <v>488</v>
      </c>
      <c r="F402" s="808">
        <v>6100302810</v>
      </c>
      <c r="G402" s="808" t="s">
        <v>28</v>
      </c>
      <c r="H402" s="24"/>
      <c r="I402" s="24"/>
      <c r="J402" s="24"/>
      <c r="K402" s="24"/>
      <c r="L402" s="24"/>
      <c r="M402" s="60"/>
      <c r="N402" s="60"/>
      <c r="O402" s="60"/>
      <c r="P402" s="60"/>
      <c r="Q402" s="60"/>
      <c r="R402" s="60">
        <f>SUM(R408:R439)</f>
        <v>3775417.8000000003</v>
      </c>
      <c r="S402" s="60">
        <v>927208.2</v>
      </c>
      <c r="T402" s="60">
        <v>973123.1</v>
      </c>
      <c r="U402" s="60">
        <v>949793.2</v>
      </c>
      <c r="V402" s="60">
        <f>R402-S402-T402-U402</f>
        <v>925293.30000000051</v>
      </c>
      <c r="W402" s="60">
        <f t="shared" ref="W402:X402" si="70">SUM(W408:W439)</f>
        <v>3887497.9</v>
      </c>
      <c r="X402" s="60">
        <f t="shared" si="70"/>
        <v>4159772.2000000007</v>
      </c>
      <c r="Y402" s="879"/>
      <c r="Z402" s="906"/>
      <c r="AG402" s="278">
        <f>S402-S438</f>
        <v>904173.39999999991</v>
      </c>
    </row>
    <row r="403" spans="1:33" ht="21.75" customHeight="1">
      <c r="A403" s="873"/>
      <c r="B403" s="535" t="s">
        <v>495</v>
      </c>
      <c r="C403" s="808"/>
      <c r="D403" s="294"/>
      <c r="E403" s="294"/>
      <c r="F403" s="808"/>
      <c r="G403" s="808"/>
      <c r="H403" s="24"/>
      <c r="I403" s="24"/>
      <c r="J403" s="24"/>
      <c r="K403" s="24"/>
      <c r="L403" s="24"/>
      <c r="M403" s="60"/>
      <c r="N403" s="60"/>
      <c r="O403" s="60"/>
      <c r="P403" s="60"/>
      <c r="Q403" s="60"/>
      <c r="R403" s="60"/>
      <c r="S403" s="60"/>
      <c r="T403" s="60"/>
      <c r="U403" s="60"/>
      <c r="V403" s="60"/>
      <c r="W403" s="60"/>
      <c r="X403" s="60"/>
      <c r="Y403" s="879"/>
      <c r="Z403" s="906"/>
      <c r="AG403" s="278"/>
    </row>
    <row r="404" spans="1:33" ht="26.25" customHeight="1">
      <c r="A404" s="873"/>
      <c r="B404" s="535" t="s">
        <v>435</v>
      </c>
      <c r="C404" s="808"/>
      <c r="D404" s="294"/>
      <c r="E404" s="294"/>
      <c r="F404" s="808"/>
      <c r="G404" s="808"/>
      <c r="H404" s="24"/>
      <c r="I404" s="24"/>
      <c r="J404" s="24"/>
      <c r="K404" s="24"/>
      <c r="L404" s="24"/>
      <c r="M404" s="60"/>
      <c r="N404" s="60"/>
      <c r="O404" s="60"/>
      <c r="P404" s="60"/>
      <c r="Q404" s="60"/>
      <c r="R404" s="60"/>
      <c r="S404" s="60"/>
      <c r="T404" s="60"/>
      <c r="U404" s="60"/>
      <c r="V404" s="60"/>
      <c r="W404" s="60"/>
      <c r="X404" s="60"/>
      <c r="Y404" s="879"/>
      <c r="Z404" s="906"/>
      <c r="AG404" s="278"/>
    </row>
    <row r="405" spans="1:33" ht="22.5" customHeight="1">
      <c r="A405" s="873"/>
      <c r="B405" s="535" t="s">
        <v>447</v>
      </c>
      <c r="C405" s="808"/>
      <c r="D405" s="294"/>
      <c r="E405" s="294"/>
      <c r="F405" s="808"/>
      <c r="G405" s="808"/>
      <c r="H405" s="24"/>
      <c r="I405" s="24"/>
      <c r="J405" s="24"/>
      <c r="K405" s="24"/>
      <c r="L405" s="24"/>
      <c r="M405" s="60"/>
      <c r="N405" s="60"/>
      <c r="O405" s="60"/>
      <c r="P405" s="60"/>
      <c r="Q405" s="60"/>
      <c r="R405" s="60"/>
      <c r="S405" s="60"/>
      <c r="T405" s="60"/>
      <c r="U405" s="60"/>
      <c r="V405" s="60"/>
      <c r="W405" s="60"/>
      <c r="X405" s="60"/>
      <c r="Y405" s="879"/>
      <c r="Z405" s="906"/>
      <c r="AG405" s="278"/>
    </row>
    <row r="406" spans="1:33" ht="20.25" customHeight="1">
      <c r="A406" s="874"/>
      <c r="B406" s="535" t="s">
        <v>1010</v>
      </c>
      <c r="C406" s="808"/>
      <c r="D406" s="294"/>
      <c r="E406" s="294"/>
      <c r="F406" s="808"/>
      <c r="G406" s="808"/>
      <c r="H406" s="24"/>
      <c r="I406" s="24"/>
      <c r="J406" s="24"/>
      <c r="K406" s="24"/>
      <c r="L406" s="24"/>
      <c r="M406" s="60"/>
      <c r="N406" s="60"/>
      <c r="O406" s="60"/>
      <c r="P406" s="60"/>
      <c r="Q406" s="60"/>
      <c r="R406" s="60"/>
      <c r="S406" s="60"/>
      <c r="T406" s="60"/>
      <c r="U406" s="60"/>
      <c r="V406" s="60"/>
      <c r="W406" s="60"/>
      <c r="X406" s="60"/>
      <c r="Y406" s="879"/>
      <c r="Z406" s="906"/>
      <c r="AG406" s="278"/>
    </row>
    <row r="407" spans="1:33" ht="15.75" customHeight="1">
      <c r="A407" s="819" t="s">
        <v>30</v>
      </c>
      <c r="B407" s="535"/>
      <c r="C407" s="808"/>
      <c r="D407" s="294"/>
      <c r="E407" s="294"/>
      <c r="F407" s="808"/>
      <c r="G407" s="808"/>
      <c r="H407" s="24"/>
      <c r="I407" s="24"/>
      <c r="J407" s="24"/>
      <c r="K407" s="24"/>
      <c r="L407" s="24"/>
      <c r="M407" s="60"/>
      <c r="N407" s="60"/>
      <c r="O407" s="60"/>
      <c r="P407" s="60"/>
      <c r="Q407" s="60"/>
      <c r="R407" s="60"/>
      <c r="S407" s="60"/>
      <c r="T407" s="60"/>
      <c r="U407" s="60"/>
      <c r="V407" s="60"/>
      <c r="W407" s="60"/>
      <c r="X407" s="60"/>
      <c r="Y407" s="879"/>
      <c r="Z407" s="906"/>
      <c r="AG407" s="278"/>
    </row>
    <row r="408" spans="1:33">
      <c r="A408" s="15" t="s">
        <v>42</v>
      </c>
      <c r="B408" s="535" t="s">
        <v>33</v>
      </c>
      <c r="C408" s="808">
        <v>176</v>
      </c>
      <c r="D408" s="294" t="s">
        <v>487</v>
      </c>
      <c r="E408" s="294" t="s">
        <v>488</v>
      </c>
      <c r="F408" s="808">
        <v>6100302810</v>
      </c>
      <c r="G408" s="808">
        <v>244</v>
      </c>
      <c r="H408" s="5">
        <f>58568.7</f>
        <v>58568.7</v>
      </c>
      <c r="I408" s="5">
        <v>10739.636448044155</v>
      </c>
      <c r="J408" s="5">
        <v>17903.579744408849</v>
      </c>
      <c r="K408" s="5">
        <v>9584.5756239441216</v>
      </c>
      <c r="L408" s="5">
        <f>H408*439151.4/2320351.3</f>
        <v>11084.755399400083</v>
      </c>
      <c r="M408" s="65">
        <f>73898.9-16.2</f>
        <v>73882.7</v>
      </c>
      <c r="N408" s="65">
        <f>M408*653500.912/2819770</f>
        <v>17122.819177103949</v>
      </c>
      <c r="O408" s="65">
        <f>M408*1015888/2819770</f>
        <v>26617.968251878698</v>
      </c>
      <c r="P408" s="65">
        <f>M408*564225.128/2819770</f>
        <v>14783.644008016825</v>
      </c>
      <c r="Q408" s="65">
        <f>M408*586155.958/2819770</f>
        <v>15358.268510597174</v>
      </c>
      <c r="R408" s="119">
        <v>77429.400000000009</v>
      </c>
      <c r="S408" s="66">
        <f>R408*$AG$402/$AG$401</f>
        <v>19663.758737083524</v>
      </c>
      <c r="T408" s="66">
        <f t="shared" ref="T408:T437" si="71">R408*$AG$408/$AG$401</f>
        <v>20342.578530486218</v>
      </c>
      <c r="U408" s="66">
        <f t="shared" ref="U408:U437" si="72">R408*$AG$409/$AG$401</f>
        <v>19832.045186876701</v>
      </c>
      <c r="V408" s="66">
        <f t="shared" ref="V408:V437" si="73">R408*$AG$411/$AG$401</f>
        <v>17690.111277669013</v>
      </c>
      <c r="W408" s="66">
        <v>86265.7</v>
      </c>
      <c r="X408" s="66">
        <v>89802.6</v>
      </c>
      <c r="Y408" s="879"/>
      <c r="Z408" s="906"/>
      <c r="AG408" s="278">
        <f>973123.1-T438</f>
        <v>935386.7</v>
      </c>
    </row>
    <row r="409" spans="1:33">
      <c r="A409" s="15" t="s">
        <v>43</v>
      </c>
      <c r="B409" s="535" t="s">
        <v>33</v>
      </c>
      <c r="C409" s="808">
        <v>176</v>
      </c>
      <c r="D409" s="294" t="s">
        <v>487</v>
      </c>
      <c r="E409" s="294" t="s">
        <v>488</v>
      </c>
      <c r="F409" s="808">
        <v>6100302810</v>
      </c>
      <c r="G409" s="808">
        <v>244</v>
      </c>
      <c r="H409" s="5">
        <f>66094.6</f>
        <v>66094.600000000006</v>
      </c>
      <c r="I409" s="5">
        <v>12119.647101248607</v>
      </c>
      <c r="J409" s="5">
        <v>20204.135344899329</v>
      </c>
      <c r="K409" s="5">
        <v>10816.164470687196</v>
      </c>
      <c r="L409" s="5">
        <f t="shared" ref="L409:L437" si="74">H409*439151.4/2320351.3</f>
        <v>12509.112789274626</v>
      </c>
      <c r="M409" s="65">
        <v>85203.4</v>
      </c>
      <c r="N409" s="65">
        <f t="shared" ref="N409:N436" si="75">M409*653500.912/2819770</f>
        <v>19746.468543711293</v>
      </c>
      <c r="O409" s="65">
        <f t="shared" ref="O409:O437" si="76">M409*1015888/2819770</f>
        <v>30696.514828939948</v>
      </c>
      <c r="P409" s="65">
        <f t="shared" ref="P409:P437" si="77">M409*564225.128/2819770</f>
        <v>17048.872521884834</v>
      </c>
      <c r="Q409" s="65">
        <f t="shared" ref="Q409:Q437" si="78">M409*586155.958/2819770</f>
        <v>17711.544045031045</v>
      </c>
      <c r="R409" s="119">
        <v>116919.3</v>
      </c>
      <c r="S409" s="66">
        <f t="shared" ref="S409:S437" si="79">R409*$AG$402/$AG$401</f>
        <v>29692.505778279174</v>
      </c>
      <c r="T409" s="66">
        <f t="shared" si="71"/>
        <v>30717.531609175287</v>
      </c>
      <c r="U409" s="66">
        <f t="shared" si="72"/>
        <v>29946.620286583558</v>
      </c>
      <c r="V409" s="66">
        <f t="shared" si="73"/>
        <v>26712.275020950266</v>
      </c>
      <c r="W409" s="66">
        <v>121862.9</v>
      </c>
      <c r="X409" s="66">
        <v>126859.3</v>
      </c>
      <c r="Y409" s="879"/>
      <c r="Z409" s="906"/>
      <c r="AA409" s="283"/>
      <c r="AB409" s="31"/>
      <c r="AG409" s="278">
        <f>949793.2-U438</f>
        <v>911911.5</v>
      </c>
    </row>
    <row r="410" spans="1:33">
      <c r="A410" s="15" t="s">
        <v>44</v>
      </c>
      <c r="B410" s="535" t="s">
        <v>33</v>
      </c>
      <c r="C410" s="808">
        <v>176</v>
      </c>
      <c r="D410" s="294" t="s">
        <v>487</v>
      </c>
      <c r="E410" s="294" t="s">
        <v>488</v>
      </c>
      <c r="F410" s="808">
        <v>6100302810</v>
      </c>
      <c r="G410" s="808">
        <v>244</v>
      </c>
      <c r="H410" s="5">
        <f>42869.4</f>
        <v>42869.4</v>
      </c>
      <c r="I410" s="5">
        <v>7860.8842392913648</v>
      </c>
      <c r="J410" s="5">
        <v>13104.537432023602</v>
      </c>
      <c r="K410" s="5">
        <v>7015.4366795423175</v>
      </c>
      <c r="L410" s="5">
        <f t="shared" si="74"/>
        <v>8113.4942916445461</v>
      </c>
      <c r="M410" s="65">
        <f>57323.8+66.4</f>
        <v>57390.200000000004</v>
      </c>
      <c r="N410" s="65">
        <f t="shared" si="75"/>
        <v>13300.56991877437</v>
      </c>
      <c r="O410" s="65">
        <f t="shared" si="76"/>
        <v>20676.159934179032</v>
      </c>
      <c r="P410" s="65">
        <f t="shared" si="77"/>
        <v>11483.558212529959</v>
      </c>
      <c r="Q410" s="65">
        <f t="shared" si="78"/>
        <v>11929.911893811057</v>
      </c>
      <c r="R410" s="119">
        <v>70432.100000000006</v>
      </c>
      <c r="S410" s="66">
        <f t="shared" si="79"/>
        <v>17886.743559244169</v>
      </c>
      <c r="T410" s="66">
        <f t="shared" si="71"/>
        <v>18504.218363012733</v>
      </c>
      <c r="U410" s="66">
        <f t="shared" si="72"/>
        <v>18039.82195143729</v>
      </c>
      <c r="V410" s="66">
        <f t="shared" si="73"/>
        <v>16091.454751294877</v>
      </c>
      <c r="W410" s="66">
        <v>73589.8</v>
      </c>
      <c r="X410" s="66">
        <v>76607</v>
      </c>
      <c r="Y410" s="879"/>
      <c r="Z410" s="906"/>
      <c r="AA410" s="283"/>
      <c r="AG410" s="279"/>
    </row>
    <row r="411" spans="1:33">
      <c r="A411" s="15" t="s">
        <v>45</v>
      </c>
      <c r="B411" s="535" t="s">
        <v>33</v>
      </c>
      <c r="C411" s="808">
        <v>176</v>
      </c>
      <c r="D411" s="294" t="s">
        <v>487</v>
      </c>
      <c r="E411" s="294" t="s">
        <v>488</v>
      </c>
      <c r="F411" s="808">
        <v>6100302810</v>
      </c>
      <c r="G411" s="808">
        <v>244</v>
      </c>
      <c r="H411" s="5">
        <f>63557.4</f>
        <v>63557.4</v>
      </c>
      <c r="I411" s="5">
        <v>11654.405332249506</v>
      </c>
      <c r="J411" s="5">
        <v>19428.551073308627</v>
      </c>
      <c r="K411" s="5">
        <v>10400.960013817383</v>
      </c>
      <c r="L411" s="5">
        <f t="shared" si="74"/>
        <v>12028.920444227562</v>
      </c>
      <c r="M411" s="65">
        <v>76275.199999999997</v>
      </c>
      <c r="N411" s="65">
        <f t="shared" si="75"/>
        <v>17677.297355097187</v>
      </c>
      <c r="O411" s="65">
        <f t="shared" si="76"/>
        <v>27479.922255219393</v>
      </c>
      <c r="P411" s="65">
        <f t="shared" si="77"/>
        <v>15262.37405292829</v>
      </c>
      <c r="Q411" s="65">
        <f t="shared" si="78"/>
        <v>15855.606282654824</v>
      </c>
      <c r="R411" s="119">
        <v>124399.7</v>
      </c>
      <c r="S411" s="66">
        <f t="shared" si="79"/>
        <v>31592.207711354717</v>
      </c>
      <c r="T411" s="66">
        <f t="shared" si="71"/>
        <v>32682.813846147921</v>
      </c>
      <c r="U411" s="66">
        <f t="shared" si="72"/>
        <v>31862.580255483132</v>
      </c>
      <c r="V411" s="66">
        <f t="shared" si="73"/>
        <v>28421.304257925822</v>
      </c>
      <c r="W411" s="66">
        <v>129985.9</v>
      </c>
      <c r="X411" s="66">
        <v>135315.29999999999</v>
      </c>
      <c r="Y411" s="879"/>
      <c r="Z411" s="906"/>
      <c r="AA411" s="283"/>
      <c r="AG411" s="278">
        <f>927184.8-V438</f>
        <v>813421.70000000007</v>
      </c>
    </row>
    <row r="412" spans="1:33">
      <c r="A412" s="15" t="s">
        <v>46</v>
      </c>
      <c r="B412" s="535" t="s">
        <v>33</v>
      </c>
      <c r="C412" s="808">
        <v>176</v>
      </c>
      <c r="D412" s="294" t="s">
        <v>487</v>
      </c>
      <c r="E412" s="294" t="s">
        <v>488</v>
      </c>
      <c r="F412" s="808">
        <v>6100302810</v>
      </c>
      <c r="G412" s="808">
        <v>244</v>
      </c>
      <c r="H412" s="5">
        <f>55763.2</f>
        <v>55763.199999999997</v>
      </c>
      <c r="I412" s="5">
        <v>10288.459019137374</v>
      </c>
      <c r="J412" s="5">
        <v>17151.441521072527</v>
      </c>
      <c r="K412" s="5">
        <v>9181.9228704646266</v>
      </c>
      <c r="L412" s="5">
        <f t="shared" si="74"/>
        <v>10553.784398284864</v>
      </c>
      <c r="M412" s="65">
        <f>73007.9-2.1</f>
        <v>73005.799999999988</v>
      </c>
      <c r="N412" s="65">
        <f t="shared" si="75"/>
        <v>16919.59162672473</v>
      </c>
      <c r="O412" s="65">
        <f t="shared" si="76"/>
        <v>26302.044546328245</v>
      </c>
      <c r="P412" s="65">
        <f t="shared" si="77"/>
        <v>14608.179691869334</v>
      </c>
      <c r="Q412" s="65">
        <f t="shared" si="78"/>
        <v>15175.984083296293</v>
      </c>
      <c r="R412" s="119">
        <v>92688.3</v>
      </c>
      <c r="S412" s="66">
        <f t="shared" si="79"/>
        <v>23538.867264248707</v>
      </c>
      <c r="T412" s="66">
        <f t="shared" si="71"/>
        <v>24351.461093683607</v>
      </c>
      <c r="U412" s="66">
        <f t="shared" si="72"/>
        <v>23740.317681588436</v>
      </c>
      <c r="V412" s="66">
        <f t="shared" si="73"/>
        <v>21176.275951227424</v>
      </c>
      <c r="W412" s="66">
        <v>96590.1</v>
      </c>
      <c r="X412" s="66">
        <v>100550.3</v>
      </c>
      <c r="Y412" s="879"/>
      <c r="Z412" s="906"/>
    </row>
    <row r="413" spans="1:33">
      <c r="A413" s="15" t="s">
        <v>47</v>
      </c>
      <c r="B413" s="535" t="s">
        <v>33</v>
      </c>
      <c r="C413" s="808">
        <v>176</v>
      </c>
      <c r="D413" s="294" t="s">
        <v>487</v>
      </c>
      <c r="E413" s="294" t="s">
        <v>488</v>
      </c>
      <c r="F413" s="808">
        <v>6100302810</v>
      </c>
      <c r="G413" s="808">
        <v>244</v>
      </c>
      <c r="H413" s="5">
        <f>69227.1+3000</f>
        <v>72227.100000000006</v>
      </c>
      <c r="I413" s="5">
        <v>12694.047953128507</v>
      </c>
      <c r="J413" s="5">
        <v>21161.693964936323</v>
      </c>
      <c r="K413" s="5">
        <v>11328.78781971159</v>
      </c>
      <c r="L413" s="5">
        <f t="shared" si="74"/>
        <v>13669.754266494045</v>
      </c>
      <c r="M413" s="65">
        <f>87538-10</f>
        <v>87528</v>
      </c>
      <c r="N413" s="65">
        <f t="shared" si="75"/>
        <v>20285.210434019798</v>
      </c>
      <c r="O413" s="65">
        <f t="shared" si="76"/>
        <v>31534.006271433485</v>
      </c>
      <c r="P413" s="65">
        <f t="shared" si="77"/>
        <v>17514.016038039983</v>
      </c>
      <c r="Q413" s="65">
        <f t="shared" si="78"/>
        <v>18194.767194425076</v>
      </c>
      <c r="R413" s="119">
        <v>98202.1</v>
      </c>
      <c r="S413" s="66">
        <f t="shared" si="79"/>
        <v>24939.136837880054</v>
      </c>
      <c r="T413" s="66">
        <f t="shared" si="71"/>
        <v>25800.069884419361</v>
      </c>
      <c r="U413" s="66">
        <f t="shared" si="72"/>
        <v>25152.571047253172</v>
      </c>
      <c r="V413" s="66">
        <f t="shared" si="73"/>
        <v>22436.000752954045</v>
      </c>
      <c r="W413" s="66">
        <v>102485</v>
      </c>
      <c r="X413" s="66">
        <v>106686.9</v>
      </c>
      <c r="Y413" s="879"/>
      <c r="Z413" s="906"/>
    </row>
    <row r="414" spans="1:33">
      <c r="A414" s="15" t="s">
        <v>48</v>
      </c>
      <c r="B414" s="535" t="s">
        <v>33</v>
      </c>
      <c r="C414" s="808">
        <v>176</v>
      </c>
      <c r="D414" s="294" t="s">
        <v>487</v>
      </c>
      <c r="E414" s="294" t="s">
        <v>488</v>
      </c>
      <c r="F414" s="808">
        <v>6100302810</v>
      </c>
      <c r="G414" s="808">
        <v>244</v>
      </c>
      <c r="H414" s="5">
        <v>89482.4</v>
      </c>
      <c r="I414" s="5">
        <v>16408.225630728808</v>
      </c>
      <c r="J414" s="5">
        <v>27353.437657333874</v>
      </c>
      <c r="K414" s="5">
        <v>14643.50121843267</v>
      </c>
      <c r="L414" s="5">
        <f t="shared" si="74"/>
        <v>16935.505082941538</v>
      </c>
      <c r="M414" s="65">
        <f>120053.8-920.9</f>
        <v>119132.90000000001</v>
      </c>
      <c r="N414" s="65">
        <f t="shared" si="75"/>
        <v>27609.86137139015</v>
      </c>
      <c r="O414" s="65">
        <f t="shared" si="76"/>
        <v>42920.409648730223</v>
      </c>
      <c r="P414" s="65">
        <f t="shared" si="77"/>
        <v>23838.034928916615</v>
      </c>
      <c r="Q414" s="65">
        <f t="shared" si="78"/>
        <v>24764.593966464716</v>
      </c>
      <c r="R414" s="119">
        <v>156245.9</v>
      </c>
      <c r="S414" s="66">
        <f t="shared" si="79"/>
        <v>39679.78159792634</v>
      </c>
      <c r="T414" s="66">
        <f t="shared" si="71"/>
        <v>41049.581823138193</v>
      </c>
      <c r="U414" s="66">
        <f t="shared" si="72"/>
        <v>40019.369245586538</v>
      </c>
      <c r="V414" s="66">
        <f t="shared" si="73"/>
        <v>35697.130000743186</v>
      </c>
      <c r="W414" s="66">
        <v>163159.20000000001</v>
      </c>
      <c r="X414" s="66">
        <v>169848.69999999998</v>
      </c>
      <c r="Y414" s="879"/>
      <c r="Z414" s="906"/>
    </row>
    <row r="415" spans="1:33">
      <c r="A415" s="15" t="s">
        <v>49</v>
      </c>
      <c r="B415" s="535" t="s">
        <v>33</v>
      </c>
      <c r="C415" s="808">
        <v>176</v>
      </c>
      <c r="D415" s="294" t="s">
        <v>487</v>
      </c>
      <c r="E415" s="294" t="s">
        <v>488</v>
      </c>
      <c r="F415" s="808">
        <v>6100302810</v>
      </c>
      <c r="G415" s="808">
        <v>244</v>
      </c>
      <c r="H415" s="5">
        <f>92069.9+3000</f>
        <v>95069.9</v>
      </c>
      <c r="I415" s="5">
        <v>16882.690819632</v>
      </c>
      <c r="J415" s="5">
        <v>28144.397890165706</v>
      </c>
      <c r="K415" s="5">
        <v>15066.937105296392</v>
      </c>
      <c r="L415" s="5">
        <f t="shared" si="74"/>
        <v>17992.99945782348</v>
      </c>
      <c r="M415" s="65">
        <f>112892.8+2645.3</f>
        <v>115538.1</v>
      </c>
      <c r="N415" s="65">
        <f t="shared" si="75"/>
        <v>26776.741975674329</v>
      </c>
      <c r="O415" s="65">
        <f t="shared" si="76"/>
        <v>41625.298989917617</v>
      </c>
      <c r="P415" s="65">
        <f t="shared" si="77"/>
        <v>23118.729279826657</v>
      </c>
      <c r="Q415" s="65">
        <f t="shared" si="78"/>
        <v>24017.329672632804</v>
      </c>
      <c r="R415" s="119">
        <v>158854.19999999998</v>
      </c>
      <c r="S415" s="66">
        <f t="shared" si="79"/>
        <v>40342.178335004697</v>
      </c>
      <c r="T415" s="66">
        <f t="shared" si="71"/>
        <v>41734.8453997779</v>
      </c>
      <c r="U415" s="66">
        <f t="shared" si="72"/>
        <v>40687.434908770425</v>
      </c>
      <c r="V415" s="66">
        <f t="shared" si="73"/>
        <v>36293.042112234994</v>
      </c>
      <c r="W415" s="66">
        <v>174421.1</v>
      </c>
      <c r="X415" s="66">
        <v>181572.4</v>
      </c>
      <c r="Y415" s="879"/>
      <c r="Z415" s="906"/>
      <c r="AA415" s="278"/>
    </row>
    <row r="416" spans="1:33">
      <c r="A416" s="15" t="s">
        <v>50</v>
      </c>
      <c r="B416" s="535" t="s">
        <v>33</v>
      </c>
      <c r="C416" s="808">
        <v>176</v>
      </c>
      <c r="D416" s="294" t="s">
        <v>487</v>
      </c>
      <c r="E416" s="294" t="s">
        <v>488</v>
      </c>
      <c r="F416" s="808">
        <v>6100302810</v>
      </c>
      <c r="G416" s="808">
        <v>244</v>
      </c>
      <c r="H416" s="5">
        <f>62410+17000</f>
        <v>79410</v>
      </c>
      <c r="I416" s="5">
        <v>10504.063335702542</v>
      </c>
      <c r="J416" s="5">
        <v>17510.866078275882</v>
      </c>
      <c r="K416" s="5">
        <v>9374.3386833242857</v>
      </c>
      <c r="L416" s="5">
        <f t="shared" si="74"/>
        <v>15029.195223154356</v>
      </c>
      <c r="M416" s="65">
        <f>66959.2</f>
        <v>66959.199999999997</v>
      </c>
      <c r="N416" s="65">
        <f t="shared" si="75"/>
        <v>15518.250873933121</v>
      </c>
      <c r="O416" s="65">
        <f t="shared" si="76"/>
        <v>24123.615674186192</v>
      </c>
      <c r="P416" s="65">
        <f t="shared" si="77"/>
        <v>13398.278296023294</v>
      </c>
      <c r="Q416" s="65">
        <f t="shared" si="78"/>
        <v>13919.055108364724</v>
      </c>
      <c r="R416" s="119">
        <v>95962.1</v>
      </c>
      <c r="S416" s="66">
        <f t="shared" si="79"/>
        <v>24370.27256189358</v>
      </c>
      <c r="T416" s="66">
        <f t="shared" si="71"/>
        <v>25211.567637103883</v>
      </c>
      <c r="U416" s="66">
        <f t="shared" si="72"/>
        <v>24578.838315001547</v>
      </c>
      <c r="V416" s="66">
        <f t="shared" si="73"/>
        <v>21924.233268484601</v>
      </c>
      <c r="W416" s="66">
        <v>109888.4</v>
      </c>
      <c r="X416" s="66">
        <v>114393.8</v>
      </c>
      <c r="Y416" s="879"/>
      <c r="Z416" s="906"/>
    </row>
    <row r="417" spans="1:26">
      <c r="A417" s="15" t="s">
        <v>51</v>
      </c>
      <c r="B417" s="535" t="s">
        <v>33</v>
      </c>
      <c r="C417" s="808">
        <v>176</v>
      </c>
      <c r="D417" s="294" t="s">
        <v>487</v>
      </c>
      <c r="E417" s="294" t="s">
        <v>488</v>
      </c>
      <c r="F417" s="808">
        <v>6100302810</v>
      </c>
      <c r="G417" s="808">
        <v>244</v>
      </c>
      <c r="H417" s="5">
        <f>76064.5</f>
        <v>76064.5</v>
      </c>
      <c r="I417" s="5">
        <v>14022.623829333019</v>
      </c>
      <c r="J417" s="5">
        <v>23376.504890911117</v>
      </c>
      <c r="K417" s="5">
        <v>12514.473761617841</v>
      </c>
      <c r="L417" s="5">
        <f t="shared" si="74"/>
        <v>14396.023423392831</v>
      </c>
      <c r="M417" s="65">
        <f>96070.3+1580.9</f>
        <v>97651.199999999997</v>
      </c>
      <c r="N417" s="65">
        <f t="shared" si="75"/>
        <v>22631.331015612763</v>
      </c>
      <c r="O417" s="65">
        <f t="shared" si="76"/>
        <v>35181.12550512985</v>
      </c>
      <c r="P417" s="65">
        <f t="shared" si="77"/>
        <v>19539.629409261608</v>
      </c>
      <c r="Q417" s="65">
        <f t="shared" si="78"/>
        <v>20299.11400073396</v>
      </c>
      <c r="R417" s="119">
        <v>126617.70000000001</v>
      </c>
      <c r="S417" s="66">
        <f t="shared" si="79"/>
        <v>32155.484927487756</v>
      </c>
      <c r="T417" s="66">
        <f t="shared" si="71"/>
        <v>33265.536160677271</v>
      </c>
      <c r="U417" s="66">
        <f t="shared" si="72"/>
        <v>32430.678112685855</v>
      </c>
      <c r="V417" s="66">
        <f t="shared" si="73"/>
        <v>28928.045454601375</v>
      </c>
      <c r="W417" s="66">
        <v>132483.4</v>
      </c>
      <c r="X417" s="66">
        <v>137915.20000000001</v>
      </c>
      <c r="Y417" s="879"/>
      <c r="Z417" s="906"/>
    </row>
    <row r="418" spans="1:26">
      <c r="A418" s="15" t="s">
        <v>52</v>
      </c>
      <c r="B418" s="535" t="s">
        <v>33</v>
      </c>
      <c r="C418" s="808">
        <v>176</v>
      </c>
      <c r="D418" s="294" t="s">
        <v>487</v>
      </c>
      <c r="E418" s="294" t="s">
        <v>488</v>
      </c>
      <c r="F418" s="808">
        <v>6100302810</v>
      </c>
      <c r="G418" s="808">
        <v>244</v>
      </c>
      <c r="H418" s="5">
        <f>42387.9</f>
        <v>42387.9</v>
      </c>
      <c r="I418" s="5">
        <v>7916.9032210150081</v>
      </c>
      <c r="J418" s="5">
        <v>13197.924234392733</v>
      </c>
      <c r="K418" s="5">
        <v>7065.4307523681609</v>
      </c>
      <c r="L418" s="5">
        <f t="shared" si="74"/>
        <v>8022.3652461849215</v>
      </c>
      <c r="M418" s="65">
        <f>53249.1-249.5</f>
        <v>52999.6</v>
      </c>
      <c r="N418" s="65">
        <f t="shared" si="75"/>
        <v>12283.018450311622</v>
      </c>
      <c r="O418" s="65">
        <f t="shared" si="76"/>
        <v>19094.343738957432</v>
      </c>
      <c r="P418" s="65">
        <f t="shared" si="77"/>
        <v>10605.016045262131</v>
      </c>
      <c r="Q418" s="65">
        <f t="shared" si="78"/>
        <v>11017.221727877379</v>
      </c>
      <c r="R418" s="119">
        <v>68114.400000000009</v>
      </c>
      <c r="S418" s="66">
        <f t="shared" si="79"/>
        <v>17298.146803684413</v>
      </c>
      <c r="T418" s="66">
        <f t="shared" si="71"/>
        <v>17895.3024439935</v>
      </c>
      <c r="U418" s="66">
        <f t="shared" si="72"/>
        <v>17446.187865035688</v>
      </c>
      <c r="V418" s="66">
        <f t="shared" si="73"/>
        <v>15561.935332207899</v>
      </c>
      <c r="W418" s="66">
        <v>71893.100000000006</v>
      </c>
      <c r="X418" s="66">
        <v>74573.7</v>
      </c>
      <c r="Y418" s="879"/>
      <c r="Z418" s="906"/>
    </row>
    <row r="419" spans="1:26">
      <c r="A419" s="15" t="s">
        <v>53</v>
      </c>
      <c r="B419" s="535" t="s">
        <v>33</v>
      </c>
      <c r="C419" s="808">
        <v>176</v>
      </c>
      <c r="D419" s="294" t="s">
        <v>487</v>
      </c>
      <c r="E419" s="294" t="s">
        <v>488</v>
      </c>
      <c r="F419" s="808">
        <v>6100302810</v>
      </c>
      <c r="G419" s="808">
        <v>244</v>
      </c>
      <c r="H419" s="5">
        <f>53794.4</f>
        <v>53794.400000000001</v>
      </c>
      <c r="I419" s="5">
        <v>9913.5077463763155</v>
      </c>
      <c r="J419" s="5">
        <v>16526.376599683335</v>
      </c>
      <c r="K419" s="5">
        <v>8847.2980583065801</v>
      </c>
      <c r="L419" s="5">
        <f t="shared" si="74"/>
        <v>10181.167856849954</v>
      </c>
      <c r="M419" s="65">
        <f>68743.2-390.7</f>
        <v>68352.5</v>
      </c>
      <c r="N419" s="65">
        <f t="shared" si="75"/>
        <v>15841.157643169479</v>
      </c>
      <c r="O419" s="65">
        <f t="shared" si="76"/>
        <v>24625.584540583099</v>
      </c>
      <c r="P419" s="65">
        <f t="shared" si="77"/>
        <v>13677.072265333698</v>
      </c>
      <c r="Q419" s="65">
        <f t="shared" si="78"/>
        <v>14208.685502432822</v>
      </c>
      <c r="R419" s="119">
        <v>95294.599999999991</v>
      </c>
      <c r="S419" s="66">
        <f t="shared" si="79"/>
        <v>24200.756086794929</v>
      </c>
      <c r="T419" s="66">
        <f t="shared" si="71"/>
        <v>25036.199221888219</v>
      </c>
      <c r="U419" s="66">
        <f t="shared" si="72"/>
        <v>24407.871083404239</v>
      </c>
      <c r="V419" s="66">
        <f t="shared" si="73"/>
        <v>21771.731127465242</v>
      </c>
      <c r="W419" s="66">
        <v>99455.3</v>
      </c>
      <c r="X419" s="66">
        <v>103532.9</v>
      </c>
      <c r="Y419" s="879"/>
      <c r="Z419" s="906"/>
    </row>
    <row r="420" spans="1:26">
      <c r="A420" s="15" t="s">
        <v>54</v>
      </c>
      <c r="B420" s="535" t="s">
        <v>33</v>
      </c>
      <c r="C420" s="808">
        <v>176</v>
      </c>
      <c r="D420" s="294" t="s">
        <v>487</v>
      </c>
      <c r="E420" s="294" t="s">
        <v>488</v>
      </c>
      <c r="F420" s="808">
        <v>6100302810</v>
      </c>
      <c r="G420" s="808">
        <v>244</v>
      </c>
      <c r="H420" s="5">
        <f>71918.3+4000</f>
        <v>75918.3</v>
      </c>
      <c r="I420" s="5">
        <v>13187.528423225614</v>
      </c>
      <c r="J420" s="5">
        <v>21984.353744104257</v>
      </c>
      <c r="K420" s="5">
        <v>11769.193871393776</v>
      </c>
      <c r="L420" s="5">
        <f t="shared" si="74"/>
        <v>14368.353503463033</v>
      </c>
      <c r="M420" s="65">
        <v>91165.1</v>
      </c>
      <c r="N420" s="65">
        <f t="shared" si="75"/>
        <v>21128.133142976629</v>
      </c>
      <c r="O420" s="65">
        <f t="shared" si="76"/>
        <v>32844.35649318916</v>
      </c>
      <c r="P420" s="65">
        <f t="shared" si="77"/>
        <v>18241.785754381672</v>
      </c>
      <c r="Q420" s="65">
        <f t="shared" si="78"/>
        <v>18950.824544791172</v>
      </c>
      <c r="R420" s="119">
        <v>149634.6</v>
      </c>
      <c r="S420" s="66">
        <f t="shared" si="79"/>
        <v>38000.793924788231</v>
      </c>
      <c r="T420" s="66">
        <f t="shared" si="71"/>
        <v>39312.633203639612</v>
      </c>
      <c r="U420" s="66">
        <f t="shared" si="72"/>
        <v>38326.012454186915</v>
      </c>
      <c r="V420" s="66">
        <f t="shared" si="73"/>
        <v>34186.661978389238</v>
      </c>
      <c r="W420" s="66">
        <v>152013.6</v>
      </c>
      <c r="X420" s="66">
        <v>158246.1</v>
      </c>
      <c r="Y420" s="879"/>
      <c r="Z420" s="906"/>
    </row>
    <row r="421" spans="1:26">
      <c r="A421" s="15" t="s">
        <v>55</v>
      </c>
      <c r="B421" s="535" t="s">
        <v>33</v>
      </c>
      <c r="C421" s="808">
        <v>176</v>
      </c>
      <c r="D421" s="294" t="s">
        <v>487</v>
      </c>
      <c r="E421" s="294" t="s">
        <v>488</v>
      </c>
      <c r="F421" s="808">
        <v>6100302810</v>
      </c>
      <c r="G421" s="808">
        <v>244</v>
      </c>
      <c r="H421" s="5">
        <f>85733.7</f>
        <v>85733.7</v>
      </c>
      <c r="I421" s="5">
        <v>15756.590097663971</v>
      </c>
      <c r="J421" s="5">
        <v>26267.124467221991</v>
      </c>
      <c r="K421" s="5">
        <v>14061.949871129242</v>
      </c>
      <c r="L421" s="5">
        <f t="shared" si="74"/>
        <v>16226.023353524099</v>
      </c>
      <c r="M421" s="65">
        <v>105640</v>
      </c>
      <c r="N421" s="65">
        <f t="shared" si="75"/>
        <v>24482.789852959642</v>
      </c>
      <c r="O421" s="65">
        <f t="shared" si="76"/>
        <v>38059.277288573183</v>
      </c>
      <c r="P421" s="65">
        <f t="shared" si="77"/>
        <v>21138.157552537974</v>
      </c>
      <c r="Q421" s="65">
        <f t="shared" si="78"/>
        <v>21959.775231001109</v>
      </c>
      <c r="R421" s="119">
        <v>132318.79999999999</v>
      </c>
      <c r="S421" s="66">
        <f t="shared" si="79"/>
        <v>33603.320697053146</v>
      </c>
      <c r="T421" s="66">
        <f t="shared" si="71"/>
        <v>34763.353197360419</v>
      </c>
      <c r="U421" s="66">
        <f t="shared" si="72"/>
        <v>33890.904755471442</v>
      </c>
      <c r="V421" s="66">
        <f t="shared" si="73"/>
        <v>30230.562242864213</v>
      </c>
      <c r="W421" s="66">
        <v>138107.79999999999</v>
      </c>
      <c r="X421" s="66">
        <v>143770.20000000001</v>
      </c>
      <c r="Y421" s="879"/>
      <c r="Z421" s="906"/>
    </row>
    <row r="422" spans="1:26">
      <c r="A422" s="15" t="s">
        <v>56</v>
      </c>
      <c r="B422" s="535" t="s">
        <v>33</v>
      </c>
      <c r="C422" s="808">
        <v>176</v>
      </c>
      <c r="D422" s="294" t="s">
        <v>487</v>
      </c>
      <c r="E422" s="294" t="s">
        <v>488</v>
      </c>
      <c r="F422" s="808">
        <v>6100302810</v>
      </c>
      <c r="G422" s="808">
        <v>244</v>
      </c>
      <c r="H422" s="5">
        <f>75319.9</f>
        <v>75319.899999999994</v>
      </c>
      <c r="I422" s="5">
        <v>13811.273654751447</v>
      </c>
      <c r="J422" s="5">
        <v>23024.172228355761</v>
      </c>
      <c r="K422" s="5">
        <v>12325.854552651994</v>
      </c>
      <c r="L422" s="5">
        <f t="shared" si="74"/>
        <v>14255.099877703864</v>
      </c>
      <c r="M422" s="65">
        <v>90513.3</v>
      </c>
      <c r="N422" s="65">
        <f t="shared" si="75"/>
        <v>20977.074051475687</v>
      </c>
      <c r="O422" s="65">
        <f t="shared" si="76"/>
        <v>32609.530319990641</v>
      </c>
      <c r="P422" s="65">
        <f t="shared" si="77"/>
        <v>18111.363082167129</v>
      </c>
      <c r="Q422" s="65">
        <f t="shared" si="78"/>
        <v>18815.332482167483</v>
      </c>
      <c r="R422" s="119">
        <v>115904.4</v>
      </c>
      <c r="S422" s="66">
        <f t="shared" si="79"/>
        <v>29434.76454894941</v>
      </c>
      <c r="T422" s="66">
        <f t="shared" si="71"/>
        <v>30450.892800782214</v>
      </c>
      <c r="U422" s="66">
        <f t="shared" si="72"/>
        <v>29686.673255350444</v>
      </c>
      <c r="V422" s="66">
        <f t="shared" si="73"/>
        <v>26480.403226312748</v>
      </c>
      <c r="W422" s="66">
        <v>120737.9</v>
      </c>
      <c r="X422" s="66">
        <v>125688.2</v>
      </c>
      <c r="Y422" s="879"/>
      <c r="Z422" s="906"/>
    </row>
    <row r="423" spans="1:26">
      <c r="A423" s="15" t="s">
        <v>57</v>
      </c>
      <c r="B423" s="535" t="s">
        <v>33</v>
      </c>
      <c r="C423" s="808">
        <v>176</v>
      </c>
      <c r="D423" s="294" t="s">
        <v>487</v>
      </c>
      <c r="E423" s="294" t="s">
        <v>488</v>
      </c>
      <c r="F423" s="808">
        <v>6100302810</v>
      </c>
      <c r="G423" s="808">
        <v>244</v>
      </c>
      <c r="H423" s="5">
        <f>68239.8</f>
        <v>68239.8</v>
      </c>
      <c r="I423" s="5">
        <v>12537.029772932256</v>
      </c>
      <c r="J423" s="5">
        <v>20899.93580170003</v>
      </c>
      <c r="K423" s="5">
        <v>11188.657133751625</v>
      </c>
      <c r="L423" s="5">
        <f t="shared" si="74"/>
        <v>12915.114924933998</v>
      </c>
      <c r="M423" s="65">
        <v>72224</v>
      </c>
      <c r="N423" s="65">
        <f t="shared" si="75"/>
        <v>16738.404149376722</v>
      </c>
      <c r="O423" s="65">
        <f t="shared" si="76"/>
        <v>26020.382836898047</v>
      </c>
      <c r="P423" s="65">
        <f t="shared" si="77"/>
        <v>14451.744519826796</v>
      </c>
      <c r="Q423" s="65">
        <f t="shared" si="78"/>
        <v>15013.468442671563</v>
      </c>
      <c r="R423" s="119">
        <v>78584.900000000009</v>
      </c>
      <c r="S423" s="66">
        <f t="shared" si="79"/>
        <v>19957.206358022082</v>
      </c>
      <c r="T423" s="66">
        <f t="shared" si="71"/>
        <v>20646.156363867034</v>
      </c>
      <c r="U423" s="66">
        <f t="shared" si="72"/>
        <v>20128.004192285967</v>
      </c>
      <c r="V423" s="66">
        <f t="shared" si="73"/>
        <v>17954.105620662071</v>
      </c>
      <c r="W423" s="66">
        <v>82813.7</v>
      </c>
      <c r="X423" s="66">
        <v>86209.099999999991</v>
      </c>
      <c r="Y423" s="879"/>
      <c r="Z423" s="906"/>
    </row>
    <row r="424" spans="1:26">
      <c r="A424" s="15" t="s">
        <v>58</v>
      </c>
      <c r="B424" s="535" t="s">
        <v>33</v>
      </c>
      <c r="C424" s="808">
        <v>176</v>
      </c>
      <c r="D424" s="294" t="s">
        <v>487</v>
      </c>
      <c r="E424" s="294" t="s">
        <v>488</v>
      </c>
      <c r="F424" s="808">
        <v>6100302810</v>
      </c>
      <c r="G424" s="808">
        <v>244</v>
      </c>
      <c r="H424" s="5">
        <f>82221.6+2500+1500</f>
        <v>86221.6</v>
      </c>
      <c r="I424" s="5">
        <v>15110.198894803052</v>
      </c>
      <c r="J424" s="5">
        <v>25189.553871374457</v>
      </c>
      <c r="K424" s="5">
        <v>13485.078820005258</v>
      </c>
      <c r="L424" s="5">
        <f t="shared" si="74"/>
        <v>16318.363667708423</v>
      </c>
      <c r="M424" s="65">
        <v>104013.8</v>
      </c>
      <c r="N424" s="65">
        <f t="shared" si="75"/>
        <v>24105.906921694183</v>
      </c>
      <c r="O424" s="65">
        <f t="shared" si="76"/>
        <v>37473.400757650452</v>
      </c>
      <c r="P424" s="65">
        <f t="shared" si="77"/>
        <v>20812.761189304943</v>
      </c>
      <c r="Q424" s="65">
        <f t="shared" si="78"/>
        <v>21621.731057575758</v>
      </c>
      <c r="R424" s="119">
        <v>109965.59999999999</v>
      </c>
      <c r="S424" s="66">
        <f t="shared" si="79"/>
        <v>27926.563137240268</v>
      </c>
      <c r="T424" s="66">
        <f t="shared" si="71"/>
        <v>28890.626217587051</v>
      </c>
      <c r="U424" s="66">
        <f t="shared" si="72"/>
        <v>28165.564348968328</v>
      </c>
      <c r="V424" s="66">
        <f t="shared" si="73"/>
        <v>25123.579683113127</v>
      </c>
      <c r="W424" s="66">
        <v>108453.8</v>
      </c>
      <c r="X424" s="66">
        <v>112900.40000000001</v>
      </c>
      <c r="Y424" s="879"/>
      <c r="Z424" s="906"/>
    </row>
    <row r="425" spans="1:26">
      <c r="A425" s="15" t="s">
        <v>59</v>
      </c>
      <c r="B425" s="535" t="s">
        <v>33</v>
      </c>
      <c r="C425" s="808">
        <v>176</v>
      </c>
      <c r="D425" s="294" t="s">
        <v>487</v>
      </c>
      <c r="E425" s="294" t="s">
        <v>488</v>
      </c>
      <c r="F425" s="808">
        <v>6100302810</v>
      </c>
      <c r="G425" s="808">
        <v>244</v>
      </c>
      <c r="H425" s="5">
        <v>54652.5</v>
      </c>
      <c r="I425" s="5">
        <v>10021.529946485636</v>
      </c>
      <c r="J425" s="5">
        <v>16706.455700421979</v>
      </c>
      <c r="K425" s="5">
        <v>8943.702340799884</v>
      </c>
      <c r="L425" s="5">
        <f t="shared" si="74"/>
        <v>10343.572496328467</v>
      </c>
      <c r="M425" s="65">
        <v>69109.7</v>
      </c>
      <c r="N425" s="65">
        <f t="shared" si="75"/>
        <v>16016.643902887967</v>
      </c>
      <c r="O425" s="65">
        <f t="shared" si="76"/>
        <v>24898.38352546484</v>
      </c>
      <c r="P425" s="65">
        <f t="shared" si="77"/>
        <v>13828.585072024172</v>
      </c>
      <c r="Q425" s="65">
        <f t="shared" si="78"/>
        <v>14366.08745060505</v>
      </c>
      <c r="R425" s="119">
        <v>87159.6</v>
      </c>
      <c r="S425" s="66">
        <f t="shared" si="79"/>
        <v>22134.813727352983</v>
      </c>
      <c r="T425" s="66">
        <f t="shared" si="71"/>
        <v>22898.937712106337</v>
      </c>
      <c r="U425" s="66">
        <f t="shared" si="72"/>
        <v>22324.247968731499</v>
      </c>
      <c r="V425" s="66">
        <f t="shared" si="73"/>
        <v>19913.146981858572</v>
      </c>
      <c r="W425" s="66">
        <v>88315.8</v>
      </c>
      <c r="X425" s="66">
        <v>91936.7</v>
      </c>
      <c r="Y425" s="879"/>
      <c r="Z425" s="906"/>
    </row>
    <row r="426" spans="1:26">
      <c r="A426" s="15" t="s">
        <v>60</v>
      </c>
      <c r="B426" s="535" t="s">
        <v>33</v>
      </c>
      <c r="C426" s="808">
        <v>176</v>
      </c>
      <c r="D426" s="294" t="s">
        <v>487</v>
      </c>
      <c r="E426" s="294" t="s">
        <v>488</v>
      </c>
      <c r="F426" s="808">
        <v>6100302810</v>
      </c>
      <c r="G426" s="808">
        <v>244</v>
      </c>
      <c r="H426" s="5">
        <f>145550.2</f>
        <v>145550.20000000001</v>
      </c>
      <c r="I426" s="5">
        <v>27037.67613403406</v>
      </c>
      <c r="J426" s="5">
        <v>45073.331216657258</v>
      </c>
      <c r="K426" s="5">
        <v>24129.741528592673</v>
      </c>
      <c r="L426" s="5">
        <f t="shared" si="74"/>
        <v>27546.938302092451</v>
      </c>
      <c r="M426" s="65">
        <v>206408.7</v>
      </c>
      <c r="N426" s="65">
        <f t="shared" si="75"/>
        <v>47836.622736866622</v>
      </c>
      <c r="O426" s="65">
        <f t="shared" si="76"/>
        <v>74363.554979874243</v>
      </c>
      <c r="P426" s="65">
        <f t="shared" si="77"/>
        <v>41301.58671729028</v>
      </c>
      <c r="Q426" s="65">
        <f t="shared" si="78"/>
        <v>42906.935419567766</v>
      </c>
      <c r="R426" s="119">
        <v>312813</v>
      </c>
      <c r="S426" s="66">
        <f t="shared" si="79"/>
        <v>79441.134269712886</v>
      </c>
      <c r="T426" s="66">
        <f t="shared" si="71"/>
        <v>82183.550664953931</v>
      </c>
      <c r="U426" s="66">
        <f t="shared" si="72"/>
        <v>80121.007666887017</v>
      </c>
      <c r="V426" s="66">
        <f t="shared" si="73"/>
        <v>71467.643803277271</v>
      </c>
      <c r="W426" s="66">
        <v>290137.5</v>
      </c>
      <c r="X426" s="66">
        <v>302033.2</v>
      </c>
      <c r="Y426" s="879"/>
      <c r="Z426" s="906"/>
    </row>
    <row r="427" spans="1:26">
      <c r="A427" s="15" t="s">
        <v>61</v>
      </c>
      <c r="B427" s="535" t="s">
        <v>33</v>
      </c>
      <c r="C427" s="808">
        <v>176</v>
      </c>
      <c r="D427" s="294" t="s">
        <v>487</v>
      </c>
      <c r="E427" s="294" t="s">
        <v>488</v>
      </c>
      <c r="F427" s="808">
        <v>6100302810</v>
      </c>
      <c r="G427" s="808">
        <v>244</v>
      </c>
      <c r="H427" s="5">
        <f>124792.5</f>
        <v>124792.5</v>
      </c>
      <c r="I427" s="5">
        <v>22981.810173147878</v>
      </c>
      <c r="J427" s="5">
        <v>38311.973882575126</v>
      </c>
      <c r="K427" s="5">
        <v>20510.088832641883</v>
      </c>
      <c r="L427" s="5">
        <f t="shared" si="74"/>
        <v>23618.320676054529</v>
      </c>
      <c r="M427" s="65">
        <v>155268.79999999999</v>
      </c>
      <c r="N427" s="65">
        <f t="shared" si="75"/>
        <v>35984.602433938089</v>
      </c>
      <c r="O427" s="65">
        <f t="shared" si="76"/>
        <v>55939.211600378752</v>
      </c>
      <c r="P427" s="65">
        <f t="shared" si="77"/>
        <v>31068.689486875315</v>
      </c>
      <c r="Q427" s="65">
        <f t="shared" si="78"/>
        <v>32276.296368679145</v>
      </c>
      <c r="R427" s="119">
        <v>196954.2</v>
      </c>
      <c r="S427" s="66">
        <f t="shared" si="79"/>
        <v>50017.950172096076</v>
      </c>
      <c r="T427" s="66">
        <f t="shared" si="71"/>
        <v>51744.63808849208</v>
      </c>
      <c r="U427" s="66">
        <f t="shared" si="72"/>
        <v>50446.01397072884</v>
      </c>
      <c r="V427" s="66">
        <f t="shared" si="73"/>
        <v>44997.658700755499</v>
      </c>
      <c r="W427" s="66">
        <v>203450.8</v>
      </c>
      <c r="X427" s="66">
        <v>214091.69999999998</v>
      </c>
      <c r="Y427" s="879"/>
      <c r="Z427" s="906"/>
    </row>
    <row r="428" spans="1:26">
      <c r="A428" s="15" t="s">
        <v>62</v>
      </c>
      <c r="B428" s="535" t="s">
        <v>33</v>
      </c>
      <c r="C428" s="808">
        <v>176</v>
      </c>
      <c r="D428" s="294" t="s">
        <v>487</v>
      </c>
      <c r="E428" s="294" t="s">
        <v>488</v>
      </c>
      <c r="F428" s="808">
        <v>6100302810</v>
      </c>
      <c r="G428" s="808">
        <v>244</v>
      </c>
      <c r="H428" s="5">
        <f>60253</f>
        <v>60253</v>
      </c>
      <c r="I428" s="5">
        <v>11048.483488689428</v>
      </c>
      <c r="J428" s="5">
        <v>18418.445182151328</v>
      </c>
      <c r="K428" s="5">
        <v>9860.2057937004774</v>
      </c>
      <c r="L428" s="5">
        <f t="shared" si="74"/>
        <v>11403.527260807448</v>
      </c>
      <c r="M428" s="65">
        <v>72667.5</v>
      </c>
      <c r="N428" s="65">
        <f t="shared" si="75"/>
        <v>16841.188296478082</v>
      </c>
      <c r="O428" s="65">
        <f t="shared" si="76"/>
        <v>26180.164070119194</v>
      </c>
      <c r="P428" s="65">
        <f t="shared" si="77"/>
        <v>14540.48716347078</v>
      </c>
      <c r="Q428" s="65">
        <f t="shared" si="78"/>
        <v>15105.660418390506</v>
      </c>
      <c r="R428" s="119">
        <v>83203.5</v>
      </c>
      <c r="S428" s="66">
        <f t="shared" si="79"/>
        <v>21130.133387071692</v>
      </c>
      <c r="T428" s="66">
        <f t="shared" si="71"/>
        <v>21859.574435050636</v>
      </c>
      <c r="U428" s="66">
        <f t="shared" si="72"/>
        <v>21310.969369597278</v>
      </c>
      <c r="V428" s="66">
        <f t="shared" si="73"/>
        <v>19009.306202702508</v>
      </c>
      <c r="W428" s="66">
        <v>86962.099999999991</v>
      </c>
      <c r="X428" s="66">
        <v>90527.599999999991</v>
      </c>
      <c r="Y428" s="879"/>
      <c r="Z428" s="906"/>
    </row>
    <row r="429" spans="1:26">
      <c r="A429" s="15" t="s">
        <v>63</v>
      </c>
      <c r="B429" s="535" t="s">
        <v>33</v>
      </c>
      <c r="C429" s="808">
        <v>176</v>
      </c>
      <c r="D429" s="294" t="s">
        <v>487</v>
      </c>
      <c r="E429" s="294" t="s">
        <v>488</v>
      </c>
      <c r="F429" s="808">
        <v>6100302810</v>
      </c>
      <c r="G429" s="808">
        <v>244</v>
      </c>
      <c r="H429" s="5">
        <f>56181.2</f>
        <v>56181.2</v>
      </c>
      <c r="I429" s="5">
        <v>10301.844896930585</v>
      </c>
      <c r="J429" s="5">
        <v>17173.756534404594</v>
      </c>
      <c r="K429" s="5">
        <v>9193.8690809925702</v>
      </c>
      <c r="L429" s="5">
        <f t="shared" si="74"/>
        <v>10632.895386866636</v>
      </c>
      <c r="M429" s="65">
        <v>70926.100000000006</v>
      </c>
      <c r="N429" s="65">
        <f t="shared" si="75"/>
        <v>16437.606980215834</v>
      </c>
      <c r="O429" s="65">
        <f t="shared" si="76"/>
        <v>25552.78404862808</v>
      </c>
      <c r="P429" s="65">
        <f t="shared" si="77"/>
        <v>14192.039723467093</v>
      </c>
      <c r="Q429" s="65">
        <f t="shared" si="78"/>
        <v>14743.669197382696</v>
      </c>
      <c r="R429" s="119">
        <v>107011</v>
      </c>
      <c r="S429" s="66">
        <f t="shared" si="79"/>
        <v>27176.220998923469</v>
      </c>
      <c r="T429" s="66">
        <f t="shared" si="71"/>
        <v>28114.381244409233</v>
      </c>
      <c r="U429" s="66">
        <f t="shared" si="72"/>
        <v>27408.800629901078</v>
      </c>
      <c r="V429" s="66">
        <f t="shared" si="73"/>
        <v>24448.549232392848</v>
      </c>
      <c r="W429" s="66">
        <v>111836.2</v>
      </c>
      <c r="X429" s="66">
        <v>116421.5</v>
      </c>
      <c r="Y429" s="879"/>
      <c r="Z429" s="906"/>
    </row>
    <row r="430" spans="1:26">
      <c r="A430" s="15" t="s">
        <v>64</v>
      </c>
      <c r="B430" s="535" t="s">
        <v>33</v>
      </c>
      <c r="C430" s="808">
        <v>176</v>
      </c>
      <c r="D430" s="294" t="s">
        <v>487</v>
      </c>
      <c r="E430" s="294" t="s">
        <v>488</v>
      </c>
      <c r="F430" s="808">
        <v>6100302810</v>
      </c>
      <c r="G430" s="808">
        <v>244</v>
      </c>
      <c r="H430" s="5">
        <f>111652.9</f>
        <v>111652.9</v>
      </c>
      <c r="I430" s="5">
        <v>20473.590063802498</v>
      </c>
      <c r="J430" s="5">
        <v>34130.629480328345</v>
      </c>
      <c r="K430" s="5">
        <v>18271.630814456708</v>
      </c>
      <c r="L430" s="5">
        <f t="shared" si="74"/>
        <v>21131.510279956317</v>
      </c>
      <c r="M430" s="65">
        <v>136082.6</v>
      </c>
      <c r="N430" s="65">
        <f t="shared" si="75"/>
        <v>31538.069845175745</v>
      </c>
      <c r="O430" s="65">
        <f t="shared" si="76"/>
        <v>49026.93494462315</v>
      </c>
      <c r="P430" s="65">
        <f t="shared" si="77"/>
        <v>27229.604685337032</v>
      </c>
      <c r="Q430" s="65">
        <f t="shared" si="78"/>
        <v>28287.990428343728</v>
      </c>
      <c r="R430" s="119">
        <v>125548.7</v>
      </c>
      <c r="S430" s="66">
        <f t="shared" si="79"/>
        <v>31884.00461006385</v>
      </c>
      <c r="T430" s="66">
        <f t="shared" si="71"/>
        <v>32984.683972114653</v>
      </c>
      <c r="U430" s="66">
        <f t="shared" si="72"/>
        <v>32156.87441144613</v>
      </c>
      <c r="V430" s="66">
        <f t="shared" si="73"/>
        <v>28683.81356134341</v>
      </c>
      <c r="W430" s="66">
        <v>130858.79999999999</v>
      </c>
      <c r="X430" s="66">
        <v>136224</v>
      </c>
      <c r="Y430" s="879"/>
      <c r="Z430" s="906"/>
    </row>
    <row r="431" spans="1:26">
      <c r="A431" s="15" t="s">
        <v>65</v>
      </c>
      <c r="B431" s="535" t="s">
        <v>33</v>
      </c>
      <c r="C431" s="808">
        <v>176</v>
      </c>
      <c r="D431" s="294" t="s">
        <v>487</v>
      </c>
      <c r="E431" s="294" t="s">
        <v>488</v>
      </c>
      <c r="F431" s="808">
        <v>6100302810</v>
      </c>
      <c r="G431" s="808">
        <v>244</v>
      </c>
      <c r="H431" s="5">
        <f>175749.4</f>
        <v>175749.4</v>
      </c>
      <c r="I431" s="5">
        <v>32226.849186713916</v>
      </c>
      <c r="J431" s="5">
        <v>53723.975398668721</v>
      </c>
      <c r="K431" s="5">
        <v>28760.812774789349</v>
      </c>
      <c r="L431" s="5">
        <f t="shared" si="74"/>
        <v>33262.461188165777</v>
      </c>
      <c r="M431" s="65">
        <v>219750</v>
      </c>
      <c r="N431" s="65">
        <f t="shared" si="75"/>
        <v>50928.559922263164</v>
      </c>
      <c r="O431" s="65">
        <f t="shared" si="76"/>
        <v>79170.069899318027</v>
      </c>
      <c r="P431" s="65">
        <f t="shared" si="77"/>
        <v>43971.129516946421</v>
      </c>
      <c r="Q431" s="65">
        <f t="shared" si="78"/>
        <v>45680.240505608614</v>
      </c>
      <c r="R431" s="119">
        <v>239664.30000000002</v>
      </c>
      <c r="S431" s="66">
        <f t="shared" si="79"/>
        <v>60864.490401475494</v>
      </c>
      <c r="T431" s="66">
        <f t="shared" si="71"/>
        <v>62965.615692540654</v>
      </c>
      <c r="U431" s="66">
        <f t="shared" si="72"/>
        <v>61385.381099184211</v>
      </c>
      <c r="V431" s="66">
        <f t="shared" si="73"/>
        <v>54755.533896486988</v>
      </c>
      <c r="W431" s="66">
        <v>250147.09999999998</v>
      </c>
      <c r="X431" s="66">
        <v>260403.09999999998</v>
      </c>
      <c r="Y431" s="879"/>
      <c r="Z431" s="906"/>
    </row>
    <row r="432" spans="1:26">
      <c r="A432" s="15" t="s">
        <v>66</v>
      </c>
      <c r="B432" s="535" t="s">
        <v>33</v>
      </c>
      <c r="C432" s="808">
        <v>176</v>
      </c>
      <c r="D432" s="294" t="s">
        <v>487</v>
      </c>
      <c r="E432" s="294" t="s">
        <v>488</v>
      </c>
      <c r="F432" s="808">
        <v>6100302810</v>
      </c>
      <c r="G432" s="808">
        <v>244</v>
      </c>
      <c r="H432" s="5">
        <f>45922.1</f>
        <v>45922.1</v>
      </c>
      <c r="I432" s="5">
        <v>8420.6523096932069</v>
      </c>
      <c r="J432" s="5">
        <v>14037.702379952392</v>
      </c>
      <c r="K432" s="5">
        <v>7515.0010203457541</v>
      </c>
      <c r="L432" s="5">
        <f t="shared" si="74"/>
        <v>8691.2505472511857</v>
      </c>
      <c r="M432" s="65">
        <v>55389.7</v>
      </c>
      <c r="N432" s="65">
        <f t="shared" si="75"/>
        <v>12836.94041195076</v>
      </c>
      <c r="O432" s="65">
        <f t="shared" si="76"/>
        <v>19955.433086244622</v>
      </c>
      <c r="P432" s="65">
        <f t="shared" si="77"/>
        <v>11083.26585940754</v>
      </c>
      <c r="Q432" s="65">
        <f t="shared" si="78"/>
        <v>11514.060603110394</v>
      </c>
      <c r="R432" s="119">
        <v>52273.4</v>
      </c>
      <c r="S432" s="66">
        <f t="shared" si="79"/>
        <v>13275.209751942568</v>
      </c>
      <c r="T432" s="66">
        <f t="shared" si="71"/>
        <v>13733.488113759349</v>
      </c>
      <c r="U432" s="66">
        <f t="shared" si="72"/>
        <v>13388.821699143742</v>
      </c>
      <c r="V432" s="66">
        <f t="shared" si="73"/>
        <v>11942.779652975529</v>
      </c>
      <c r="W432" s="66">
        <v>65135.4</v>
      </c>
      <c r="X432" s="66">
        <v>66784.399999999994</v>
      </c>
      <c r="Y432" s="879"/>
      <c r="Z432" s="906"/>
    </row>
    <row r="433" spans="1:32">
      <c r="A433" s="15" t="s">
        <v>67</v>
      </c>
      <c r="B433" s="535" t="s">
        <v>33</v>
      </c>
      <c r="C433" s="808">
        <v>176</v>
      </c>
      <c r="D433" s="294" t="s">
        <v>487</v>
      </c>
      <c r="E433" s="294" t="s">
        <v>488</v>
      </c>
      <c r="F433" s="808">
        <v>6100302810</v>
      </c>
      <c r="G433" s="808">
        <v>244</v>
      </c>
      <c r="H433" s="5">
        <f>72478.2</f>
        <v>72478.2</v>
      </c>
      <c r="I433" s="5">
        <v>13290.19627221765</v>
      </c>
      <c r="J433" s="5">
        <v>22155.506839510072</v>
      </c>
      <c r="K433" s="5">
        <v>11860.819669675899</v>
      </c>
      <c r="L433" s="5">
        <f t="shared" si="74"/>
        <v>13717.277637864578</v>
      </c>
      <c r="M433" s="65">
        <v>89140.800000000003</v>
      </c>
      <c r="N433" s="65">
        <f t="shared" si="75"/>
        <v>20658.987823974861</v>
      </c>
      <c r="O433" s="65">
        <f t="shared" si="76"/>
        <v>32115.055139390806</v>
      </c>
      <c r="P433" s="65">
        <f t="shared" si="77"/>
        <v>17836.731112829206</v>
      </c>
      <c r="Q433" s="65">
        <f t="shared" si="78"/>
        <v>18530.02586057955</v>
      </c>
      <c r="R433" s="119">
        <v>91542.8</v>
      </c>
      <c r="S433" s="66">
        <f t="shared" si="79"/>
        <v>23247.959215970797</v>
      </c>
      <c r="T433" s="66">
        <f t="shared" si="71"/>
        <v>24050.510502478301</v>
      </c>
      <c r="U433" s="66">
        <f t="shared" si="72"/>
        <v>23446.919983019583</v>
      </c>
      <c r="V433" s="66">
        <f t="shared" si="73"/>
        <v>20914.566284504323</v>
      </c>
      <c r="W433" s="66">
        <v>95568.3</v>
      </c>
      <c r="X433" s="66">
        <v>99486.599999999991</v>
      </c>
      <c r="Y433" s="879"/>
      <c r="Z433" s="906"/>
    </row>
    <row r="434" spans="1:32">
      <c r="A434" s="15" t="s">
        <v>68</v>
      </c>
      <c r="B434" s="535" t="s">
        <v>33</v>
      </c>
      <c r="C434" s="808">
        <v>176</v>
      </c>
      <c r="D434" s="294" t="s">
        <v>487</v>
      </c>
      <c r="E434" s="294" t="s">
        <v>488</v>
      </c>
      <c r="F434" s="808">
        <v>6100302810</v>
      </c>
      <c r="G434" s="808">
        <v>244</v>
      </c>
      <c r="H434" s="5">
        <v>64941.3</v>
      </c>
      <c r="I434" s="5">
        <v>11557.770296673862</v>
      </c>
      <c r="J434" s="5">
        <v>19267.455018157951</v>
      </c>
      <c r="K434" s="5">
        <v>10314.718192608811</v>
      </c>
      <c r="L434" s="5">
        <f t="shared" si="74"/>
        <v>12290.838379869465</v>
      </c>
      <c r="M434" s="65">
        <v>76108.100000000006</v>
      </c>
      <c r="N434" s="65">
        <f t="shared" si="75"/>
        <v>17638.570791442991</v>
      </c>
      <c r="O434" s="65">
        <f t="shared" si="76"/>
        <v>27419.72057749391</v>
      </c>
      <c r="P434" s="65">
        <f t="shared" si="77"/>
        <v>15228.937985841685</v>
      </c>
      <c r="Q434" s="65">
        <f t="shared" si="78"/>
        <v>15820.87059123964</v>
      </c>
      <c r="R434" s="119">
        <v>111065.40000000001</v>
      </c>
      <c r="S434" s="66">
        <f t="shared" si="79"/>
        <v>28205.865338458989</v>
      </c>
      <c r="T434" s="66">
        <f t="shared" si="71"/>
        <v>29179.570312050255</v>
      </c>
      <c r="U434" s="66">
        <f t="shared" si="72"/>
        <v>28447.256875276518</v>
      </c>
      <c r="V434" s="66">
        <f t="shared" si="73"/>
        <v>25374.848379282543</v>
      </c>
      <c r="W434" s="66">
        <v>115875.1</v>
      </c>
      <c r="X434" s="66">
        <v>120626</v>
      </c>
      <c r="Y434" s="879"/>
      <c r="Z434" s="906"/>
    </row>
    <row r="435" spans="1:32">
      <c r="A435" s="15" t="s">
        <v>69</v>
      </c>
      <c r="B435" s="535" t="s">
        <v>33</v>
      </c>
      <c r="C435" s="808">
        <v>176</v>
      </c>
      <c r="D435" s="294" t="s">
        <v>487</v>
      </c>
      <c r="E435" s="294" t="s">
        <v>488</v>
      </c>
      <c r="F435" s="808">
        <v>6100302810</v>
      </c>
      <c r="G435" s="808">
        <v>244</v>
      </c>
      <c r="H435" s="5">
        <f>70365.7</f>
        <v>70365.7</v>
      </c>
      <c r="I435" s="5">
        <v>12902.830973064805</v>
      </c>
      <c r="J435" s="5">
        <v>21509.747035893739</v>
      </c>
      <c r="K435" s="5">
        <v>11515.115974603583</v>
      </c>
      <c r="L435" s="5">
        <f t="shared" si="74"/>
        <v>13317.464328345455</v>
      </c>
      <c r="M435" s="65">
        <v>88270.1</v>
      </c>
      <c r="N435" s="65">
        <f t="shared" si="75"/>
        <v>20457.197165843743</v>
      </c>
      <c r="O435" s="65">
        <f t="shared" si="76"/>
        <v>31801.365128645244</v>
      </c>
      <c r="P435" s="65">
        <f t="shared" si="77"/>
        <v>17662.50739282736</v>
      </c>
      <c r="Q435" s="65">
        <f t="shared" si="78"/>
        <v>18349.030250075644</v>
      </c>
      <c r="R435" s="119">
        <v>119230.6</v>
      </c>
      <c r="S435" s="66">
        <f t="shared" si="79"/>
        <v>30279.477207336109</v>
      </c>
      <c r="T435" s="66">
        <f t="shared" si="71"/>
        <v>31324.766093202194</v>
      </c>
      <c r="U435" s="66">
        <f t="shared" si="72"/>
        <v>30538.615136607303</v>
      </c>
      <c r="V435" s="66">
        <f t="shared" si="73"/>
        <v>27240.33224722448</v>
      </c>
      <c r="W435" s="66">
        <v>124379.3</v>
      </c>
      <c r="X435" s="66">
        <v>129478.8</v>
      </c>
      <c r="Y435" s="879"/>
      <c r="Z435" s="906"/>
    </row>
    <row r="436" spans="1:32">
      <c r="A436" s="15" t="s">
        <v>70</v>
      </c>
      <c r="B436" s="535" t="s">
        <v>33</v>
      </c>
      <c r="C436" s="808">
        <v>176</v>
      </c>
      <c r="D436" s="294" t="s">
        <v>487</v>
      </c>
      <c r="E436" s="294" t="s">
        <v>488</v>
      </c>
      <c r="F436" s="808">
        <v>6100302810</v>
      </c>
      <c r="G436" s="808">
        <v>244</v>
      </c>
      <c r="H436" s="5">
        <f>57216.1</f>
        <v>57216.1</v>
      </c>
      <c r="I436" s="5">
        <v>10491.612635672966</v>
      </c>
      <c r="J436" s="5">
        <v>17490.110059025916</v>
      </c>
      <c r="K436" s="5">
        <v>9363.2270710661032</v>
      </c>
      <c r="L436" s="5">
        <f t="shared" si="74"/>
        <v>10828.761324864905</v>
      </c>
      <c r="M436" s="65">
        <v>71973.7</v>
      </c>
      <c r="N436" s="65">
        <f t="shared" si="75"/>
        <v>16680.395418780397</v>
      </c>
      <c r="O436" s="65">
        <f t="shared" si="76"/>
        <v>25930.206415984278</v>
      </c>
      <c r="P436" s="65">
        <f t="shared" si="77"/>
        <v>14401.660452850267</v>
      </c>
      <c r="Q436" s="65">
        <f t="shared" si="78"/>
        <v>14961.437661335711</v>
      </c>
      <c r="R436" s="119">
        <v>81317.5</v>
      </c>
      <c r="S436" s="66">
        <f t="shared" si="79"/>
        <v>20651.169983272368</v>
      </c>
      <c r="T436" s="66">
        <f t="shared" si="71"/>
        <v>21364.07656074841</v>
      </c>
      <c r="U436" s="66">
        <f t="shared" si="72"/>
        <v>20827.906899496134</v>
      </c>
      <c r="V436" s="66">
        <f t="shared" si="73"/>
        <v>18578.416258189394</v>
      </c>
      <c r="W436" s="66">
        <v>84711</v>
      </c>
      <c r="X436" s="66">
        <v>88184.2</v>
      </c>
      <c r="Y436" s="879"/>
      <c r="Z436" s="906"/>
      <c r="AA436" s="278" t="e">
        <f>#REF!-R438-R439-R444</f>
        <v>#REF!</v>
      </c>
    </row>
    <row r="437" spans="1:32">
      <c r="A437" s="15" t="s">
        <v>71</v>
      </c>
      <c r="B437" s="535" t="s">
        <v>33</v>
      </c>
      <c r="C437" s="808">
        <v>176</v>
      </c>
      <c r="D437" s="294" t="s">
        <v>487</v>
      </c>
      <c r="E437" s="294" t="s">
        <v>488</v>
      </c>
      <c r="F437" s="808">
        <v>6100302810</v>
      </c>
      <c r="G437" s="808">
        <v>244</v>
      </c>
      <c r="H437" s="5">
        <f>58329.3</f>
        <v>58329.3</v>
      </c>
      <c r="I437" s="5">
        <v>10695.738103609983</v>
      </c>
      <c r="J437" s="5">
        <v>17830.398728084238</v>
      </c>
      <c r="K437" s="5">
        <v>9545.3985992812522</v>
      </c>
      <c r="L437" s="5">
        <f t="shared" si="74"/>
        <v>11039.446378666888</v>
      </c>
      <c r="M437" s="65">
        <v>71199.600000000006</v>
      </c>
      <c r="N437" s="65">
        <f>M437*653500.912/2819770</f>
        <v>16500.99246890179</v>
      </c>
      <c r="O437" s="65">
        <f t="shared" si="76"/>
        <v>25651.318811392419</v>
      </c>
      <c r="P437" s="65">
        <f t="shared" si="77"/>
        <v>14246.766021182155</v>
      </c>
      <c r="Q437" s="65">
        <f t="shared" si="78"/>
        <v>14800.52264802335</v>
      </c>
      <c r="R437" s="119">
        <v>84984.7</v>
      </c>
      <c r="S437" s="66">
        <f t="shared" si="79"/>
        <v>21582.482069387366</v>
      </c>
      <c r="T437" s="66">
        <f t="shared" si="71"/>
        <v>22327.538811353461</v>
      </c>
      <c r="U437" s="66">
        <f t="shared" si="72"/>
        <v>21767.189344010938</v>
      </c>
      <c r="V437" s="66">
        <f t="shared" si="73"/>
        <v>19416.252739906518</v>
      </c>
      <c r="W437" s="66">
        <v>88715.7</v>
      </c>
      <c r="X437" s="66">
        <v>92353.1</v>
      </c>
      <c r="Y437" s="879"/>
      <c r="Z437" s="868"/>
      <c r="AA437" s="278" t="e">
        <f>#REF!-S438-S439-S440</f>
        <v>#REF!</v>
      </c>
    </row>
    <row r="438" spans="1:32" ht="146.25" customHeight="1">
      <c r="A438" s="810" t="s">
        <v>32</v>
      </c>
      <c r="B438" s="810" t="s">
        <v>33</v>
      </c>
      <c r="C438" s="816">
        <v>176</v>
      </c>
      <c r="D438" s="296" t="s">
        <v>487</v>
      </c>
      <c r="E438" s="296" t="s">
        <v>488</v>
      </c>
      <c r="F438" s="816">
        <v>6100302810</v>
      </c>
      <c r="G438" s="816">
        <v>244.85300000000001</v>
      </c>
      <c r="H438" s="16">
        <f>SUM(I438:L438)</f>
        <v>72422.377000000008</v>
      </c>
      <c r="I438" s="16">
        <v>24739.4</v>
      </c>
      <c r="J438" s="16">
        <v>12794.4</v>
      </c>
      <c r="K438" s="16">
        <v>24900.377</v>
      </c>
      <c r="L438" s="16">
        <v>9988.2000000000007</v>
      </c>
      <c r="M438" s="66">
        <v>134000</v>
      </c>
      <c r="N438" s="66">
        <f>5121.436</f>
        <v>5121.4359999999997</v>
      </c>
      <c r="O438" s="66">
        <v>49851.529000000002</v>
      </c>
      <c r="P438" s="66">
        <v>21576.395</v>
      </c>
      <c r="Q438" s="66">
        <f>48288.623+9162</f>
        <v>57450.623</v>
      </c>
      <c r="R438" s="834">
        <f>214307.5-1891.5</f>
        <v>212416</v>
      </c>
      <c r="S438" s="66">
        <v>23034.799999999999</v>
      </c>
      <c r="T438" s="66">
        <v>37736.400000000001</v>
      </c>
      <c r="U438" s="66">
        <v>37881.699999999997</v>
      </c>
      <c r="V438" s="66">
        <f>R438-S438-T438-U438</f>
        <v>113763.10000000002</v>
      </c>
      <c r="W438" s="66">
        <v>184533.1</v>
      </c>
      <c r="X438" s="66">
        <v>304084.2</v>
      </c>
      <c r="Y438" s="879"/>
      <c r="Z438" s="808" t="s">
        <v>473</v>
      </c>
      <c r="AA438" s="278" t="e">
        <f>#REF!-T438-T439</f>
        <v>#REF!</v>
      </c>
      <c r="AF438" s="71"/>
    </row>
    <row r="439" spans="1:32" ht="103.5" customHeight="1">
      <c r="A439" s="810" t="s">
        <v>72</v>
      </c>
      <c r="B439" s="810" t="s">
        <v>33</v>
      </c>
      <c r="C439" s="816">
        <v>176</v>
      </c>
      <c r="D439" s="296" t="s">
        <v>487</v>
      </c>
      <c r="E439" s="296" t="s">
        <v>488</v>
      </c>
      <c r="F439" s="816">
        <v>6100302810</v>
      </c>
      <c r="G439" s="816">
        <v>244</v>
      </c>
      <c r="H439" s="16">
        <v>2500</v>
      </c>
      <c r="I439" s="16">
        <v>0</v>
      </c>
      <c r="J439" s="16">
        <v>850</v>
      </c>
      <c r="K439" s="16">
        <v>1025</v>
      </c>
      <c r="L439" s="16">
        <v>625</v>
      </c>
      <c r="M439" s="66">
        <v>2665</v>
      </c>
      <c r="N439" s="66"/>
      <c r="O439" s="66">
        <v>906.1</v>
      </c>
      <c r="P439" s="66">
        <v>666.25</v>
      </c>
      <c r="Q439" s="66">
        <v>1092.6500000000001</v>
      </c>
      <c r="R439" s="66">
        <v>2665</v>
      </c>
      <c r="S439" s="66">
        <v>241.25</v>
      </c>
      <c r="T439" s="66">
        <v>1091.25</v>
      </c>
      <c r="U439" s="66">
        <v>666.25</v>
      </c>
      <c r="V439" s="66">
        <v>666.25</v>
      </c>
      <c r="W439" s="66">
        <v>2665</v>
      </c>
      <c r="X439" s="66">
        <v>2665</v>
      </c>
      <c r="Y439" s="880"/>
      <c r="Z439" s="808" t="s">
        <v>500</v>
      </c>
      <c r="AA439" s="278" t="e">
        <f>#REF!-U438-U439</f>
        <v>#REF!</v>
      </c>
    </row>
    <row r="440" spans="1:32" ht="24" hidden="1" customHeight="1">
      <c r="A440" s="289" t="s">
        <v>206</v>
      </c>
      <c r="B440" s="535" t="s">
        <v>33</v>
      </c>
      <c r="C440" s="808">
        <v>176</v>
      </c>
      <c r="D440" s="294" t="s">
        <v>487</v>
      </c>
      <c r="E440" s="294" t="s">
        <v>488</v>
      </c>
      <c r="F440" s="808">
        <v>6100302810</v>
      </c>
      <c r="G440" s="808">
        <v>244</v>
      </c>
      <c r="H440" s="22">
        <v>216211.6</v>
      </c>
      <c r="I440" s="22">
        <v>216211.6</v>
      </c>
      <c r="J440" s="22"/>
      <c r="K440" s="22"/>
      <c r="L440" s="22"/>
      <c r="M440" s="60">
        <v>10944.1</v>
      </c>
      <c r="N440" s="60">
        <v>10944.1</v>
      </c>
      <c r="O440" s="60"/>
      <c r="P440" s="60"/>
      <c r="Q440" s="60"/>
      <c r="R440" s="60"/>
      <c r="S440" s="60"/>
      <c r="T440" s="60"/>
      <c r="U440" s="60"/>
      <c r="V440" s="60"/>
      <c r="W440" s="60"/>
      <c r="X440" s="60"/>
      <c r="Y440" s="808"/>
      <c r="Z440" s="808" t="s">
        <v>470</v>
      </c>
      <c r="AA440" s="278" t="e">
        <f>#REF!-V438-V439</f>
        <v>#REF!</v>
      </c>
    </row>
    <row r="441" spans="1:32" ht="18" hidden="1" customHeight="1">
      <c r="A441" s="282"/>
      <c r="B441" s="535"/>
      <c r="C441" s="808"/>
      <c r="D441" s="294"/>
      <c r="E441" s="808"/>
      <c r="F441" s="808"/>
      <c r="G441" s="808"/>
      <c r="H441" s="24"/>
      <c r="I441" s="24"/>
      <c r="J441" s="24"/>
      <c r="K441" s="24"/>
      <c r="L441" s="24"/>
      <c r="M441" s="60"/>
      <c r="N441" s="60"/>
      <c r="O441" s="60"/>
      <c r="P441" s="60"/>
      <c r="Q441" s="60"/>
      <c r="R441" s="60"/>
      <c r="S441" s="60"/>
      <c r="T441" s="60"/>
      <c r="U441" s="60"/>
      <c r="V441" s="60"/>
      <c r="W441" s="60"/>
      <c r="X441" s="60"/>
      <c r="Y441" s="808"/>
      <c r="Z441" s="808"/>
    </row>
    <row r="442" spans="1:32" s="76" customFormat="1" ht="26.45" customHeight="1">
      <c r="A442" s="872" t="s">
        <v>1162</v>
      </c>
      <c r="B442" s="826" t="s">
        <v>648</v>
      </c>
      <c r="C442" s="659"/>
      <c r="D442" s="659"/>
      <c r="E442" s="659"/>
      <c r="F442" s="659"/>
      <c r="G442" s="659"/>
      <c r="H442" s="27"/>
      <c r="I442" s="659"/>
      <c r="J442" s="659"/>
      <c r="K442" s="659"/>
      <c r="L442" s="27"/>
      <c r="M442" s="58"/>
      <c r="N442" s="58"/>
      <c r="O442" s="58"/>
      <c r="P442" s="58"/>
      <c r="Q442" s="58"/>
      <c r="R442" s="58"/>
      <c r="S442" s="58"/>
      <c r="T442" s="58"/>
      <c r="U442" s="58"/>
      <c r="V442" s="58"/>
      <c r="W442" s="58"/>
      <c r="X442" s="58"/>
      <c r="Y442" s="878" t="s">
        <v>26</v>
      </c>
      <c r="Z442" s="867" t="s">
        <v>1007</v>
      </c>
      <c r="AA442" s="471"/>
    </row>
    <row r="443" spans="1:32" s="76" customFormat="1" ht="22.5" customHeight="1">
      <c r="A443" s="873"/>
      <c r="B443" s="826" t="s">
        <v>493</v>
      </c>
      <c r="C443" s="659"/>
      <c r="D443" s="659"/>
      <c r="E443" s="659"/>
      <c r="F443" s="659"/>
      <c r="G443" s="659"/>
      <c r="H443" s="11"/>
      <c r="I443" s="11"/>
      <c r="J443" s="11"/>
      <c r="K443" s="11"/>
      <c r="L443" s="11"/>
      <c r="M443" s="48"/>
      <c r="N443" s="48"/>
      <c r="O443" s="48"/>
      <c r="P443" s="48"/>
      <c r="Q443" s="48"/>
      <c r="R443" s="48"/>
      <c r="S443" s="48"/>
      <c r="T443" s="48"/>
      <c r="U443" s="48"/>
      <c r="V443" s="48"/>
      <c r="W443" s="48"/>
      <c r="X443" s="48"/>
      <c r="Y443" s="879"/>
      <c r="Z443" s="906"/>
      <c r="AA443" s="471"/>
    </row>
    <row r="444" spans="1:32" s="76" customFormat="1" ht="30.75" customHeight="1">
      <c r="A444" s="873"/>
      <c r="B444" s="840" t="s">
        <v>1143</v>
      </c>
      <c r="C444" s="659">
        <v>176</v>
      </c>
      <c r="D444" s="102" t="s">
        <v>487</v>
      </c>
      <c r="E444" s="102" t="s">
        <v>488</v>
      </c>
      <c r="F444" s="659">
        <v>6100302810</v>
      </c>
      <c r="G444" s="659">
        <v>244</v>
      </c>
      <c r="H444" s="11"/>
      <c r="I444" s="11"/>
      <c r="J444" s="11"/>
      <c r="K444" s="11"/>
      <c r="L444" s="11"/>
      <c r="M444" s="48"/>
      <c r="N444" s="48"/>
      <c r="O444" s="48"/>
      <c r="P444" s="48"/>
      <c r="Q444" s="48"/>
      <c r="R444" s="48">
        <f>R446</f>
        <v>34176.300000000003</v>
      </c>
      <c r="S444" s="48">
        <f>S446</f>
        <v>34176.300000000003</v>
      </c>
      <c r="T444" s="48"/>
      <c r="U444" s="48"/>
      <c r="V444" s="48"/>
      <c r="W444" s="48"/>
      <c r="X444" s="48"/>
      <c r="Y444" s="879"/>
      <c r="Z444" s="906"/>
      <c r="AA444" s="471"/>
    </row>
    <row r="445" spans="1:32" s="76" customFormat="1" ht="25.5" customHeight="1">
      <c r="A445" s="873"/>
      <c r="B445" s="826" t="s">
        <v>495</v>
      </c>
      <c r="C445" s="659"/>
      <c r="D445" s="659"/>
      <c r="E445" s="102"/>
      <c r="F445" s="659"/>
      <c r="G445" s="659"/>
      <c r="H445" s="11"/>
      <c r="I445" s="11"/>
      <c r="J445" s="11"/>
      <c r="K445" s="11"/>
      <c r="L445" s="11"/>
      <c r="M445" s="48"/>
      <c r="N445" s="48"/>
      <c r="O445" s="48"/>
      <c r="P445" s="48"/>
      <c r="Q445" s="48"/>
      <c r="R445" s="48"/>
      <c r="S445" s="48"/>
      <c r="T445" s="48"/>
      <c r="U445" s="48"/>
      <c r="V445" s="48"/>
      <c r="W445" s="48"/>
      <c r="X445" s="48"/>
      <c r="Y445" s="879"/>
      <c r="Z445" s="906"/>
      <c r="AA445" s="471"/>
    </row>
    <row r="446" spans="1:32" s="76" customFormat="1" ht="25.5" customHeight="1">
      <c r="A446" s="873"/>
      <c r="B446" s="404" t="s">
        <v>247</v>
      </c>
      <c r="C446" s="659">
        <v>176</v>
      </c>
      <c r="D446" s="102" t="s">
        <v>487</v>
      </c>
      <c r="E446" s="102" t="s">
        <v>488</v>
      </c>
      <c r="F446" s="659">
        <v>6100302810</v>
      </c>
      <c r="G446" s="659">
        <v>244</v>
      </c>
      <c r="H446" s="11"/>
      <c r="I446" s="11"/>
      <c r="J446" s="11"/>
      <c r="K446" s="11"/>
      <c r="L446" s="11"/>
      <c r="M446" s="48"/>
      <c r="N446" s="48"/>
      <c r="O446" s="48"/>
      <c r="P446" s="48"/>
      <c r="Q446" s="48"/>
      <c r="R446" s="48">
        <f>S446</f>
        <v>34176.300000000003</v>
      </c>
      <c r="S446" s="835">
        <v>34176.300000000003</v>
      </c>
      <c r="T446" s="48"/>
      <c r="U446" s="48"/>
      <c r="V446" s="48"/>
      <c r="W446" s="48"/>
      <c r="X446" s="48"/>
      <c r="Y446" s="879"/>
      <c r="Z446" s="906"/>
      <c r="AA446" s="471"/>
    </row>
    <row r="447" spans="1:32" s="76" customFormat="1" ht="24" customHeight="1">
      <c r="A447" s="873"/>
      <c r="B447" s="826" t="s">
        <v>435</v>
      </c>
      <c r="C447" s="659"/>
      <c r="D447" s="102"/>
      <c r="E447" s="102"/>
      <c r="F447" s="659"/>
      <c r="G447" s="659"/>
      <c r="H447" s="11"/>
      <c r="I447" s="11"/>
      <c r="J447" s="11"/>
      <c r="K447" s="11"/>
      <c r="L447" s="11"/>
      <c r="M447" s="48"/>
      <c r="N447" s="48"/>
      <c r="O447" s="48"/>
      <c r="P447" s="48"/>
      <c r="Q447" s="48"/>
      <c r="R447" s="48"/>
      <c r="S447" s="48"/>
      <c r="T447" s="48"/>
      <c r="U447" s="48"/>
      <c r="V447" s="48"/>
      <c r="W447" s="48"/>
      <c r="X447" s="48"/>
      <c r="Y447" s="879"/>
      <c r="Z447" s="906"/>
      <c r="AA447" s="471"/>
    </row>
    <row r="448" spans="1:32" s="76" customFormat="1" ht="30" customHeight="1">
      <c r="A448" s="873"/>
      <c r="B448" s="826" t="s">
        <v>447</v>
      </c>
      <c r="C448" s="659"/>
      <c r="D448" s="102"/>
      <c r="E448" s="102"/>
      <c r="F448" s="659"/>
      <c r="G448" s="659"/>
      <c r="H448" s="11"/>
      <c r="I448" s="11"/>
      <c r="J448" s="11"/>
      <c r="K448" s="11"/>
      <c r="L448" s="11"/>
      <c r="M448" s="48"/>
      <c r="N448" s="48"/>
      <c r="O448" s="48"/>
      <c r="P448" s="48"/>
      <c r="Q448" s="48"/>
      <c r="R448" s="48"/>
      <c r="S448" s="48"/>
      <c r="T448" s="48"/>
      <c r="U448" s="48"/>
      <c r="V448" s="48"/>
      <c r="W448" s="48"/>
      <c r="X448" s="48"/>
      <c r="Y448" s="879"/>
      <c r="Z448" s="906"/>
      <c r="AA448" s="471"/>
    </row>
    <row r="449" spans="1:27" s="76" customFormat="1" ht="30" customHeight="1">
      <c r="A449" s="874"/>
      <c r="B449" s="826" t="s">
        <v>1010</v>
      </c>
      <c r="C449" s="659"/>
      <c r="D449" s="102"/>
      <c r="E449" s="102"/>
      <c r="F449" s="659"/>
      <c r="G449" s="659"/>
      <c r="H449" s="11"/>
      <c r="I449" s="11"/>
      <c r="J449" s="11"/>
      <c r="K449" s="11"/>
      <c r="L449" s="11"/>
      <c r="M449" s="48"/>
      <c r="N449" s="48"/>
      <c r="O449" s="48"/>
      <c r="P449" s="48"/>
      <c r="Q449" s="48"/>
      <c r="R449" s="48"/>
      <c r="S449" s="48"/>
      <c r="T449" s="48"/>
      <c r="U449" s="48"/>
      <c r="V449" s="48"/>
      <c r="W449" s="48"/>
      <c r="X449" s="48"/>
      <c r="Y449" s="814"/>
      <c r="Z449" s="817"/>
      <c r="AA449" s="471"/>
    </row>
    <row r="450" spans="1:27" ht="28.15" customHeight="1">
      <c r="A450" s="872" t="s">
        <v>1159</v>
      </c>
      <c r="B450" s="826" t="s">
        <v>745</v>
      </c>
      <c r="C450" s="659"/>
      <c r="D450" s="102"/>
      <c r="E450" s="659"/>
      <c r="F450" s="659"/>
      <c r="G450" s="659"/>
      <c r="H450" s="11">
        <v>0</v>
      </c>
      <c r="I450" s="11">
        <v>0</v>
      </c>
      <c r="J450" s="11">
        <v>0</v>
      </c>
      <c r="K450" s="11">
        <v>0</v>
      </c>
      <c r="L450" s="11">
        <v>0</v>
      </c>
      <c r="M450" s="48" t="s">
        <v>276</v>
      </c>
      <c r="N450" s="48"/>
      <c r="O450" s="48"/>
      <c r="P450" s="48"/>
      <c r="Q450" s="48"/>
      <c r="R450" s="48" t="s">
        <v>276</v>
      </c>
      <c r="S450" s="48"/>
      <c r="T450" s="48"/>
      <c r="U450" s="48"/>
      <c r="V450" s="48"/>
      <c r="W450" s="48" t="s">
        <v>276</v>
      </c>
      <c r="X450" s="48"/>
      <c r="Y450" s="878" t="s">
        <v>26</v>
      </c>
      <c r="Z450" s="878" t="s">
        <v>451</v>
      </c>
    </row>
    <row r="451" spans="1:27" ht="43.5" customHeight="1">
      <c r="A451" s="873"/>
      <c r="B451" s="826" t="s">
        <v>24</v>
      </c>
      <c r="C451" s="659"/>
      <c r="D451" s="102"/>
      <c r="E451" s="659"/>
      <c r="F451" s="659"/>
      <c r="G451" s="659"/>
      <c r="H451" s="11">
        <v>0</v>
      </c>
      <c r="I451" s="11">
        <v>0</v>
      </c>
      <c r="J451" s="11">
        <v>0</v>
      </c>
      <c r="K451" s="11">
        <v>0</v>
      </c>
      <c r="L451" s="11">
        <v>0</v>
      </c>
      <c r="M451" s="48"/>
      <c r="N451" s="48"/>
      <c r="O451" s="48"/>
      <c r="P451" s="48"/>
      <c r="Q451" s="48"/>
      <c r="R451" s="48"/>
      <c r="S451" s="48" t="s">
        <v>489</v>
      </c>
      <c r="T451" s="48" t="s">
        <v>489</v>
      </c>
      <c r="U451" s="48" t="s">
        <v>489</v>
      </c>
      <c r="V451" s="48" t="s">
        <v>489</v>
      </c>
      <c r="W451" s="48"/>
      <c r="X451" s="48"/>
      <c r="Y451" s="879"/>
      <c r="Z451" s="879"/>
    </row>
    <row r="452" spans="1:27" ht="27.75" customHeight="1">
      <c r="A452" s="873"/>
      <c r="B452" s="840" t="s">
        <v>1143</v>
      </c>
      <c r="C452" s="659">
        <v>176</v>
      </c>
      <c r="D452" s="102" t="s">
        <v>487</v>
      </c>
      <c r="E452" s="102" t="s">
        <v>488</v>
      </c>
      <c r="F452" s="659">
        <v>6100302810</v>
      </c>
      <c r="G452" s="659">
        <v>244</v>
      </c>
      <c r="H452" s="11">
        <f t="shared" ref="H452:V452" si="80">H453</f>
        <v>14155.5</v>
      </c>
      <c r="I452" s="11">
        <f t="shared" si="80"/>
        <v>3285.7</v>
      </c>
      <c r="J452" s="11">
        <f t="shared" si="80"/>
        <v>0</v>
      </c>
      <c r="K452" s="11">
        <f t="shared" si="80"/>
        <v>3538.9</v>
      </c>
      <c r="L452" s="11">
        <f t="shared" si="80"/>
        <v>7330.9</v>
      </c>
      <c r="M452" s="48">
        <f t="shared" si="80"/>
        <v>20000</v>
      </c>
      <c r="N452" s="48">
        <f t="shared" si="80"/>
        <v>3647.3</v>
      </c>
      <c r="O452" s="48">
        <f t="shared" si="80"/>
        <v>1070.7</v>
      </c>
      <c r="P452" s="48">
        <f t="shared" si="80"/>
        <v>192</v>
      </c>
      <c r="Q452" s="48">
        <f t="shared" si="80"/>
        <v>15090</v>
      </c>
      <c r="R452" s="48">
        <f t="shared" si="80"/>
        <v>20000.2</v>
      </c>
      <c r="S452" s="48">
        <f t="shared" si="80"/>
        <v>5954.0946000000004</v>
      </c>
      <c r="T452" s="48">
        <f t="shared" si="80"/>
        <v>8647.9753000000001</v>
      </c>
      <c r="U452" s="48">
        <f t="shared" si="80"/>
        <v>5398.1300600000004</v>
      </c>
      <c r="V452" s="48">
        <f t="shared" si="80"/>
        <v>3.9999999899009708E-5</v>
      </c>
      <c r="W452" s="48">
        <f>W453</f>
        <v>20000</v>
      </c>
      <c r="X452" s="48">
        <f>X453</f>
        <v>20000</v>
      </c>
      <c r="Y452" s="879"/>
      <c r="Z452" s="879"/>
    </row>
    <row r="453" spans="1:27" ht="34.5" customHeight="1">
      <c r="A453" s="873"/>
      <c r="B453" s="826" t="s">
        <v>10</v>
      </c>
      <c r="C453" s="659">
        <v>176</v>
      </c>
      <c r="D453" s="102" t="s">
        <v>487</v>
      </c>
      <c r="E453" s="102" t="s">
        <v>488</v>
      </c>
      <c r="F453" s="659">
        <v>6100302810</v>
      </c>
      <c r="G453" s="659">
        <v>244</v>
      </c>
      <c r="H453" s="11">
        <f>SUM(I453:L453)</f>
        <v>14155.5</v>
      </c>
      <c r="I453" s="11">
        <v>3285.7</v>
      </c>
      <c r="J453" s="11"/>
      <c r="K453" s="11">
        <v>3538.9</v>
      </c>
      <c r="L453" s="11">
        <v>7330.9</v>
      </c>
      <c r="M453" s="48">
        <v>20000</v>
      </c>
      <c r="N453" s="48">
        <v>3647.3</v>
      </c>
      <c r="O453" s="48">
        <v>1070.7</v>
      </c>
      <c r="P453" s="48">
        <v>192</v>
      </c>
      <c r="Q453" s="48">
        <v>15090</v>
      </c>
      <c r="R453" s="48">
        <v>20000.2</v>
      </c>
      <c r="S453" s="48">
        <v>5954.0946000000004</v>
      </c>
      <c r="T453" s="48">
        <v>8647.9753000000001</v>
      </c>
      <c r="U453" s="48">
        <v>5398.1300600000004</v>
      </c>
      <c r="V453" s="48">
        <f>R453-S453-T453-U453</f>
        <v>3.9999999899009708E-5</v>
      </c>
      <c r="W453" s="48">
        <v>20000</v>
      </c>
      <c r="X453" s="48">
        <v>20000</v>
      </c>
      <c r="Y453" s="879"/>
      <c r="Z453" s="879"/>
    </row>
    <row r="454" spans="1:27" ht="22.5" customHeight="1">
      <c r="A454" s="32"/>
      <c r="B454" s="826" t="s">
        <v>436</v>
      </c>
      <c r="C454" s="659"/>
      <c r="D454" s="102"/>
      <c r="E454" s="102"/>
      <c r="F454" s="659"/>
      <c r="G454" s="659"/>
      <c r="H454" s="11">
        <v>0</v>
      </c>
      <c r="I454" s="11">
        <v>0</v>
      </c>
      <c r="J454" s="11">
        <v>0</v>
      </c>
      <c r="K454" s="11">
        <v>0</v>
      </c>
      <c r="L454" s="11">
        <v>0</v>
      </c>
      <c r="M454" s="48"/>
      <c r="N454" s="48"/>
      <c r="O454" s="48"/>
      <c r="P454" s="48"/>
      <c r="Q454" s="48"/>
      <c r="R454" s="48"/>
      <c r="S454" s="48"/>
      <c r="T454" s="48"/>
      <c r="U454" s="48"/>
      <c r="V454" s="48"/>
      <c r="W454" s="48"/>
      <c r="X454" s="48"/>
      <c r="Y454" s="30"/>
      <c r="Z454" s="879"/>
    </row>
    <row r="455" spans="1:27" ht="24.75" customHeight="1">
      <c r="A455" s="32"/>
      <c r="B455" s="826" t="s">
        <v>11</v>
      </c>
      <c r="C455" s="659"/>
      <c r="D455" s="102"/>
      <c r="E455" s="102"/>
      <c r="F455" s="659"/>
      <c r="G455" s="659"/>
      <c r="H455" s="11">
        <v>0</v>
      </c>
      <c r="I455" s="11">
        <v>0</v>
      </c>
      <c r="J455" s="11">
        <v>0</v>
      </c>
      <c r="K455" s="11">
        <v>0</v>
      </c>
      <c r="L455" s="11">
        <v>0</v>
      </c>
      <c r="M455" s="48"/>
      <c r="N455" s="48"/>
      <c r="O455" s="48"/>
      <c r="P455" s="48"/>
      <c r="Q455" s="48"/>
      <c r="R455" s="48"/>
      <c r="S455" s="48"/>
      <c r="T455" s="48"/>
      <c r="U455" s="48"/>
      <c r="V455" s="48"/>
      <c r="W455" s="48"/>
      <c r="X455" s="48"/>
      <c r="Y455" s="30"/>
      <c r="Z455" s="879"/>
    </row>
    <row r="456" spans="1:27" ht="28.5" customHeight="1">
      <c r="A456" s="32"/>
      <c r="B456" s="826" t="s">
        <v>447</v>
      </c>
      <c r="C456" s="659"/>
      <c r="D456" s="102"/>
      <c r="E456" s="102"/>
      <c r="F456" s="659"/>
      <c r="G456" s="659"/>
      <c r="H456" s="11"/>
      <c r="I456" s="11"/>
      <c r="J456" s="11"/>
      <c r="K456" s="11"/>
      <c r="L456" s="11"/>
      <c r="M456" s="48"/>
      <c r="N456" s="48"/>
      <c r="O456" s="48"/>
      <c r="P456" s="48"/>
      <c r="Q456" s="48"/>
      <c r="R456" s="48"/>
      <c r="S456" s="48"/>
      <c r="T456" s="48"/>
      <c r="U456" s="48"/>
      <c r="V456" s="48"/>
      <c r="W456" s="48"/>
      <c r="X456" s="48"/>
      <c r="Y456" s="30"/>
      <c r="Z456" s="879"/>
    </row>
    <row r="457" spans="1:27" ht="27.75" customHeight="1">
      <c r="A457" s="38"/>
      <c r="B457" s="826" t="s">
        <v>1010</v>
      </c>
      <c r="C457" s="659"/>
      <c r="D457" s="102"/>
      <c r="E457" s="102"/>
      <c r="F457" s="659"/>
      <c r="G457" s="659"/>
      <c r="H457" s="11">
        <v>0</v>
      </c>
      <c r="I457" s="11">
        <v>0</v>
      </c>
      <c r="J457" s="11">
        <v>0</v>
      </c>
      <c r="K457" s="11">
        <v>0</v>
      </c>
      <c r="L457" s="11">
        <v>0</v>
      </c>
      <c r="M457" s="48"/>
      <c r="N457" s="48"/>
      <c r="O457" s="48"/>
      <c r="P457" s="48"/>
      <c r="Q457" s="48"/>
      <c r="R457" s="48"/>
      <c r="S457" s="48"/>
      <c r="T457" s="48"/>
      <c r="U457" s="48"/>
      <c r="V457" s="48"/>
      <c r="W457" s="48"/>
      <c r="X457" s="48"/>
      <c r="Y457" s="37"/>
      <c r="Z457" s="880"/>
    </row>
    <row r="458" spans="1:27" ht="28.5" hidden="1" customHeight="1">
      <c r="A458" s="872" t="s">
        <v>718</v>
      </c>
      <c r="B458" s="826" t="s">
        <v>745</v>
      </c>
      <c r="C458" s="659"/>
      <c r="D458" s="102"/>
      <c r="E458" s="102"/>
      <c r="F458" s="659"/>
      <c r="G458" s="659"/>
      <c r="H458" s="33">
        <v>0</v>
      </c>
      <c r="I458" s="33">
        <v>0</v>
      </c>
      <c r="J458" s="33">
        <v>0</v>
      </c>
      <c r="K458" s="33">
        <v>0</v>
      </c>
      <c r="L458" s="33">
        <v>0</v>
      </c>
      <c r="M458" s="48" t="s">
        <v>276</v>
      </c>
      <c r="N458" s="48"/>
      <c r="O458" s="48"/>
      <c r="P458" s="48"/>
      <c r="Q458" s="48"/>
      <c r="R458" s="48" t="s">
        <v>276</v>
      </c>
      <c r="S458" s="48"/>
      <c r="T458" s="48"/>
      <c r="U458" s="48"/>
      <c r="V458" s="48"/>
      <c r="W458" s="48" t="s">
        <v>276</v>
      </c>
      <c r="X458" s="48"/>
      <c r="Y458" s="878" t="s">
        <v>26</v>
      </c>
      <c r="Z458" s="878" t="s">
        <v>184</v>
      </c>
    </row>
    <row r="459" spans="1:27" ht="45" hidden="1" customHeight="1">
      <c r="A459" s="873"/>
      <c r="B459" s="826" t="s">
        <v>24</v>
      </c>
      <c r="C459" s="659"/>
      <c r="D459" s="102"/>
      <c r="E459" s="102"/>
      <c r="F459" s="659"/>
      <c r="G459" s="659"/>
      <c r="H459" s="33">
        <v>0</v>
      </c>
      <c r="I459" s="33">
        <v>0</v>
      </c>
      <c r="J459" s="33">
        <v>0</v>
      </c>
      <c r="K459" s="33">
        <v>0</v>
      </c>
      <c r="L459" s="33">
        <v>0</v>
      </c>
      <c r="M459" s="48"/>
      <c r="N459" s="48"/>
      <c r="O459" s="48"/>
      <c r="P459" s="48"/>
      <c r="Q459" s="48"/>
      <c r="R459" s="48"/>
      <c r="S459" s="48" t="s">
        <v>489</v>
      </c>
      <c r="T459" s="48" t="s">
        <v>489</v>
      </c>
      <c r="U459" s="48" t="s">
        <v>489</v>
      </c>
      <c r="V459" s="48" t="s">
        <v>489</v>
      </c>
      <c r="W459" s="48"/>
      <c r="X459" s="48"/>
      <c r="Y459" s="879"/>
      <c r="Z459" s="879"/>
    </row>
    <row r="460" spans="1:27" ht="32.25" hidden="1" customHeight="1">
      <c r="A460" s="32"/>
      <c r="B460" s="826" t="s">
        <v>25</v>
      </c>
      <c r="C460" s="659">
        <v>176</v>
      </c>
      <c r="D460" s="102" t="s">
        <v>487</v>
      </c>
      <c r="E460" s="102" t="s">
        <v>488</v>
      </c>
      <c r="F460" s="659">
        <v>6100302810</v>
      </c>
      <c r="G460" s="659">
        <v>244</v>
      </c>
      <c r="H460" s="11">
        <f t="shared" ref="H460:V460" si="81">H462</f>
        <v>22639.3</v>
      </c>
      <c r="I460" s="11">
        <f t="shared" si="81"/>
        <v>9639.2999999999993</v>
      </c>
      <c r="J460" s="11">
        <f t="shared" si="81"/>
        <v>0</v>
      </c>
      <c r="K460" s="11">
        <f t="shared" si="81"/>
        <v>150</v>
      </c>
      <c r="L460" s="11">
        <f t="shared" si="81"/>
        <v>12850</v>
      </c>
      <c r="M460" s="48">
        <f t="shared" si="81"/>
        <v>20000</v>
      </c>
      <c r="N460" s="48">
        <f t="shared" si="81"/>
        <v>7.0000000000000007E-2</v>
      </c>
      <c r="O460" s="48">
        <f t="shared" si="81"/>
        <v>2851.33</v>
      </c>
      <c r="P460" s="48">
        <f t="shared" si="81"/>
        <v>11330</v>
      </c>
      <c r="Q460" s="48">
        <f t="shared" si="81"/>
        <v>5818.6</v>
      </c>
      <c r="R460" s="48">
        <f t="shared" si="81"/>
        <v>0</v>
      </c>
      <c r="S460" s="48">
        <f t="shared" si="81"/>
        <v>0</v>
      </c>
      <c r="T460" s="48">
        <f t="shared" si="81"/>
        <v>0</v>
      </c>
      <c r="U460" s="48">
        <f t="shared" si="81"/>
        <v>0</v>
      </c>
      <c r="V460" s="48">
        <f t="shared" si="81"/>
        <v>0</v>
      </c>
      <c r="W460" s="48">
        <f>W462</f>
        <v>0</v>
      </c>
      <c r="X460" s="48">
        <f>X462</f>
        <v>0</v>
      </c>
      <c r="Y460" s="879"/>
      <c r="Z460" s="879"/>
    </row>
    <row r="461" spans="1:27" ht="17.45" hidden="1" customHeight="1">
      <c r="A461" s="32"/>
      <c r="B461" s="826" t="s">
        <v>9</v>
      </c>
      <c r="C461" s="659"/>
      <c r="D461" s="102"/>
      <c r="E461" s="102"/>
      <c r="F461" s="659"/>
      <c r="G461" s="659"/>
      <c r="H461" s="11"/>
      <c r="I461" s="11"/>
      <c r="J461" s="11"/>
      <c r="K461" s="11"/>
      <c r="L461" s="11"/>
      <c r="M461" s="48"/>
      <c r="N461" s="48"/>
      <c r="O461" s="48"/>
      <c r="P461" s="48"/>
      <c r="Q461" s="48"/>
      <c r="R461" s="48"/>
      <c r="S461" s="48"/>
      <c r="T461" s="48"/>
      <c r="U461" s="48"/>
      <c r="V461" s="48"/>
      <c r="W461" s="48"/>
      <c r="X461" s="48"/>
      <c r="Y461" s="879"/>
      <c r="Z461" s="879"/>
    </row>
    <row r="462" spans="1:27" ht="31.5" hidden="1" customHeight="1">
      <c r="A462" s="32"/>
      <c r="B462" s="826" t="s">
        <v>10</v>
      </c>
      <c r="C462" s="659">
        <v>176</v>
      </c>
      <c r="D462" s="102" t="s">
        <v>487</v>
      </c>
      <c r="E462" s="102" t="s">
        <v>488</v>
      </c>
      <c r="F462" s="659">
        <v>6100302810</v>
      </c>
      <c r="G462" s="659">
        <v>244</v>
      </c>
      <c r="H462" s="11">
        <f>SUM(I462:L462)</f>
        <v>22639.3</v>
      </c>
      <c r="I462" s="11">
        <v>9639.2999999999993</v>
      </c>
      <c r="J462" s="11"/>
      <c r="K462" s="11">
        <v>150</v>
      </c>
      <c r="L462" s="11">
        <v>12850</v>
      </c>
      <c r="M462" s="48">
        <f>40000-20000</f>
        <v>20000</v>
      </c>
      <c r="N462" s="48">
        <v>7.0000000000000007E-2</v>
      </c>
      <c r="O462" s="48">
        <v>2851.33</v>
      </c>
      <c r="P462" s="48">
        <v>11330</v>
      </c>
      <c r="Q462" s="48">
        <v>5818.6</v>
      </c>
      <c r="R462" s="48">
        <f>V462</f>
        <v>0</v>
      </c>
      <c r="S462" s="48">
        <v>0</v>
      </c>
      <c r="T462" s="48">
        <v>0</v>
      </c>
      <c r="U462" s="48">
        <v>0</v>
      </c>
      <c r="V462" s="48"/>
      <c r="W462" s="48"/>
      <c r="X462" s="48"/>
      <c r="Y462" s="879"/>
      <c r="Z462" s="879"/>
    </row>
    <row r="463" spans="1:27" ht="29.25" hidden="1" customHeight="1">
      <c r="A463" s="32"/>
      <c r="B463" s="826" t="s">
        <v>436</v>
      </c>
      <c r="C463" s="659"/>
      <c r="D463" s="102"/>
      <c r="E463" s="102"/>
      <c r="F463" s="659"/>
      <c r="G463" s="659"/>
      <c r="H463" s="33">
        <v>0</v>
      </c>
      <c r="I463" s="33">
        <v>0</v>
      </c>
      <c r="J463" s="33">
        <v>0</v>
      </c>
      <c r="K463" s="33">
        <v>0</v>
      </c>
      <c r="L463" s="33">
        <v>0</v>
      </c>
      <c r="M463" s="48"/>
      <c r="N463" s="48"/>
      <c r="O463" s="48"/>
      <c r="P463" s="48"/>
      <c r="Q463" s="48"/>
      <c r="R463" s="48"/>
      <c r="S463" s="48"/>
      <c r="T463" s="48"/>
      <c r="U463" s="48"/>
      <c r="V463" s="48"/>
      <c r="W463" s="48"/>
      <c r="X463" s="48"/>
      <c r="Y463" s="879"/>
      <c r="Z463" s="879"/>
    </row>
    <row r="464" spans="1:27" ht="33" hidden="1" customHeight="1">
      <c r="A464" s="32"/>
      <c r="B464" s="826" t="s">
        <v>11</v>
      </c>
      <c r="C464" s="659"/>
      <c r="D464" s="102"/>
      <c r="E464" s="102"/>
      <c r="F464" s="659"/>
      <c r="G464" s="659"/>
      <c r="H464" s="33">
        <v>0</v>
      </c>
      <c r="I464" s="33">
        <v>0</v>
      </c>
      <c r="J464" s="33">
        <v>0</v>
      </c>
      <c r="K464" s="33">
        <v>0</v>
      </c>
      <c r="L464" s="33">
        <v>0</v>
      </c>
      <c r="M464" s="48"/>
      <c r="N464" s="48"/>
      <c r="O464" s="48"/>
      <c r="P464" s="48"/>
      <c r="Q464" s="48"/>
      <c r="R464" s="48"/>
      <c r="S464" s="48"/>
      <c r="T464" s="48"/>
      <c r="U464" s="48"/>
      <c r="V464" s="48"/>
      <c r="W464" s="48"/>
      <c r="X464" s="48"/>
      <c r="Y464" s="879"/>
      <c r="Z464" s="879"/>
    </row>
    <row r="465" spans="1:27" ht="36" hidden="1" customHeight="1">
      <c r="A465" s="38"/>
      <c r="B465" s="826" t="s">
        <v>447</v>
      </c>
      <c r="C465" s="659"/>
      <c r="D465" s="102"/>
      <c r="E465" s="102"/>
      <c r="F465" s="659"/>
      <c r="G465" s="659"/>
      <c r="H465" s="33">
        <v>0</v>
      </c>
      <c r="I465" s="33">
        <v>0</v>
      </c>
      <c r="J465" s="33">
        <v>0</v>
      </c>
      <c r="K465" s="33">
        <v>0</v>
      </c>
      <c r="L465" s="33">
        <v>0</v>
      </c>
      <c r="M465" s="48"/>
      <c r="N465" s="48"/>
      <c r="O465" s="48"/>
      <c r="P465" s="48"/>
      <c r="Q465" s="48"/>
      <c r="R465" s="48"/>
      <c r="S465" s="48"/>
      <c r="T465" s="48"/>
      <c r="U465" s="48"/>
      <c r="V465" s="48"/>
      <c r="W465" s="48"/>
      <c r="X465" s="48"/>
      <c r="Y465" s="880"/>
      <c r="Z465" s="880"/>
    </row>
    <row r="466" spans="1:27" ht="30" customHeight="1">
      <c r="A466" s="872" t="s">
        <v>1160</v>
      </c>
      <c r="B466" s="826" t="s">
        <v>745</v>
      </c>
      <c r="C466" s="659"/>
      <c r="D466" s="102"/>
      <c r="E466" s="102"/>
      <c r="F466" s="659"/>
      <c r="G466" s="659"/>
      <c r="H466" s="33">
        <v>0</v>
      </c>
      <c r="I466" s="33">
        <v>0</v>
      </c>
      <c r="J466" s="33">
        <v>0</v>
      </c>
      <c r="K466" s="33">
        <v>0</v>
      </c>
      <c r="L466" s="33">
        <v>0</v>
      </c>
      <c r="M466" s="48" t="s">
        <v>276</v>
      </c>
      <c r="N466" s="48"/>
      <c r="O466" s="48"/>
      <c r="P466" s="48"/>
      <c r="Q466" s="48"/>
      <c r="R466" s="48" t="s">
        <v>276</v>
      </c>
      <c r="S466" s="48"/>
      <c r="T466" s="48"/>
      <c r="U466" s="48"/>
      <c r="V466" s="48"/>
      <c r="W466" s="48" t="s">
        <v>276</v>
      </c>
      <c r="X466" s="48"/>
      <c r="Y466" s="878" t="s">
        <v>26</v>
      </c>
      <c r="Z466" s="896" t="s">
        <v>73</v>
      </c>
    </row>
    <row r="467" spans="1:27" ht="24.75" customHeight="1">
      <c r="A467" s="873"/>
      <c r="B467" s="840" t="s">
        <v>24</v>
      </c>
      <c r="C467" s="659"/>
      <c r="D467" s="102"/>
      <c r="E467" s="102"/>
      <c r="F467" s="659"/>
      <c r="G467" s="659"/>
      <c r="H467" s="33">
        <v>0</v>
      </c>
      <c r="I467" s="33">
        <v>0</v>
      </c>
      <c r="J467" s="33">
        <v>0</v>
      </c>
      <c r="K467" s="33">
        <v>0</v>
      </c>
      <c r="L467" s="33">
        <v>0</v>
      </c>
      <c r="M467" s="48"/>
      <c r="N467" s="48"/>
      <c r="O467" s="48"/>
      <c r="P467" s="48"/>
      <c r="Q467" s="48"/>
      <c r="R467" s="48"/>
      <c r="S467" s="48" t="s">
        <v>489</v>
      </c>
      <c r="T467" s="48" t="s">
        <v>489</v>
      </c>
      <c r="U467" s="48" t="s">
        <v>489</v>
      </c>
      <c r="V467" s="48" t="s">
        <v>489</v>
      </c>
      <c r="W467" s="48"/>
      <c r="X467" s="48"/>
      <c r="Y467" s="879"/>
      <c r="Z467" s="896"/>
    </row>
    <row r="468" spans="1:27" ht="30" customHeight="1">
      <c r="A468" s="873"/>
      <c r="B468" s="826" t="s">
        <v>1143</v>
      </c>
      <c r="C468" s="659">
        <v>176</v>
      </c>
      <c r="D468" s="102" t="s">
        <v>487</v>
      </c>
      <c r="E468" s="102" t="s">
        <v>488</v>
      </c>
      <c r="F468" s="659">
        <v>6100302810</v>
      </c>
      <c r="G468" s="659">
        <v>241</v>
      </c>
      <c r="H468" s="11">
        <f t="shared" ref="H468:V468" si="82">H469</f>
        <v>3000</v>
      </c>
      <c r="I468" s="11">
        <f t="shared" si="82"/>
        <v>1035.8</v>
      </c>
      <c r="J468" s="11">
        <f t="shared" si="82"/>
        <v>0</v>
      </c>
      <c r="K468" s="11">
        <f t="shared" si="82"/>
        <v>750</v>
      </c>
      <c r="L468" s="11">
        <f t="shared" si="82"/>
        <v>1214.2</v>
      </c>
      <c r="M468" s="48">
        <f t="shared" si="82"/>
        <v>3000</v>
      </c>
      <c r="N468" s="48">
        <f t="shared" si="82"/>
        <v>690.6</v>
      </c>
      <c r="O468" s="48">
        <f t="shared" si="82"/>
        <v>345.3</v>
      </c>
      <c r="P468" s="48">
        <f t="shared" si="82"/>
        <v>33</v>
      </c>
      <c r="Q468" s="48">
        <f t="shared" si="82"/>
        <v>1931.1</v>
      </c>
      <c r="R468" s="48">
        <f t="shared" si="82"/>
        <v>56285.2</v>
      </c>
      <c r="S468" s="48">
        <f t="shared" si="82"/>
        <v>0</v>
      </c>
      <c r="T468" s="48">
        <f t="shared" si="82"/>
        <v>0</v>
      </c>
      <c r="U468" s="48">
        <f t="shared" si="82"/>
        <v>0</v>
      </c>
      <c r="V468" s="48">
        <f t="shared" si="82"/>
        <v>56285.2</v>
      </c>
      <c r="W468" s="48">
        <f>W469</f>
        <v>25915.5</v>
      </c>
      <c r="X468" s="48">
        <f>X469</f>
        <v>132522.9</v>
      </c>
      <c r="Y468" s="879"/>
      <c r="Z468" s="896"/>
    </row>
    <row r="469" spans="1:27" ht="27.75" customHeight="1">
      <c r="A469" s="873"/>
      <c r="B469" s="826" t="s">
        <v>10</v>
      </c>
      <c r="C469" s="659">
        <v>176</v>
      </c>
      <c r="D469" s="102" t="s">
        <v>487</v>
      </c>
      <c r="E469" s="102" t="s">
        <v>488</v>
      </c>
      <c r="F469" s="659">
        <v>6100302810</v>
      </c>
      <c r="G469" s="659">
        <v>241</v>
      </c>
      <c r="H469" s="11">
        <v>3000</v>
      </c>
      <c r="I469" s="11">
        <v>1035.8</v>
      </c>
      <c r="J469" s="11"/>
      <c r="K469" s="11">
        <v>750</v>
      </c>
      <c r="L469" s="11">
        <v>1214.2</v>
      </c>
      <c r="M469" s="48">
        <v>3000</v>
      </c>
      <c r="N469" s="48">
        <v>690.6</v>
      </c>
      <c r="O469" s="48">
        <v>345.3</v>
      </c>
      <c r="P469" s="48">
        <v>33</v>
      </c>
      <c r="Q469" s="48">
        <v>1931.1</v>
      </c>
      <c r="R469" s="48">
        <f>V469</f>
        <v>56285.2</v>
      </c>
      <c r="S469" s="48">
        <f t="shared" ref="S469:U469" si="83">S478+S485</f>
        <v>0</v>
      </c>
      <c r="T469" s="48">
        <f t="shared" si="83"/>
        <v>0</v>
      </c>
      <c r="U469" s="48">
        <f t="shared" si="83"/>
        <v>0</v>
      </c>
      <c r="V469" s="48">
        <v>56285.2</v>
      </c>
      <c r="W469" s="48">
        <v>25915.5</v>
      </c>
      <c r="X469" s="48">
        <v>132522.9</v>
      </c>
      <c r="Y469" s="879"/>
      <c r="Z469" s="896"/>
    </row>
    <row r="470" spans="1:27" ht="21.75" customHeight="1">
      <c r="A470" s="873"/>
      <c r="B470" s="826" t="s">
        <v>436</v>
      </c>
      <c r="C470" s="659"/>
      <c r="D470" s="102"/>
      <c r="E470" s="102"/>
      <c r="F470" s="659"/>
      <c r="G470" s="659"/>
      <c r="H470" s="33">
        <v>0</v>
      </c>
      <c r="I470" s="33">
        <v>0</v>
      </c>
      <c r="J470" s="33">
        <v>0</v>
      </c>
      <c r="K470" s="33">
        <v>0</v>
      </c>
      <c r="L470" s="33">
        <v>0</v>
      </c>
      <c r="M470" s="48"/>
      <c r="N470" s="48"/>
      <c r="O470" s="48"/>
      <c r="P470" s="48"/>
      <c r="Q470" s="48"/>
      <c r="R470" s="48"/>
      <c r="S470" s="48"/>
      <c r="T470" s="48"/>
      <c r="U470" s="48"/>
      <c r="V470" s="48"/>
      <c r="W470" s="48"/>
      <c r="X470" s="48"/>
      <c r="Y470" s="879"/>
      <c r="Z470" s="896"/>
    </row>
    <row r="471" spans="1:27" ht="27" customHeight="1">
      <c r="A471" s="873"/>
      <c r="B471" s="826" t="s">
        <v>435</v>
      </c>
      <c r="C471" s="659"/>
      <c r="D471" s="102"/>
      <c r="E471" s="102"/>
      <c r="F471" s="659"/>
      <c r="G471" s="659"/>
      <c r="H471" s="33">
        <v>0</v>
      </c>
      <c r="I471" s="33">
        <v>0</v>
      </c>
      <c r="J471" s="33">
        <v>0</v>
      </c>
      <c r="K471" s="33">
        <v>0</v>
      </c>
      <c r="L471" s="33">
        <v>0</v>
      </c>
      <c r="M471" s="48"/>
      <c r="N471" s="48"/>
      <c r="O471" s="48"/>
      <c r="P471" s="48"/>
      <c r="Q471" s="48"/>
      <c r="R471" s="48"/>
      <c r="S471" s="48"/>
      <c r="T471" s="48"/>
      <c r="U471" s="48"/>
      <c r="V471" s="48"/>
      <c r="W471" s="48"/>
      <c r="X471" s="48"/>
      <c r="Y471" s="879"/>
      <c r="Z471" s="896"/>
    </row>
    <row r="472" spans="1:27" ht="27" customHeight="1">
      <c r="A472" s="873"/>
      <c r="B472" s="826" t="s">
        <v>447</v>
      </c>
      <c r="C472" s="659"/>
      <c r="D472" s="102"/>
      <c r="E472" s="102"/>
      <c r="F472" s="659"/>
      <c r="G472" s="659"/>
      <c r="H472" s="33"/>
      <c r="I472" s="33"/>
      <c r="J472" s="33"/>
      <c r="K472" s="33"/>
      <c r="L472" s="33"/>
      <c r="M472" s="48"/>
      <c r="N472" s="48"/>
      <c r="O472" s="48"/>
      <c r="P472" s="48"/>
      <c r="Q472" s="48"/>
      <c r="R472" s="48"/>
      <c r="S472" s="48"/>
      <c r="T472" s="48"/>
      <c r="U472" s="48"/>
      <c r="V472" s="48"/>
      <c r="W472" s="48"/>
      <c r="X472" s="48"/>
      <c r="Y472" s="879"/>
      <c r="Z472" s="896"/>
    </row>
    <row r="473" spans="1:27" ht="25.5" customHeight="1">
      <c r="A473" s="874"/>
      <c r="B473" s="826" t="s">
        <v>1010</v>
      </c>
      <c r="C473" s="659"/>
      <c r="D473" s="102"/>
      <c r="E473" s="102"/>
      <c r="F473" s="659"/>
      <c r="G473" s="659"/>
      <c r="H473" s="33"/>
      <c r="I473" s="33"/>
      <c r="J473" s="33"/>
      <c r="K473" s="33"/>
      <c r="L473" s="33"/>
      <c r="M473" s="48"/>
      <c r="N473" s="48"/>
      <c r="O473" s="48"/>
      <c r="P473" s="48"/>
      <c r="Q473" s="48"/>
      <c r="R473" s="48"/>
      <c r="S473" s="48"/>
      <c r="T473" s="48"/>
      <c r="U473" s="48"/>
      <c r="V473" s="48"/>
      <c r="W473" s="48"/>
      <c r="X473" s="48"/>
      <c r="Y473" s="879"/>
      <c r="Z473" s="896"/>
    </row>
    <row r="474" spans="1:27" s="76" customFormat="1" ht="26.45" hidden="1" customHeight="1">
      <c r="A474" s="872" t="s">
        <v>497</v>
      </c>
      <c r="B474" s="826" t="s">
        <v>648</v>
      </c>
      <c r="C474" s="659"/>
      <c r="D474" s="659"/>
      <c r="E474" s="659"/>
      <c r="F474" s="659"/>
      <c r="G474" s="659"/>
      <c r="H474" s="27"/>
      <c r="I474" s="659"/>
      <c r="J474" s="659"/>
      <c r="K474" s="659"/>
      <c r="L474" s="27"/>
      <c r="M474" s="58"/>
      <c r="N474" s="58"/>
      <c r="O474" s="58"/>
      <c r="P474" s="58"/>
      <c r="Q474" s="58"/>
      <c r="R474" s="58"/>
      <c r="S474" s="58"/>
      <c r="T474" s="58"/>
      <c r="U474" s="58"/>
      <c r="V474" s="58"/>
      <c r="W474" s="58"/>
      <c r="X474" s="58"/>
      <c r="Y474" s="879"/>
      <c r="Z474" s="878" t="s">
        <v>537</v>
      </c>
      <c r="AA474" s="471"/>
    </row>
    <row r="475" spans="1:27" s="76" customFormat="1" ht="44.25" hidden="1" customHeight="1">
      <c r="A475" s="873"/>
      <c r="B475" s="826" t="s">
        <v>493</v>
      </c>
      <c r="C475" s="659"/>
      <c r="D475" s="659"/>
      <c r="E475" s="659"/>
      <c r="F475" s="659"/>
      <c r="G475" s="659"/>
      <c r="H475" s="11"/>
      <c r="I475" s="11"/>
      <c r="J475" s="11"/>
      <c r="K475" s="11"/>
      <c r="L475" s="11"/>
      <c r="M475" s="48"/>
      <c r="N475" s="48"/>
      <c r="O475" s="48"/>
      <c r="P475" s="48"/>
      <c r="Q475" s="48"/>
      <c r="R475" s="48"/>
      <c r="S475" s="48"/>
      <c r="T475" s="48"/>
      <c r="U475" s="48"/>
      <c r="V475" s="48"/>
      <c r="W475" s="48"/>
      <c r="X475" s="48"/>
      <c r="Y475" s="879"/>
      <c r="Z475" s="879"/>
      <c r="AA475" s="471"/>
    </row>
    <row r="476" spans="1:27" s="76" customFormat="1" ht="30.75" hidden="1" customHeight="1">
      <c r="A476" s="873"/>
      <c r="B476" s="826" t="s">
        <v>494</v>
      </c>
      <c r="C476" s="659">
        <v>176</v>
      </c>
      <c r="D476" s="102" t="s">
        <v>487</v>
      </c>
      <c r="E476" s="102" t="s">
        <v>488</v>
      </c>
      <c r="F476" s="659">
        <v>6100302810</v>
      </c>
      <c r="G476" s="659">
        <v>241</v>
      </c>
      <c r="H476" s="11"/>
      <c r="I476" s="11"/>
      <c r="J476" s="11"/>
      <c r="K476" s="11"/>
      <c r="L476" s="11"/>
      <c r="M476" s="48"/>
      <c r="N476" s="48"/>
      <c r="O476" s="48"/>
      <c r="P476" s="48"/>
      <c r="Q476" s="48"/>
      <c r="R476" s="48">
        <f>R478</f>
        <v>35047.199999999997</v>
      </c>
      <c r="S476" s="48">
        <f t="shared" ref="S476:X476" si="84">S478</f>
        <v>0</v>
      </c>
      <c r="T476" s="48">
        <f t="shared" si="84"/>
        <v>0</v>
      </c>
      <c r="U476" s="48">
        <f t="shared" si="84"/>
        <v>0</v>
      </c>
      <c r="V476" s="48">
        <f>V478</f>
        <v>35047.199999999997</v>
      </c>
      <c r="W476" s="48">
        <f t="shared" si="84"/>
        <v>74966.2</v>
      </c>
      <c r="X476" s="48">
        <f t="shared" si="84"/>
        <v>3000</v>
      </c>
      <c r="Y476" s="879"/>
      <c r="Z476" s="879"/>
      <c r="AA476" s="471"/>
    </row>
    <row r="477" spans="1:27" s="76" customFormat="1" ht="34.15" hidden="1" customHeight="1">
      <c r="A477" s="873"/>
      <c r="B477" s="826" t="s">
        <v>495</v>
      </c>
      <c r="C477" s="659"/>
      <c r="D477" s="659"/>
      <c r="E477" s="102"/>
      <c r="F477" s="659"/>
      <c r="G477" s="659"/>
      <c r="H477" s="11"/>
      <c r="I477" s="11"/>
      <c r="J477" s="11"/>
      <c r="K477" s="11"/>
      <c r="L477" s="11"/>
      <c r="M477" s="48"/>
      <c r="N477" s="48"/>
      <c r="O477" s="48"/>
      <c r="P477" s="48"/>
      <c r="Q477" s="48"/>
      <c r="R477" s="48"/>
      <c r="S477" s="48"/>
      <c r="T477" s="48"/>
      <c r="U477" s="48"/>
      <c r="V477" s="48"/>
      <c r="W477" s="48"/>
      <c r="X477" s="48"/>
      <c r="Y477" s="879"/>
      <c r="Z477" s="879"/>
      <c r="AA477" s="471"/>
    </row>
    <row r="478" spans="1:27" s="76" customFormat="1" ht="32.450000000000003" hidden="1" customHeight="1">
      <c r="A478" s="873"/>
      <c r="B478" s="404" t="s">
        <v>496</v>
      </c>
      <c r="C478" s="659">
        <v>176</v>
      </c>
      <c r="D478" s="102" t="s">
        <v>487</v>
      </c>
      <c r="E478" s="102" t="s">
        <v>488</v>
      </c>
      <c r="F478" s="659">
        <v>6100302810</v>
      </c>
      <c r="G478" s="659">
        <v>241</v>
      </c>
      <c r="H478" s="11"/>
      <c r="I478" s="11"/>
      <c r="J478" s="11"/>
      <c r="K478" s="11"/>
      <c r="L478" s="11"/>
      <c r="M478" s="48"/>
      <c r="N478" s="48"/>
      <c r="O478" s="48"/>
      <c r="P478" s="48"/>
      <c r="Q478" s="48"/>
      <c r="R478" s="48">
        <f>S478+T478+U478+V478</f>
        <v>35047.199999999997</v>
      </c>
      <c r="S478" s="48">
        <v>0</v>
      </c>
      <c r="T478" s="48">
        <v>0</v>
      </c>
      <c r="U478" s="48">
        <v>0</v>
      </c>
      <c r="V478" s="48">
        <v>35047.199999999997</v>
      </c>
      <c r="W478" s="48">
        <f>2966.2+53000+19000</f>
        <v>74966.2</v>
      </c>
      <c r="X478" s="48">
        <v>3000</v>
      </c>
      <c r="Y478" s="879"/>
      <c r="Z478" s="879"/>
      <c r="AA478" s="471"/>
    </row>
    <row r="479" spans="1:27" s="76" customFormat="1" ht="30" hidden="1" customHeight="1">
      <c r="A479" s="873"/>
      <c r="B479" s="826" t="s">
        <v>435</v>
      </c>
      <c r="C479" s="659"/>
      <c r="D479" s="102"/>
      <c r="E479" s="102"/>
      <c r="F479" s="659"/>
      <c r="G479" s="659"/>
      <c r="H479" s="11"/>
      <c r="I479" s="11"/>
      <c r="J479" s="11"/>
      <c r="K479" s="11"/>
      <c r="L479" s="11"/>
      <c r="M479" s="48"/>
      <c r="N479" s="48"/>
      <c r="O479" s="48"/>
      <c r="P479" s="48"/>
      <c r="Q479" s="48"/>
      <c r="R479" s="48"/>
      <c r="S479" s="48"/>
      <c r="T479" s="48"/>
      <c r="U479" s="48"/>
      <c r="V479" s="48"/>
      <c r="W479" s="48"/>
      <c r="X479" s="48"/>
      <c r="Y479" s="879"/>
      <c r="Z479" s="879"/>
      <c r="AA479" s="471"/>
    </row>
    <row r="480" spans="1:27" s="76" customFormat="1" ht="30" hidden="1" customHeight="1">
      <c r="A480" s="873"/>
      <c r="B480" s="826" t="s">
        <v>447</v>
      </c>
      <c r="C480" s="659"/>
      <c r="D480" s="102"/>
      <c r="E480" s="102"/>
      <c r="F480" s="659"/>
      <c r="G480" s="659"/>
      <c r="H480" s="11"/>
      <c r="I480" s="11"/>
      <c r="J480" s="11"/>
      <c r="K480" s="11"/>
      <c r="L480" s="11"/>
      <c r="M480" s="48"/>
      <c r="N480" s="48"/>
      <c r="O480" s="48"/>
      <c r="P480" s="48"/>
      <c r="Q480" s="48"/>
      <c r="R480" s="48"/>
      <c r="S480" s="48"/>
      <c r="T480" s="48"/>
      <c r="U480" s="48"/>
      <c r="V480" s="48"/>
      <c r="W480" s="48"/>
      <c r="X480" s="48"/>
      <c r="Y480" s="879"/>
      <c r="Z480" s="879"/>
      <c r="AA480" s="471"/>
    </row>
    <row r="481" spans="1:33" s="76" customFormat="1" ht="30" hidden="1" customHeight="1">
      <c r="A481" s="873"/>
      <c r="B481" s="826" t="s">
        <v>447</v>
      </c>
      <c r="C481" s="659"/>
      <c r="D481" s="102"/>
      <c r="E481" s="102"/>
      <c r="F481" s="659"/>
      <c r="G481" s="659"/>
      <c r="H481" s="11"/>
      <c r="I481" s="11"/>
      <c r="J481" s="11"/>
      <c r="K481" s="11"/>
      <c r="L481" s="11"/>
      <c r="M481" s="48"/>
      <c r="N481" s="48"/>
      <c r="O481" s="48"/>
      <c r="P481" s="48"/>
      <c r="Q481" s="48"/>
      <c r="R481" s="48"/>
      <c r="S481" s="48"/>
      <c r="T481" s="48"/>
      <c r="U481" s="48"/>
      <c r="V481" s="48"/>
      <c r="W481" s="48"/>
      <c r="X481" s="48"/>
      <c r="Y481" s="879"/>
      <c r="Z481" s="879"/>
      <c r="AA481" s="471"/>
    </row>
    <row r="482" spans="1:33" ht="36.75" hidden="1" customHeight="1">
      <c r="A482" s="874"/>
      <c r="B482" s="826" t="s">
        <v>447</v>
      </c>
      <c r="C482" s="659"/>
      <c r="D482" s="102"/>
      <c r="E482" s="102"/>
      <c r="F482" s="659"/>
      <c r="G482" s="659"/>
      <c r="H482" s="33">
        <v>0</v>
      </c>
      <c r="I482" s="33">
        <v>0</v>
      </c>
      <c r="J482" s="33">
        <v>0</v>
      </c>
      <c r="K482" s="33">
        <v>0</v>
      </c>
      <c r="L482" s="33">
        <v>0</v>
      </c>
      <c r="M482" s="48"/>
      <c r="N482" s="48"/>
      <c r="O482" s="48"/>
      <c r="P482" s="48"/>
      <c r="Q482" s="48"/>
      <c r="R482" s="48"/>
      <c r="S482" s="48"/>
      <c r="T482" s="48"/>
      <c r="U482" s="48"/>
      <c r="V482" s="48"/>
      <c r="W482" s="48"/>
      <c r="X482" s="48"/>
      <c r="Y482" s="880"/>
      <c r="Z482" s="880"/>
    </row>
    <row r="483" spans="1:33" s="76" customFormat="1" ht="26.45" hidden="1" customHeight="1">
      <c r="A483" s="872" t="s">
        <v>498</v>
      </c>
      <c r="B483" s="826" t="s">
        <v>648</v>
      </c>
      <c r="C483" s="659"/>
      <c r="D483" s="659"/>
      <c r="E483" s="659"/>
      <c r="F483" s="659"/>
      <c r="G483" s="659"/>
      <c r="H483" s="27"/>
      <c r="I483" s="659"/>
      <c r="J483" s="659"/>
      <c r="K483" s="659"/>
      <c r="L483" s="27"/>
      <c r="M483" s="58"/>
      <c r="N483" s="58"/>
      <c r="O483" s="58"/>
      <c r="P483" s="58"/>
      <c r="Q483" s="58"/>
      <c r="R483" s="58"/>
      <c r="S483" s="58"/>
      <c r="T483" s="58"/>
      <c r="U483" s="58"/>
      <c r="V483" s="58"/>
      <c r="W483" s="58"/>
      <c r="X483" s="58"/>
      <c r="Y483" s="878"/>
      <c r="Z483" s="878"/>
      <c r="AA483" s="471"/>
    </row>
    <row r="484" spans="1:33" s="76" customFormat="1" ht="44.25" hidden="1" customHeight="1">
      <c r="A484" s="873"/>
      <c r="B484" s="826" t="s">
        <v>493</v>
      </c>
      <c r="C484" s="659"/>
      <c r="D484" s="659"/>
      <c r="E484" s="659"/>
      <c r="F484" s="659"/>
      <c r="G484" s="659"/>
      <c r="H484" s="11"/>
      <c r="I484" s="11"/>
      <c r="J484" s="11"/>
      <c r="K484" s="11"/>
      <c r="L484" s="11"/>
      <c r="M484" s="48"/>
      <c r="N484" s="48"/>
      <c r="O484" s="48"/>
      <c r="P484" s="48"/>
      <c r="Q484" s="48"/>
      <c r="R484" s="48"/>
      <c r="S484" s="48"/>
      <c r="T484" s="48"/>
      <c r="U484" s="48"/>
      <c r="V484" s="48"/>
      <c r="W484" s="48"/>
      <c r="X484" s="48"/>
      <c r="Y484" s="879"/>
      <c r="Z484" s="879"/>
      <c r="AA484" s="471"/>
    </row>
    <row r="485" spans="1:33" s="76" customFormat="1" ht="27.75" hidden="1" customHeight="1">
      <c r="A485" s="873"/>
      <c r="B485" s="826" t="s">
        <v>494</v>
      </c>
      <c r="C485" s="659">
        <v>176</v>
      </c>
      <c r="D485" s="102" t="s">
        <v>487</v>
      </c>
      <c r="E485" s="102" t="s">
        <v>488</v>
      </c>
      <c r="F485" s="659">
        <v>6100302810</v>
      </c>
      <c r="G485" s="659">
        <v>241</v>
      </c>
      <c r="H485" s="11"/>
      <c r="I485" s="11"/>
      <c r="J485" s="11"/>
      <c r="K485" s="11"/>
      <c r="L485" s="11"/>
      <c r="M485" s="48"/>
      <c r="N485" s="48"/>
      <c r="O485" s="48"/>
      <c r="P485" s="48"/>
      <c r="Q485" s="48"/>
      <c r="R485" s="48">
        <f>R487</f>
        <v>0</v>
      </c>
      <c r="S485" s="48">
        <f>S487</f>
        <v>0</v>
      </c>
      <c r="T485" s="48"/>
      <c r="U485" s="48"/>
      <c r="V485" s="48"/>
      <c r="W485" s="48"/>
      <c r="X485" s="48"/>
      <c r="Y485" s="879"/>
      <c r="Z485" s="879"/>
      <c r="AA485" s="471"/>
    </row>
    <row r="486" spans="1:33" s="76" customFormat="1" ht="34.15" hidden="1" customHeight="1">
      <c r="A486" s="873"/>
      <c r="B486" s="826" t="s">
        <v>495</v>
      </c>
      <c r="C486" s="659"/>
      <c r="D486" s="659"/>
      <c r="E486" s="102"/>
      <c r="F486" s="659"/>
      <c r="G486" s="659"/>
      <c r="H486" s="11"/>
      <c r="I486" s="11"/>
      <c r="J486" s="11"/>
      <c r="K486" s="11"/>
      <c r="L486" s="11"/>
      <c r="M486" s="48"/>
      <c r="N486" s="48"/>
      <c r="O486" s="48"/>
      <c r="P486" s="48"/>
      <c r="Q486" s="48"/>
      <c r="R486" s="48"/>
      <c r="S486" s="48"/>
      <c r="T486" s="48"/>
      <c r="U486" s="48"/>
      <c r="V486" s="48"/>
      <c r="W486" s="48"/>
      <c r="X486" s="48"/>
      <c r="Y486" s="879"/>
      <c r="Z486" s="879"/>
      <c r="AA486" s="471"/>
    </row>
    <row r="487" spans="1:33" s="76" customFormat="1" ht="32.450000000000003" hidden="1" customHeight="1">
      <c r="A487" s="873"/>
      <c r="B487" s="404" t="s">
        <v>496</v>
      </c>
      <c r="C487" s="659">
        <v>176</v>
      </c>
      <c r="D487" s="102" t="s">
        <v>487</v>
      </c>
      <c r="E487" s="102" t="s">
        <v>488</v>
      </c>
      <c r="F487" s="659">
        <v>6100302810</v>
      </c>
      <c r="G487" s="659">
        <v>241</v>
      </c>
      <c r="H487" s="11"/>
      <c r="I487" s="11"/>
      <c r="J487" s="11"/>
      <c r="K487" s="11"/>
      <c r="L487" s="11"/>
      <c r="M487" s="48"/>
      <c r="N487" s="48"/>
      <c r="O487" s="48"/>
      <c r="P487" s="48"/>
      <c r="Q487" s="48"/>
      <c r="R487" s="48">
        <v>0</v>
      </c>
      <c r="S487" s="48">
        <v>0</v>
      </c>
      <c r="T487" s="48"/>
      <c r="U487" s="48"/>
      <c r="V487" s="48"/>
      <c r="W487" s="48"/>
      <c r="X487" s="48"/>
      <c r="Y487" s="879"/>
      <c r="Z487" s="879"/>
      <c r="AA487" s="471"/>
    </row>
    <row r="488" spans="1:33" s="76" customFormat="1" ht="30" hidden="1" customHeight="1">
      <c r="A488" s="873"/>
      <c r="B488" s="826" t="s">
        <v>435</v>
      </c>
      <c r="C488" s="659"/>
      <c r="D488" s="102"/>
      <c r="E488" s="102"/>
      <c r="F488" s="659"/>
      <c r="G488" s="659"/>
      <c r="H488" s="11"/>
      <c r="I488" s="11"/>
      <c r="J488" s="11"/>
      <c r="K488" s="11"/>
      <c r="L488" s="11"/>
      <c r="M488" s="48"/>
      <c r="N488" s="48"/>
      <c r="O488" s="48"/>
      <c r="P488" s="48"/>
      <c r="Q488" s="48"/>
      <c r="R488" s="48"/>
      <c r="S488" s="48"/>
      <c r="T488" s="48"/>
      <c r="U488" s="48"/>
      <c r="V488" s="48"/>
      <c r="W488" s="48"/>
      <c r="X488" s="48"/>
      <c r="Y488" s="879"/>
      <c r="Z488" s="879"/>
      <c r="AA488" s="471"/>
    </row>
    <row r="489" spans="1:33" s="76" customFormat="1" ht="30" hidden="1" customHeight="1">
      <c r="A489" s="873"/>
      <c r="B489" s="826" t="s">
        <v>447</v>
      </c>
      <c r="C489" s="659"/>
      <c r="D489" s="102"/>
      <c r="E489" s="102"/>
      <c r="F489" s="659"/>
      <c r="G489" s="659"/>
      <c r="H489" s="11"/>
      <c r="I489" s="11"/>
      <c r="J489" s="11"/>
      <c r="K489" s="11"/>
      <c r="L489" s="11"/>
      <c r="M489" s="48"/>
      <c r="N489" s="48"/>
      <c r="O489" s="48"/>
      <c r="P489" s="48"/>
      <c r="Q489" s="48"/>
      <c r="R489" s="48"/>
      <c r="S489" s="48"/>
      <c r="T489" s="48"/>
      <c r="U489" s="48"/>
      <c r="V489" s="48"/>
      <c r="W489" s="48"/>
      <c r="X489" s="48"/>
      <c r="Y489" s="879"/>
      <c r="Z489" s="879"/>
      <c r="AA489" s="471"/>
    </row>
    <row r="490" spans="1:33" s="76" customFormat="1" ht="30" hidden="1" customHeight="1">
      <c r="A490" s="874"/>
      <c r="B490" s="826" t="s">
        <v>447</v>
      </c>
      <c r="C490" s="659"/>
      <c r="D490" s="102"/>
      <c r="E490" s="102"/>
      <c r="F490" s="659"/>
      <c r="G490" s="659"/>
      <c r="H490" s="11"/>
      <c r="I490" s="11"/>
      <c r="J490" s="11"/>
      <c r="K490" s="11"/>
      <c r="L490" s="11"/>
      <c r="M490" s="48"/>
      <c r="N490" s="48"/>
      <c r="O490" s="48"/>
      <c r="P490" s="48"/>
      <c r="Q490" s="48"/>
      <c r="R490" s="48"/>
      <c r="S490" s="48"/>
      <c r="T490" s="48"/>
      <c r="U490" s="48"/>
      <c r="V490" s="48"/>
      <c r="W490" s="48"/>
      <c r="X490" s="48"/>
      <c r="Y490" s="880"/>
      <c r="Z490" s="880"/>
      <c r="AA490" s="471"/>
    </row>
    <row r="491" spans="1:33" ht="30" customHeight="1">
      <c r="A491" s="872" t="s">
        <v>1161</v>
      </c>
      <c r="B491" s="826" t="s">
        <v>745</v>
      </c>
      <c r="C491" s="659"/>
      <c r="D491" s="102"/>
      <c r="E491" s="102"/>
      <c r="F491" s="659"/>
      <c r="G491" s="659"/>
      <c r="H491" s="33">
        <v>0</v>
      </c>
      <c r="I491" s="33">
        <v>0</v>
      </c>
      <c r="J491" s="33">
        <v>0</v>
      </c>
      <c r="K491" s="33">
        <v>0</v>
      </c>
      <c r="L491" s="33">
        <v>0</v>
      </c>
      <c r="M491" s="48" t="s">
        <v>276</v>
      </c>
      <c r="N491" s="48"/>
      <c r="O491" s="48"/>
      <c r="P491" s="48"/>
      <c r="Q491" s="48"/>
      <c r="R491" s="48" t="s">
        <v>276</v>
      </c>
      <c r="S491" s="48"/>
      <c r="T491" s="48"/>
      <c r="U491" s="48"/>
      <c r="V491" s="48"/>
      <c r="W491" s="48" t="s">
        <v>276</v>
      </c>
      <c r="X491" s="48"/>
      <c r="Y491" s="878" t="s">
        <v>26</v>
      </c>
      <c r="Z491" s="896" t="s">
        <v>234</v>
      </c>
    </row>
    <row r="492" spans="1:33" ht="40.5" customHeight="1">
      <c r="A492" s="873"/>
      <c r="B492" s="826" t="s">
        <v>24</v>
      </c>
      <c r="C492" s="659"/>
      <c r="D492" s="102"/>
      <c r="E492" s="102"/>
      <c r="F492" s="659"/>
      <c r="G492" s="659"/>
      <c r="H492" s="33">
        <v>0</v>
      </c>
      <c r="I492" s="33">
        <v>0</v>
      </c>
      <c r="J492" s="33">
        <v>0</v>
      </c>
      <c r="K492" s="33">
        <v>0</v>
      </c>
      <c r="L492" s="33">
        <v>0</v>
      </c>
      <c r="M492" s="48"/>
      <c r="N492" s="48"/>
      <c r="O492" s="48"/>
      <c r="P492" s="48"/>
      <c r="Q492" s="48"/>
      <c r="R492" s="48"/>
      <c r="S492" s="48" t="s">
        <v>489</v>
      </c>
      <c r="T492" s="48" t="s">
        <v>489</v>
      </c>
      <c r="U492" s="48" t="s">
        <v>489</v>
      </c>
      <c r="V492" s="48" t="s">
        <v>489</v>
      </c>
      <c r="W492" s="48"/>
      <c r="X492" s="48"/>
      <c r="Y492" s="879"/>
      <c r="Z492" s="896"/>
    </row>
    <row r="493" spans="1:33" ht="38.25" customHeight="1">
      <c r="A493" s="873"/>
      <c r="B493" s="840" t="s">
        <v>1143</v>
      </c>
      <c r="C493" s="659">
        <v>176</v>
      </c>
      <c r="D493" s="102" t="s">
        <v>487</v>
      </c>
      <c r="E493" s="102" t="s">
        <v>488</v>
      </c>
      <c r="F493" s="659">
        <v>6100302810</v>
      </c>
      <c r="G493" s="659">
        <v>244</v>
      </c>
      <c r="H493" s="11">
        <f t="shared" ref="H493:V493" si="85">H494</f>
        <v>168484.3</v>
      </c>
      <c r="I493" s="11">
        <f t="shared" si="85"/>
        <v>109929.1</v>
      </c>
      <c r="J493" s="11">
        <f t="shared" si="85"/>
        <v>42072.010999999999</v>
      </c>
      <c r="K493" s="11">
        <f t="shared" si="85"/>
        <v>0</v>
      </c>
      <c r="L493" s="11">
        <f t="shared" si="85"/>
        <v>16483.188999999998</v>
      </c>
      <c r="M493" s="48">
        <f t="shared" si="85"/>
        <v>103238.5</v>
      </c>
      <c r="N493" s="48">
        <f t="shared" si="85"/>
        <v>19369.48</v>
      </c>
      <c r="O493" s="48">
        <f t="shared" si="85"/>
        <v>78791.08</v>
      </c>
      <c r="P493" s="48">
        <f t="shared" si="85"/>
        <v>3256.8220000000001</v>
      </c>
      <c r="Q493" s="48">
        <f t="shared" si="85"/>
        <v>1821.1</v>
      </c>
      <c r="R493" s="48">
        <f t="shared" si="85"/>
        <v>204581.1</v>
      </c>
      <c r="S493" s="48">
        <f t="shared" si="85"/>
        <v>20020.075860000001</v>
      </c>
      <c r="T493" s="48">
        <f t="shared" si="85"/>
        <v>11265.51065</v>
      </c>
      <c r="U493" s="48">
        <f t="shared" si="85"/>
        <v>11297.955250000001</v>
      </c>
      <c r="V493" s="48">
        <f t="shared" si="85"/>
        <v>161997.55824000001</v>
      </c>
      <c r="W493" s="48">
        <f>W494</f>
        <v>162586.29999999999</v>
      </c>
      <c r="X493" s="48">
        <f>X494</f>
        <v>200000</v>
      </c>
      <c r="Y493" s="879"/>
      <c r="Z493" s="896"/>
    </row>
    <row r="494" spans="1:33" ht="34.5" customHeight="1">
      <c r="A494" s="873"/>
      <c r="B494" s="826" t="s">
        <v>10</v>
      </c>
      <c r="C494" s="659">
        <v>176</v>
      </c>
      <c r="D494" s="102" t="s">
        <v>487</v>
      </c>
      <c r="E494" s="102" t="s">
        <v>488</v>
      </c>
      <c r="F494" s="659">
        <v>6100302810</v>
      </c>
      <c r="G494" s="659">
        <v>244</v>
      </c>
      <c r="H494" s="11">
        <f>SUM(I494:L494)</f>
        <v>168484.3</v>
      </c>
      <c r="I494" s="11">
        <v>109929.1</v>
      </c>
      <c r="J494" s="11">
        <v>42072.010999999999</v>
      </c>
      <c r="K494" s="11">
        <v>0</v>
      </c>
      <c r="L494" s="11">
        <v>16483.188999999998</v>
      </c>
      <c r="M494" s="48">
        <f>179180.3-10000-11893.8-33596-20452</f>
        <v>103238.5</v>
      </c>
      <c r="N494" s="48">
        <v>19369.48</v>
      </c>
      <c r="O494" s="48">
        <v>78791.08</v>
      </c>
      <c r="P494" s="48">
        <v>3256.8220000000001</v>
      </c>
      <c r="Q494" s="48">
        <v>1821.1</v>
      </c>
      <c r="R494" s="48">
        <f>S494+T494+U494+V494</f>
        <v>204581.1</v>
      </c>
      <c r="S494" s="48">
        <v>20020.075860000001</v>
      </c>
      <c r="T494" s="48">
        <v>11265.51065</v>
      </c>
      <c r="U494" s="48">
        <v>11297.955250000001</v>
      </c>
      <c r="V494" s="48">
        <f>15232.95824+72645.8-83.7+74197.1+5.4</f>
        <v>161997.55824000001</v>
      </c>
      <c r="W494" s="48">
        <v>162586.29999999999</v>
      </c>
      <c r="X494" s="48">
        <v>200000</v>
      </c>
      <c r="Y494" s="879"/>
      <c r="Z494" s="896"/>
      <c r="AG494" s="71"/>
    </row>
    <row r="495" spans="1:33" ht="30" customHeight="1">
      <c r="A495" s="873"/>
      <c r="B495" s="826" t="s">
        <v>436</v>
      </c>
      <c r="C495" s="659"/>
      <c r="D495" s="102"/>
      <c r="E495" s="102"/>
      <c r="F495" s="659"/>
      <c r="G495" s="659"/>
      <c r="H495" s="33">
        <v>0</v>
      </c>
      <c r="I495" s="33">
        <v>0</v>
      </c>
      <c r="J495" s="33">
        <v>0</v>
      </c>
      <c r="K495" s="33">
        <v>0</v>
      </c>
      <c r="L495" s="33">
        <v>0</v>
      </c>
      <c r="M495" s="48"/>
      <c r="N495" s="48"/>
      <c r="O495" s="48"/>
      <c r="P495" s="48"/>
      <c r="Q495" s="48"/>
      <c r="R495" s="48"/>
      <c r="S495" s="48"/>
      <c r="T495" s="48"/>
      <c r="U495" s="48"/>
      <c r="V495" s="48"/>
      <c r="W495" s="48"/>
      <c r="X495" s="48"/>
      <c r="Y495" s="30"/>
      <c r="Z495" s="896"/>
    </row>
    <row r="496" spans="1:33" ht="33.75" customHeight="1">
      <c r="A496" s="873"/>
      <c r="B496" s="826" t="s">
        <v>435</v>
      </c>
      <c r="C496" s="659"/>
      <c r="D496" s="102"/>
      <c r="E496" s="102"/>
      <c r="F496" s="659"/>
      <c r="G496" s="659"/>
      <c r="H496" s="33">
        <v>0</v>
      </c>
      <c r="I496" s="33">
        <v>0</v>
      </c>
      <c r="J496" s="33">
        <v>0</v>
      </c>
      <c r="K496" s="33">
        <v>0</v>
      </c>
      <c r="L496" s="33">
        <v>0</v>
      </c>
      <c r="M496" s="48"/>
      <c r="N496" s="48"/>
      <c r="O496" s="48"/>
      <c r="P496" s="48"/>
      <c r="Q496" s="48"/>
      <c r="R496" s="48"/>
      <c r="S496" s="48"/>
      <c r="T496" s="48"/>
      <c r="U496" s="48"/>
      <c r="V496" s="48"/>
      <c r="W496" s="48"/>
      <c r="X496" s="48"/>
      <c r="Y496" s="30"/>
      <c r="Z496" s="896"/>
    </row>
    <row r="497" spans="1:27" ht="33.75" customHeight="1">
      <c r="A497" s="873"/>
      <c r="B497" s="826" t="s">
        <v>447</v>
      </c>
      <c r="C497" s="659"/>
      <c r="D497" s="102"/>
      <c r="E497" s="102"/>
      <c r="F497" s="659"/>
      <c r="G497" s="659"/>
      <c r="H497" s="33"/>
      <c r="I497" s="33"/>
      <c r="J497" s="33"/>
      <c r="K497" s="33"/>
      <c r="L497" s="33"/>
      <c r="M497" s="48"/>
      <c r="N497" s="48"/>
      <c r="O497" s="48"/>
      <c r="P497" s="48"/>
      <c r="Q497" s="48"/>
      <c r="R497" s="48"/>
      <c r="S497" s="48"/>
      <c r="T497" s="48"/>
      <c r="U497" s="48"/>
      <c r="V497" s="48"/>
      <c r="W497" s="48"/>
      <c r="X497" s="48"/>
      <c r="Y497" s="30"/>
      <c r="Z497" s="896"/>
    </row>
    <row r="498" spans="1:27" ht="23.25" customHeight="1">
      <c r="A498" s="874"/>
      <c r="B498" s="826" t="s">
        <v>1010</v>
      </c>
      <c r="C498" s="659"/>
      <c r="D498" s="102"/>
      <c r="E498" s="102"/>
      <c r="F498" s="659"/>
      <c r="G498" s="659"/>
      <c r="H498" s="33"/>
      <c r="I498" s="33"/>
      <c r="J498" s="33"/>
      <c r="K498" s="33"/>
      <c r="L498" s="33"/>
      <c r="M498" s="48"/>
      <c r="N498" s="48"/>
      <c r="O498" s="48"/>
      <c r="P498" s="48"/>
      <c r="Q498" s="48"/>
      <c r="R498" s="48"/>
      <c r="S498" s="48"/>
      <c r="T498" s="48"/>
      <c r="U498" s="48"/>
      <c r="V498" s="48"/>
      <c r="W498" s="48"/>
      <c r="X498" s="48"/>
      <c r="Y498" s="30"/>
      <c r="Z498" s="896"/>
    </row>
    <row r="499" spans="1:27" s="76" customFormat="1" ht="26.45" hidden="1" customHeight="1">
      <c r="A499" s="872" t="s">
        <v>499</v>
      </c>
      <c r="B499" s="826" t="s">
        <v>648</v>
      </c>
      <c r="C499" s="659"/>
      <c r="D499" s="659"/>
      <c r="E499" s="659"/>
      <c r="F499" s="659"/>
      <c r="G499" s="659"/>
      <c r="H499" s="27"/>
      <c r="I499" s="659"/>
      <c r="J499" s="659"/>
      <c r="K499" s="659"/>
      <c r="L499" s="27"/>
      <c r="M499" s="58"/>
      <c r="N499" s="58"/>
      <c r="O499" s="58"/>
      <c r="P499" s="58"/>
      <c r="Q499" s="58"/>
      <c r="R499" s="58"/>
      <c r="S499" s="58"/>
      <c r="T499" s="58"/>
      <c r="U499" s="58"/>
      <c r="V499" s="58"/>
      <c r="W499" s="58"/>
      <c r="X499" s="58"/>
      <c r="Y499" s="878"/>
      <c r="Z499" s="878" t="s">
        <v>536</v>
      </c>
      <c r="AA499" s="471"/>
    </row>
    <row r="500" spans="1:27" s="76" customFormat="1" ht="44.25" hidden="1" customHeight="1">
      <c r="A500" s="873"/>
      <c r="B500" s="826" t="s">
        <v>493</v>
      </c>
      <c r="C500" s="659"/>
      <c r="D500" s="659"/>
      <c r="E500" s="659"/>
      <c r="F500" s="659"/>
      <c r="G500" s="659"/>
      <c r="H500" s="11"/>
      <c r="I500" s="11"/>
      <c r="J500" s="11"/>
      <c r="K500" s="11"/>
      <c r="L500" s="11"/>
      <c r="M500" s="48"/>
      <c r="N500" s="48"/>
      <c r="O500" s="48"/>
      <c r="P500" s="48"/>
      <c r="Q500" s="48"/>
      <c r="R500" s="48"/>
      <c r="S500" s="48"/>
      <c r="T500" s="48"/>
      <c r="U500" s="48"/>
      <c r="V500" s="48"/>
      <c r="W500" s="48"/>
      <c r="X500" s="48"/>
      <c r="Y500" s="879"/>
      <c r="Z500" s="879"/>
      <c r="AA500" s="471"/>
    </row>
    <row r="501" spans="1:27" s="76" customFormat="1" ht="30.75" hidden="1" customHeight="1">
      <c r="A501" s="873"/>
      <c r="B501" s="826" t="s">
        <v>517</v>
      </c>
      <c r="C501" s="659">
        <v>176</v>
      </c>
      <c r="D501" s="102" t="s">
        <v>487</v>
      </c>
      <c r="E501" s="102" t="s">
        <v>488</v>
      </c>
      <c r="F501" s="659">
        <v>6100302810</v>
      </c>
      <c r="G501" s="659">
        <v>244</v>
      </c>
      <c r="H501" s="11"/>
      <c r="I501" s="11"/>
      <c r="J501" s="11"/>
      <c r="K501" s="11"/>
      <c r="L501" s="11"/>
      <c r="M501" s="48"/>
      <c r="N501" s="48"/>
      <c r="O501" s="48"/>
      <c r="P501" s="48"/>
      <c r="Q501" s="48"/>
      <c r="R501" s="48">
        <f>R502</f>
        <v>204581.1</v>
      </c>
      <c r="S501" s="48">
        <f t="shared" ref="S501:V501" si="86">S502</f>
        <v>0</v>
      </c>
      <c r="T501" s="48">
        <f t="shared" si="86"/>
        <v>25116.799999999999</v>
      </c>
      <c r="U501" s="48">
        <f t="shared" si="86"/>
        <v>29737.24</v>
      </c>
      <c r="V501" s="48">
        <f t="shared" si="86"/>
        <v>149727.06000000003</v>
      </c>
      <c r="W501" s="48">
        <f t="shared" ref="W501" si="87">W502</f>
        <v>162586.29999999999</v>
      </c>
      <c r="X501" s="48">
        <f t="shared" ref="X501" si="88">X502</f>
        <v>200000</v>
      </c>
      <c r="Y501" s="879"/>
      <c r="Z501" s="879"/>
      <c r="AA501" s="471"/>
    </row>
    <row r="502" spans="1:27" s="76" customFormat="1" ht="32.450000000000003" hidden="1" customHeight="1">
      <c r="A502" s="873"/>
      <c r="B502" s="404" t="s">
        <v>247</v>
      </c>
      <c r="C502" s="659">
        <v>176</v>
      </c>
      <c r="D502" s="102" t="s">
        <v>487</v>
      </c>
      <c r="E502" s="102" t="s">
        <v>488</v>
      </c>
      <c r="F502" s="659">
        <v>6100302810</v>
      </c>
      <c r="G502" s="659">
        <v>244</v>
      </c>
      <c r="H502" s="11"/>
      <c r="I502" s="11"/>
      <c r="J502" s="11"/>
      <c r="K502" s="11"/>
      <c r="L502" s="11"/>
      <c r="M502" s="48"/>
      <c r="N502" s="48"/>
      <c r="O502" s="48"/>
      <c r="P502" s="48"/>
      <c r="Q502" s="48"/>
      <c r="R502" s="48">
        <f>R494-R508</f>
        <v>204581.1</v>
      </c>
      <c r="S502" s="48">
        <v>0</v>
      </c>
      <c r="T502" s="48">
        <v>25116.799999999999</v>
      </c>
      <c r="U502" s="48">
        <v>29737.24</v>
      </c>
      <c r="V502" s="48">
        <f>R502-S502-T502-U502</f>
        <v>149727.06000000003</v>
      </c>
      <c r="W502" s="48">
        <f t="shared" ref="W502:X502" si="89">W494</f>
        <v>162586.29999999999</v>
      </c>
      <c r="X502" s="48">
        <f t="shared" si="89"/>
        <v>200000</v>
      </c>
      <c r="Y502" s="879"/>
      <c r="Z502" s="879"/>
      <c r="AA502" s="471"/>
    </row>
    <row r="503" spans="1:27" s="76" customFormat="1" ht="30" hidden="1" customHeight="1">
      <c r="A503" s="873"/>
      <c r="B503" s="826" t="s">
        <v>436</v>
      </c>
      <c r="C503" s="659"/>
      <c r="D503" s="102"/>
      <c r="E503" s="102"/>
      <c r="F503" s="659"/>
      <c r="G503" s="659"/>
      <c r="H503" s="11"/>
      <c r="I503" s="11"/>
      <c r="J503" s="11"/>
      <c r="K503" s="11"/>
      <c r="L503" s="11"/>
      <c r="M503" s="48"/>
      <c r="N503" s="48"/>
      <c r="O503" s="48"/>
      <c r="P503" s="48"/>
      <c r="Q503" s="48"/>
      <c r="R503" s="48"/>
      <c r="S503" s="48"/>
      <c r="T503" s="48"/>
      <c r="U503" s="48"/>
      <c r="V503" s="48"/>
      <c r="W503" s="48"/>
      <c r="X503" s="48"/>
      <c r="Y503" s="879"/>
      <c r="Z503" s="879"/>
      <c r="AA503" s="471"/>
    </row>
    <row r="504" spans="1:27" s="76" customFormat="1" ht="27.75" hidden="1" customHeight="1">
      <c r="A504" s="873"/>
      <c r="B504" s="826" t="s">
        <v>435</v>
      </c>
      <c r="C504" s="659"/>
      <c r="D504" s="102"/>
      <c r="E504" s="102"/>
      <c r="F504" s="659"/>
      <c r="G504" s="659"/>
      <c r="H504" s="11"/>
      <c r="I504" s="11"/>
      <c r="J504" s="11"/>
      <c r="K504" s="11"/>
      <c r="L504" s="11"/>
      <c r="M504" s="48"/>
      <c r="N504" s="48"/>
      <c r="O504" s="48"/>
      <c r="P504" s="48"/>
      <c r="Q504" s="48"/>
      <c r="R504" s="48"/>
      <c r="S504" s="48"/>
      <c r="T504" s="48"/>
      <c r="U504" s="48"/>
      <c r="V504" s="48"/>
      <c r="W504" s="48"/>
      <c r="X504" s="48"/>
      <c r="Y504" s="879"/>
      <c r="Z504" s="879"/>
      <c r="AA504" s="471"/>
    </row>
    <row r="505" spans="1:27" s="76" customFormat="1" ht="104.25" hidden="1" customHeight="1">
      <c r="A505" s="874"/>
      <c r="B505" s="826" t="s">
        <v>447</v>
      </c>
      <c r="C505" s="659"/>
      <c r="D505" s="102"/>
      <c r="E505" s="102"/>
      <c r="F505" s="659"/>
      <c r="G505" s="659"/>
      <c r="H505" s="11"/>
      <c r="I505" s="11"/>
      <c r="J505" s="11"/>
      <c r="K505" s="11"/>
      <c r="L505" s="11"/>
      <c r="M505" s="48"/>
      <c r="N505" s="48"/>
      <c r="O505" s="48"/>
      <c r="P505" s="48"/>
      <c r="Q505" s="48"/>
      <c r="R505" s="48"/>
      <c r="S505" s="48"/>
      <c r="T505" s="48"/>
      <c r="U505" s="48"/>
      <c r="V505" s="48"/>
      <c r="W505" s="48"/>
      <c r="X505" s="48"/>
      <c r="Y505" s="880"/>
      <c r="Z505" s="880"/>
      <c r="AA505" s="471"/>
    </row>
    <row r="506" spans="1:27" s="76" customFormat="1" ht="26.45" hidden="1" customHeight="1">
      <c r="A506" s="872" t="s">
        <v>777</v>
      </c>
      <c r="B506" s="826" t="s">
        <v>648</v>
      </c>
      <c r="C506" s="659"/>
      <c r="D506" s="659"/>
      <c r="E506" s="659"/>
      <c r="F506" s="659"/>
      <c r="G506" s="659"/>
      <c r="H506" s="27"/>
      <c r="I506" s="659"/>
      <c r="J506" s="659"/>
      <c r="K506" s="659"/>
      <c r="L506" s="27"/>
      <c r="M506" s="58"/>
      <c r="N506" s="58"/>
      <c r="O506" s="58"/>
      <c r="P506" s="58"/>
      <c r="Q506" s="58"/>
      <c r="R506" s="58"/>
      <c r="S506" s="58"/>
      <c r="T506" s="58"/>
      <c r="U506" s="58"/>
      <c r="V506" s="58"/>
      <c r="W506" s="58"/>
      <c r="X506" s="58"/>
      <c r="Y506" s="878"/>
      <c r="Z506" s="878"/>
      <c r="AA506" s="471"/>
    </row>
    <row r="507" spans="1:27" s="76" customFormat="1" ht="31.5" hidden="1" customHeight="1">
      <c r="A507" s="873"/>
      <c r="B507" s="826" t="s">
        <v>493</v>
      </c>
      <c r="C507" s="659"/>
      <c r="D507" s="659"/>
      <c r="E507" s="659"/>
      <c r="F507" s="659"/>
      <c r="G507" s="659"/>
      <c r="H507" s="11"/>
      <c r="I507" s="11"/>
      <c r="J507" s="11"/>
      <c r="K507" s="11"/>
      <c r="L507" s="11"/>
      <c r="M507" s="48"/>
      <c r="N507" s="48"/>
      <c r="O507" s="48"/>
      <c r="P507" s="48"/>
      <c r="Q507" s="48"/>
      <c r="R507" s="48"/>
      <c r="S507" s="48"/>
      <c r="T507" s="48"/>
      <c r="U507" s="48"/>
      <c r="V507" s="48"/>
      <c r="W507" s="48"/>
      <c r="X507" s="48"/>
      <c r="Y507" s="879"/>
      <c r="Z507" s="879"/>
      <c r="AA507" s="471"/>
    </row>
    <row r="508" spans="1:27" s="76" customFormat="1" ht="30.75" hidden="1" customHeight="1">
      <c r="A508" s="873"/>
      <c r="B508" s="826" t="s">
        <v>494</v>
      </c>
      <c r="C508" s="659">
        <v>176</v>
      </c>
      <c r="D508" s="102" t="s">
        <v>487</v>
      </c>
      <c r="E508" s="102" t="s">
        <v>488</v>
      </c>
      <c r="F508" s="659">
        <v>6100302810</v>
      </c>
      <c r="G508" s="659">
        <v>244</v>
      </c>
      <c r="H508" s="11"/>
      <c r="I508" s="11"/>
      <c r="J508" s="11"/>
      <c r="K508" s="11"/>
      <c r="L508" s="11"/>
      <c r="M508" s="48"/>
      <c r="N508" s="48"/>
      <c r="O508" s="48"/>
      <c r="P508" s="48"/>
      <c r="Q508" s="48"/>
      <c r="R508" s="48">
        <f>R509</f>
        <v>0</v>
      </c>
      <c r="S508" s="48">
        <f>S509</f>
        <v>0</v>
      </c>
      <c r="T508" s="48"/>
      <c r="U508" s="48"/>
      <c r="V508" s="48"/>
      <c r="W508" s="48"/>
      <c r="X508" s="48"/>
      <c r="Y508" s="879"/>
      <c r="Z508" s="879"/>
      <c r="AA508" s="471"/>
    </row>
    <row r="509" spans="1:27" s="76" customFormat="1" ht="32.450000000000003" hidden="1" customHeight="1">
      <c r="A509" s="873"/>
      <c r="B509" s="404" t="s">
        <v>496</v>
      </c>
      <c r="C509" s="659">
        <v>176</v>
      </c>
      <c r="D509" s="102" t="s">
        <v>487</v>
      </c>
      <c r="E509" s="102" t="s">
        <v>488</v>
      </c>
      <c r="F509" s="659">
        <v>6100302810</v>
      </c>
      <c r="G509" s="659">
        <v>244</v>
      </c>
      <c r="H509" s="11"/>
      <c r="I509" s="11"/>
      <c r="J509" s="11"/>
      <c r="K509" s="11"/>
      <c r="L509" s="11"/>
      <c r="M509" s="48"/>
      <c r="N509" s="48"/>
      <c r="O509" s="48"/>
      <c r="P509" s="48"/>
      <c r="Q509" s="48"/>
      <c r="R509" s="48">
        <v>0</v>
      </c>
      <c r="S509" s="48">
        <v>0</v>
      </c>
      <c r="T509" s="48"/>
      <c r="U509" s="48"/>
      <c r="V509" s="48"/>
      <c r="W509" s="48"/>
      <c r="X509" s="48"/>
      <c r="Y509" s="879"/>
      <c r="Z509" s="879"/>
      <c r="AA509" s="471"/>
    </row>
    <row r="510" spans="1:27" s="76" customFormat="1" ht="30" hidden="1" customHeight="1">
      <c r="A510" s="873"/>
      <c r="B510" s="826" t="s">
        <v>436</v>
      </c>
      <c r="C510" s="659"/>
      <c r="D510" s="102"/>
      <c r="E510" s="102"/>
      <c r="F510" s="659"/>
      <c r="G510" s="659"/>
      <c r="H510" s="11"/>
      <c r="I510" s="11"/>
      <c r="J510" s="11"/>
      <c r="K510" s="11"/>
      <c r="L510" s="11"/>
      <c r="M510" s="48"/>
      <c r="N510" s="48"/>
      <c r="O510" s="48"/>
      <c r="P510" s="48"/>
      <c r="Q510" s="48"/>
      <c r="R510" s="48"/>
      <c r="S510" s="48"/>
      <c r="T510" s="48"/>
      <c r="U510" s="48"/>
      <c r="V510" s="48"/>
      <c r="W510" s="48"/>
      <c r="X510" s="48"/>
      <c r="Y510" s="879"/>
      <c r="Z510" s="879"/>
      <c r="AA510" s="471"/>
    </row>
    <row r="511" spans="1:27" s="76" customFormat="1" ht="31.5" hidden="1" customHeight="1">
      <c r="A511" s="873"/>
      <c r="B511" s="826" t="s">
        <v>435</v>
      </c>
      <c r="C511" s="659"/>
      <c r="D511" s="102"/>
      <c r="E511" s="102"/>
      <c r="F511" s="659"/>
      <c r="G511" s="659"/>
      <c r="H511" s="11"/>
      <c r="I511" s="11"/>
      <c r="J511" s="11"/>
      <c r="K511" s="11"/>
      <c r="L511" s="11"/>
      <c r="M511" s="48"/>
      <c r="N511" s="48"/>
      <c r="O511" s="48"/>
      <c r="P511" s="48"/>
      <c r="Q511" s="48"/>
      <c r="R511" s="48"/>
      <c r="S511" s="48"/>
      <c r="T511" s="48"/>
      <c r="U511" s="48"/>
      <c r="V511" s="48"/>
      <c r="W511" s="48"/>
      <c r="X511" s="48"/>
      <c r="Y511" s="879"/>
      <c r="Z511" s="879"/>
      <c r="AA511" s="471"/>
    </row>
    <row r="512" spans="1:27" s="76" customFormat="1" ht="30" hidden="1" customHeight="1">
      <c r="A512" s="874"/>
      <c r="B512" s="826" t="s">
        <v>447</v>
      </c>
      <c r="C512" s="659"/>
      <c r="D512" s="102"/>
      <c r="E512" s="102"/>
      <c r="F512" s="659"/>
      <c r="G512" s="659"/>
      <c r="H512" s="11"/>
      <c r="I512" s="11"/>
      <c r="J512" s="11"/>
      <c r="K512" s="11"/>
      <c r="L512" s="11"/>
      <c r="M512" s="48"/>
      <c r="N512" s="48"/>
      <c r="O512" s="48"/>
      <c r="P512" s="48"/>
      <c r="Q512" s="48"/>
      <c r="R512" s="48"/>
      <c r="S512" s="48"/>
      <c r="T512" s="48"/>
      <c r="U512" s="48"/>
      <c r="V512" s="48"/>
      <c r="W512" s="48"/>
      <c r="X512" s="48"/>
      <c r="Y512" s="880"/>
      <c r="Z512" s="880"/>
      <c r="AA512" s="471"/>
    </row>
    <row r="513" spans="1:27" ht="27" hidden="1" customHeight="1">
      <c r="A513" s="872" t="s">
        <v>719</v>
      </c>
      <c r="B513" s="826" t="s">
        <v>91</v>
      </c>
      <c r="C513" s="659"/>
      <c r="D513" s="102"/>
      <c r="E513" s="102"/>
      <c r="F513" s="659"/>
      <c r="G513" s="659"/>
      <c r="H513" s="33">
        <v>0</v>
      </c>
      <c r="I513" s="33">
        <v>0</v>
      </c>
      <c r="J513" s="33">
        <v>0</v>
      </c>
      <c r="K513" s="33">
        <v>0</v>
      </c>
      <c r="L513" s="33">
        <v>0</v>
      </c>
      <c r="M513" s="48" t="s">
        <v>276</v>
      </c>
      <c r="N513" s="48"/>
      <c r="O513" s="48"/>
      <c r="P513" s="48"/>
      <c r="Q513" s="48"/>
      <c r="R513" s="48">
        <f>R521</f>
        <v>0</v>
      </c>
      <c r="S513" s="48"/>
      <c r="T513" s="48"/>
      <c r="U513" s="48"/>
      <c r="V513" s="48"/>
      <c r="W513" s="48">
        <v>0</v>
      </c>
      <c r="X513" s="48">
        <v>0</v>
      </c>
      <c r="Y513" s="878" t="s">
        <v>26</v>
      </c>
      <c r="Z513" s="867" t="s">
        <v>857</v>
      </c>
    </row>
    <row r="514" spans="1:27" ht="43.5" hidden="1" customHeight="1">
      <c r="A514" s="873"/>
      <c r="B514" s="826" t="s">
        <v>24</v>
      </c>
      <c r="C514" s="659"/>
      <c r="D514" s="102"/>
      <c r="E514" s="102"/>
      <c r="F514" s="659"/>
      <c r="G514" s="659"/>
      <c r="H514" s="33">
        <v>0</v>
      </c>
      <c r="I514" s="33">
        <v>0</v>
      </c>
      <c r="J514" s="33">
        <v>0</v>
      </c>
      <c r="K514" s="33">
        <v>0</v>
      </c>
      <c r="L514" s="33">
        <v>0</v>
      </c>
      <c r="M514" s="48"/>
      <c r="N514" s="48"/>
      <c r="O514" s="48"/>
      <c r="P514" s="48"/>
      <c r="Q514" s="48"/>
      <c r="R514" s="48"/>
      <c r="S514" s="48" t="s">
        <v>489</v>
      </c>
      <c r="T514" s="48" t="s">
        <v>489</v>
      </c>
      <c r="U514" s="48" t="s">
        <v>489</v>
      </c>
      <c r="V514" s="48" t="s">
        <v>489</v>
      </c>
      <c r="W514" s="48">
        <v>0</v>
      </c>
      <c r="X514" s="48">
        <v>0</v>
      </c>
      <c r="Y514" s="879"/>
      <c r="Z514" s="906"/>
    </row>
    <row r="515" spans="1:27" ht="33.75" hidden="1" customHeight="1">
      <c r="A515" s="873"/>
      <c r="B515" s="826" t="s">
        <v>25</v>
      </c>
      <c r="C515" s="659">
        <v>176</v>
      </c>
      <c r="D515" s="102" t="s">
        <v>487</v>
      </c>
      <c r="E515" s="102" t="s">
        <v>488</v>
      </c>
      <c r="F515" s="659">
        <v>6100302810</v>
      </c>
      <c r="G515" s="659">
        <v>244</v>
      </c>
      <c r="H515" s="11">
        <f t="shared" ref="H515:V515" si="90">H517</f>
        <v>471538.50000000006</v>
      </c>
      <c r="I515" s="11">
        <f t="shared" si="90"/>
        <v>98825.3</v>
      </c>
      <c r="J515" s="11">
        <f t="shared" si="90"/>
        <v>186244.05599999995</v>
      </c>
      <c r="K515" s="11">
        <f t="shared" si="90"/>
        <v>93862.900000000023</v>
      </c>
      <c r="L515" s="11">
        <f t="shared" si="90"/>
        <v>92606.299999999974</v>
      </c>
      <c r="M515" s="48">
        <f t="shared" si="90"/>
        <v>613669.1</v>
      </c>
      <c r="N515" s="48">
        <f t="shared" si="90"/>
        <v>274168.0493502465</v>
      </c>
      <c r="O515" s="48">
        <f t="shared" si="90"/>
        <v>70347.058700493129</v>
      </c>
      <c r="P515" s="48">
        <f t="shared" si="90"/>
        <v>152928.4</v>
      </c>
      <c r="Q515" s="48">
        <f t="shared" si="90"/>
        <v>116225.60519802752</v>
      </c>
      <c r="R515" s="48">
        <f t="shared" si="90"/>
        <v>0</v>
      </c>
      <c r="S515" s="48">
        <f t="shared" si="90"/>
        <v>0</v>
      </c>
      <c r="T515" s="48">
        <f t="shared" si="90"/>
        <v>0</v>
      </c>
      <c r="U515" s="48">
        <f t="shared" si="90"/>
        <v>0</v>
      </c>
      <c r="V515" s="48">
        <f t="shared" si="90"/>
        <v>0</v>
      </c>
      <c r="W515" s="48">
        <f>W517</f>
        <v>0</v>
      </c>
      <c r="X515" s="48">
        <f>X517</f>
        <v>0</v>
      </c>
      <c r="Y515" s="879"/>
      <c r="Z515" s="906"/>
    </row>
    <row r="516" spans="1:27" hidden="1">
      <c r="A516" s="873"/>
      <c r="B516" s="826" t="s">
        <v>9</v>
      </c>
      <c r="C516" s="659"/>
      <c r="D516" s="102"/>
      <c r="E516" s="102"/>
      <c r="F516" s="659"/>
      <c r="G516" s="659"/>
      <c r="H516" s="11"/>
      <c r="I516" s="11"/>
      <c r="J516" s="11"/>
      <c r="K516" s="11"/>
      <c r="L516" s="11"/>
      <c r="M516" s="48"/>
      <c r="N516" s="48"/>
      <c r="O516" s="48"/>
      <c r="P516" s="48"/>
      <c r="Q516" s="48"/>
      <c r="R516" s="48"/>
      <c r="S516" s="48"/>
      <c r="T516" s="48"/>
      <c r="U516" s="48"/>
      <c r="V516" s="48"/>
      <c r="W516" s="48"/>
      <c r="X516" s="48"/>
      <c r="Y516" s="879"/>
      <c r="Z516" s="906"/>
    </row>
    <row r="517" spans="1:27" ht="36.75" hidden="1" customHeight="1">
      <c r="A517" s="873"/>
      <c r="B517" s="826" t="s">
        <v>10</v>
      </c>
      <c r="C517" s="659">
        <v>176</v>
      </c>
      <c r="D517" s="102" t="s">
        <v>487</v>
      </c>
      <c r="E517" s="102" t="s">
        <v>488</v>
      </c>
      <c r="F517" s="659">
        <v>6100302810</v>
      </c>
      <c r="G517" s="659">
        <v>244</v>
      </c>
      <c r="H517" s="11">
        <f>SUM(H526:H556)</f>
        <v>471538.50000000006</v>
      </c>
      <c r="I517" s="11">
        <f>SUM(I526:I556)</f>
        <v>98825.3</v>
      </c>
      <c r="J517" s="11">
        <f t="shared" ref="J517:X517" si="91">SUM(J526:J555)</f>
        <v>186244.05599999995</v>
      </c>
      <c r="K517" s="11">
        <f t="shared" si="91"/>
        <v>93862.900000000023</v>
      </c>
      <c r="L517" s="11">
        <f t="shared" si="91"/>
        <v>92606.299999999974</v>
      </c>
      <c r="M517" s="48">
        <f>SUM(M526:M556)</f>
        <v>613669.1</v>
      </c>
      <c r="N517" s="48">
        <f>SUM(N526:N556)</f>
        <v>274168.0493502465</v>
      </c>
      <c r="O517" s="48">
        <f t="shared" si="91"/>
        <v>70347.058700493129</v>
      </c>
      <c r="P517" s="48">
        <f t="shared" si="91"/>
        <v>152928.4</v>
      </c>
      <c r="Q517" s="48">
        <f t="shared" si="91"/>
        <v>116225.60519802752</v>
      </c>
      <c r="R517" s="48">
        <f>R523+R560</f>
        <v>0</v>
      </c>
      <c r="S517" s="48">
        <f t="shared" ref="S517:V517" si="92">S523+S560</f>
        <v>0</v>
      </c>
      <c r="T517" s="48">
        <f t="shared" si="92"/>
        <v>0</v>
      </c>
      <c r="U517" s="48">
        <f t="shared" si="92"/>
        <v>0</v>
      </c>
      <c r="V517" s="48">
        <f t="shared" si="92"/>
        <v>0</v>
      </c>
      <c r="W517" s="48">
        <f t="shared" si="91"/>
        <v>0</v>
      </c>
      <c r="X517" s="48">
        <f t="shared" si="91"/>
        <v>0</v>
      </c>
      <c r="Y517" s="879"/>
      <c r="Z517" s="906"/>
    </row>
    <row r="518" spans="1:27" ht="27.75" hidden="1" customHeight="1">
      <c r="A518" s="873"/>
      <c r="B518" s="826" t="s">
        <v>436</v>
      </c>
      <c r="C518" s="659"/>
      <c r="D518" s="102"/>
      <c r="E518" s="102"/>
      <c r="F518" s="659"/>
      <c r="G518" s="659"/>
      <c r="H518" s="33">
        <v>0</v>
      </c>
      <c r="I518" s="33">
        <v>0</v>
      </c>
      <c r="J518" s="33">
        <v>0</v>
      </c>
      <c r="K518" s="33">
        <v>0</v>
      </c>
      <c r="L518" s="33">
        <v>0</v>
      </c>
      <c r="M518" s="48"/>
      <c r="N518" s="48"/>
      <c r="O518" s="48"/>
      <c r="P518" s="48"/>
      <c r="Q518" s="48"/>
      <c r="R518" s="48"/>
      <c r="S518" s="48"/>
      <c r="T518" s="48"/>
      <c r="U518" s="48"/>
      <c r="V518" s="48"/>
      <c r="W518" s="48"/>
      <c r="X518" s="48"/>
      <c r="Y518" s="879"/>
      <c r="Z518" s="906"/>
    </row>
    <row r="519" spans="1:27" ht="28.5" hidden="1" customHeight="1">
      <c r="A519" s="873"/>
      <c r="B519" s="826" t="s">
        <v>435</v>
      </c>
      <c r="C519" s="659"/>
      <c r="D519" s="102"/>
      <c r="E519" s="102"/>
      <c r="F519" s="659"/>
      <c r="G519" s="659"/>
      <c r="H519" s="33">
        <v>0</v>
      </c>
      <c r="I519" s="33">
        <v>0</v>
      </c>
      <c r="J519" s="33">
        <v>0</v>
      </c>
      <c r="K519" s="33">
        <v>0</v>
      </c>
      <c r="L519" s="33">
        <v>0</v>
      </c>
      <c r="M519" s="48"/>
      <c r="N519" s="48"/>
      <c r="O519" s="48"/>
      <c r="P519" s="48"/>
      <c r="Q519" s="48"/>
      <c r="R519" s="48"/>
      <c r="S519" s="48"/>
      <c r="T519" s="48"/>
      <c r="U519" s="48"/>
      <c r="V519" s="48"/>
      <c r="W519" s="48"/>
      <c r="X519" s="48"/>
      <c r="Y519" s="879"/>
      <c r="Z519" s="906"/>
    </row>
    <row r="520" spans="1:27" ht="25.5" hidden="1" customHeight="1">
      <c r="A520" s="874"/>
      <c r="B520" s="826" t="s">
        <v>447</v>
      </c>
      <c r="C520" s="659"/>
      <c r="D520" s="102"/>
      <c r="E520" s="102"/>
      <c r="F520" s="659"/>
      <c r="G520" s="659"/>
      <c r="H520" s="33">
        <v>0</v>
      </c>
      <c r="I520" s="33">
        <v>0</v>
      </c>
      <c r="J520" s="33">
        <v>0</v>
      </c>
      <c r="K520" s="33">
        <v>0</v>
      </c>
      <c r="L520" s="33">
        <v>0</v>
      </c>
      <c r="M520" s="48"/>
      <c r="N520" s="48"/>
      <c r="O520" s="48"/>
      <c r="P520" s="48"/>
      <c r="Q520" s="48"/>
      <c r="R520" s="48"/>
      <c r="S520" s="48"/>
      <c r="T520" s="48"/>
      <c r="U520" s="48"/>
      <c r="V520" s="48"/>
      <c r="W520" s="48"/>
      <c r="X520" s="48"/>
      <c r="Y520" s="879"/>
      <c r="Z520" s="906"/>
    </row>
    <row r="521" spans="1:27" ht="33" hidden="1" customHeight="1">
      <c r="A521" s="872" t="s">
        <v>776</v>
      </c>
      <c r="B521" s="826" t="s">
        <v>91</v>
      </c>
      <c r="C521" s="659"/>
      <c r="D521" s="102"/>
      <c r="E521" s="102"/>
      <c r="F521" s="659"/>
      <c r="G521" s="659"/>
      <c r="H521" s="33"/>
      <c r="I521" s="33"/>
      <c r="J521" s="33"/>
      <c r="K521" s="33"/>
      <c r="L521" s="33"/>
      <c r="M521" s="48"/>
      <c r="N521" s="48"/>
      <c r="O521" s="48"/>
      <c r="P521" s="48"/>
      <c r="Q521" s="48"/>
      <c r="R521" s="48">
        <v>0</v>
      </c>
      <c r="S521" s="48"/>
      <c r="T521" s="48"/>
      <c r="U521" s="48"/>
      <c r="V521" s="48"/>
      <c r="W521" s="48">
        <v>0</v>
      </c>
      <c r="X521" s="48">
        <v>0</v>
      </c>
      <c r="Y521" s="879"/>
      <c r="Z521" s="906"/>
    </row>
    <row r="522" spans="1:27" ht="33" hidden="1" customHeight="1">
      <c r="A522" s="873"/>
      <c r="B522" s="826" t="s">
        <v>24</v>
      </c>
      <c r="C522" s="659">
        <v>176</v>
      </c>
      <c r="D522" s="102" t="s">
        <v>487</v>
      </c>
      <c r="E522" s="102" t="s">
        <v>488</v>
      </c>
      <c r="F522" s="659">
        <v>6100302810</v>
      </c>
      <c r="G522" s="659">
        <v>244</v>
      </c>
      <c r="H522" s="33"/>
      <c r="I522" s="33"/>
      <c r="J522" s="33"/>
      <c r="K522" s="33"/>
      <c r="L522" s="33"/>
      <c r="M522" s="48"/>
      <c r="N522" s="48"/>
      <c r="O522" s="48"/>
      <c r="P522" s="48"/>
      <c r="Q522" s="48"/>
      <c r="R522" s="48"/>
      <c r="S522" s="48" t="s">
        <v>489</v>
      </c>
      <c r="T522" s="48" t="s">
        <v>489</v>
      </c>
      <c r="U522" s="48" t="s">
        <v>489</v>
      </c>
      <c r="V522" s="48" t="s">
        <v>489</v>
      </c>
      <c r="W522" s="48">
        <v>0</v>
      </c>
      <c r="X522" s="48">
        <v>0</v>
      </c>
      <c r="Y522" s="879"/>
      <c r="Z522" s="906"/>
    </row>
    <row r="523" spans="1:27" ht="26.25" hidden="1" customHeight="1">
      <c r="A523" s="873"/>
      <c r="B523" s="826" t="s">
        <v>25</v>
      </c>
      <c r="C523" s="659">
        <v>176</v>
      </c>
      <c r="D523" s="102" t="s">
        <v>487</v>
      </c>
      <c r="E523" s="102" t="s">
        <v>488</v>
      </c>
      <c r="F523" s="659">
        <v>6100302810</v>
      </c>
      <c r="G523" s="659">
        <v>244</v>
      </c>
      <c r="H523" s="33"/>
      <c r="I523" s="33"/>
      <c r="J523" s="33"/>
      <c r="K523" s="33"/>
      <c r="L523" s="33"/>
      <c r="M523" s="48"/>
      <c r="N523" s="48"/>
      <c r="O523" s="48"/>
      <c r="P523" s="48"/>
      <c r="Q523" s="48"/>
      <c r="R523" s="48">
        <f>R524</f>
        <v>0</v>
      </c>
      <c r="S523" s="48">
        <f t="shared" ref="S523:X523" si="93">S524</f>
        <v>0</v>
      </c>
      <c r="T523" s="48">
        <f t="shared" si="93"/>
        <v>0</v>
      </c>
      <c r="U523" s="48">
        <f t="shared" si="93"/>
        <v>0</v>
      </c>
      <c r="V523" s="48">
        <f t="shared" si="93"/>
        <v>0</v>
      </c>
      <c r="W523" s="48">
        <f t="shared" si="93"/>
        <v>0</v>
      </c>
      <c r="X523" s="48">
        <f t="shared" si="93"/>
        <v>0</v>
      </c>
      <c r="Y523" s="879"/>
      <c r="Z523" s="906"/>
    </row>
    <row r="524" spans="1:27" ht="26.25" hidden="1" customHeight="1">
      <c r="A524" s="874"/>
      <c r="B524" s="826" t="s">
        <v>10</v>
      </c>
      <c r="C524" s="659">
        <v>176</v>
      </c>
      <c r="D524" s="102" t="s">
        <v>487</v>
      </c>
      <c r="E524" s="102" t="s">
        <v>488</v>
      </c>
      <c r="F524" s="659">
        <v>6100302810</v>
      </c>
      <c r="G524" s="659">
        <v>244</v>
      </c>
      <c r="H524" s="33"/>
      <c r="I524" s="33"/>
      <c r="J524" s="33"/>
      <c r="K524" s="33"/>
      <c r="L524" s="33"/>
      <c r="M524" s="48"/>
      <c r="N524" s="48"/>
      <c r="O524" s="48"/>
      <c r="P524" s="48"/>
      <c r="Q524" s="48"/>
      <c r="R524" s="48">
        <f>SUM(R526:R555)</f>
        <v>0</v>
      </c>
      <c r="S524" s="48">
        <f t="shared" ref="S524:X524" si="94">SUM(S526:S555)</f>
        <v>0</v>
      </c>
      <c r="T524" s="48">
        <f t="shared" si="94"/>
        <v>0</v>
      </c>
      <c r="U524" s="48">
        <f t="shared" si="94"/>
        <v>0</v>
      </c>
      <c r="V524" s="48">
        <f t="shared" si="94"/>
        <v>0</v>
      </c>
      <c r="W524" s="311">
        <f t="shared" si="94"/>
        <v>0</v>
      </c>
      <c r="X524" s="311">
        <f t="shared" si="94"/>
        <v>0</v>
      </c>
      <c r="Y524" s="879"/>
      <c r="Z524" s="906"/>
      <c r="AA524" s="278"/>
    </row>
    <row r="525" spans="1:27" ht="17.25" hidden="1" customHeight="1">
      <c r="A525" s="297" t="s">
        <v>41</v>
      </c>
      <c r="B525" s="535"/>
      <c r="C525" s="808"/>
      <c r="D525" s="294"/>
      <c r="E525" s="294"/>
      <c r="F525" s="808"/>
      <c r="G525" s="808"/>
      <c r="H525" s="24"/>
      <c r="I525" s="24"/>
      <c r="J525" s="24"/>
      <c r="K525" s="24"/>
      <c r="L525" s="24"/>
      <c r="M525" s="60"/>
      <c r="N525" s="60"/>
      <c r="O525" s="60"/>
      <c r="P525" s="60"/>
      <c r="Q525" s="60"/>
      <c r="R525" s="60"/>
      <c r="S525" s="60"/>
      <c r="T525" s="60"/>
      <c r="U525" s="60"/>
      <c r="V525" s="60"/>
      <c r="W525" s="60"/>
      <c r="X525" s="60"/>
      <c r="Y525" s="879"/>
      <c r="Z525" s="906"/>
    </row>
    <row r="526" spans="1:27" ht="22.5" hidden="1" customHeight="1">
      <c r="A526" s="15" t="s">
        <v>42</v>
      </c>
      <c r="B526" s="535" t="s">
        <v>33</v>
      </c>
      <c r="C526" s="808">
        <v>176</v>
      </c>
      <c r="D526" s="294" t="s">
        <v>487</v>
      </c>
      <c r="E526" s="294" t="s">
        <v>488</v>
      </c>
      <c r="F526" s="808">
        <v>6100302810</v>
      </c>
      <c r="G526" s="808">
        <v>244</v>
      </c>
      <c r="H526" s="9">
        <v>10108.200000000001</v>
      </c>
      <c r="I526" s="9">
        <f>H526*32659.8/405373</f>
        <v>814.39017980970618</v>
      </c>
      <c r="J526" s="9">
        <f>H526*186244.056/405373</f>
        <v>4644.0985631978456</v>
      </c>
      <c r="K526" s="9">
        <f>H526*93862.9/405373</f>
        <v>2340.5233347558915</v>
      </c>
      <c r="L526" s="9">
        <f>H526*92606.3/405373</f>
        <v>2309.1893186275356</v>
      </c>
      <c r="M526" s="62">
        <f>214+6003.8+2760.65</f>
        <v>8978.4500000000007</v>
      </c>
      <c r="N526" s="62">
        <f>M526*205462.55/461713.6</f>
        <v>3995.410211108142</v>
      </c>
      <c r="O526" s="62">
        <f>M526*53097.06/461713.6</f>
        <v>1032.5216722162829</v>
      </c>
      <c r="P526" s="62">
        <f>M526*115428.4/461713.6</f>
        <v>2244.6125000000002</v>
      </c>
      <c r="Q526" s="62">
        <f>M526*87725.6/461713.6</f>
        <v>1705.9058111348684</v>
      </c>
      <c r="R526" s="60">
        <v>0</v>
      </c>
      <c r="S526" s="60">
        <v>0</v>
      </c>
      <c r="T526" s="60">
        <v>0</v>
      </c>
      <c r="U526" s="60">
        <v>0</v>
      </c>
      <c r="V526" s="60">
        <f>R526-S526-T526-U526</f>
        <v>0</v>
      </c>
      <c r="W526" s="60">
        <v>0</v>
      </c>
      <c r="X526" s="60">
        <v>0</v>
      </c>
      <c r="Y526" s="879"/>
      <c r="Z526" s="906"/>
    </row>
    <row r="527" spans="1:27" hidden="1">
      <c r="A527" s="15" t="s">
        <v>43</v>
      </c>
      <c r="B527" s="535" t="s">
        <v>33</v>
      </c>
      <c r="C527" s="808">
        <v>176</v>
      </c>
      <c r="D527" s="294" t="s">
        <v>487</v>
      </c>
      <c r="E527" s="294" t="s">
        <v>488</v>
      </c>
      <c r="F527" s="808">
        <v>6100302810</v>
      </c>
      <c r="G527" s="808">
        <v>244</v>
      </c>
      <c r="H527" s="9">
        <v>4909.7</v>
      </c>
      <c r="I527" s="9">
        <f t="shared" ref="I527:I555" si="95">H527*32659.8/405373</f>
        <v>395.56117467122874</v>
      </c>
      <c r="J527" s="9">
        <f t="shared" ref="J527:J555" si="96">H527*186244.056/405373</f>
        <v>2255.7063290924657</v>
      </c>
      <c r="K527" s="9">
        <f t="shared" ref="K527:K555" si="97">H527*93862.9/405373</f>
        <v>1136.8262813014185</v>
      </c>
      <c r="L527" s="9">
        <f t="shared" ref="L527:L555" si="98">H527*92606.3/405373</f>
        <v>1121.6068931823283</v>
      </c>
      <c r="M527" s="62">
        <f>267.5+9327.5+5521.09</f>
        <v>15116.09</v>
      </c>
      <c r="N527" s="62">
        <f t="shared" ref="N527:N555" si="99">M527*205462.55/461713.6</f>
        <v>6726.6599845217897</v>
      </c>
      <c r="O527" s="62">
        <f t="shared" ref="O527:O555" si="100">M527*53097.06/461713.6</f>
        <v>1738.3502190435804</v>
      </c>
      <c r="P527" s="62">
        <f t="shared" ref="P527:P555" si="101">M527*115428.4/461713.6</f>
        <v>3779.0225</v>
      </c>
      <c r="Q527" s="62">
        <f t="shared" ref="Q527:Q555" si="102">M527*87725.6/461713.6</f>
        <v>2872.057623825679</v>
      </c>
      <c r="R527" s="60">
        <v>0</v>
      </c>
      <c r="S527" s="60">
        <v>0</v>
      </c>
      <c r="T527" s="60">
        <v>0</v>
      </c>
      <c r="U527" s="60">
        <v>0</v>
      </c>
      <c r="V527" s="60">
        <f t="shared" ref="V527:V555" si="103">R527-S527-T527-U527</f>
        <v>0</v>
      </c>
      <c r="W527" s="60">
        <v>0</v>
      </c>
      <c r="X527" s="60">
        <v>0</v>
      </c>
      <c r="Y527" s="879"/>
      <c r="Z527" s="906"/>
    </row>
    <row r="528" spans="1:27" hidden="1">
      <c r="A528" s="15" t="s">
        <v>44</v>
      </c>
      <c r="B528" s="535" t="s">
        <v>33</v>
      </c>
      <c r="C528" s="808">
        <v>176</v>
      </c>
      <c r="D528" s="294" t="s">
        <v>487</v>
      </c>
      <c r="E528" s="294" t="s">
        <v>488</v>
      </c>
      <c r="F528" s="808">
        <v>6100302810</v>
      </c>
      <c r="G528" s="808">
        <v>244</v>
      </c>
      <c r="H528" s="9">
        <v>11100.1</v>
      </c>
      <c r="I528" s="9">
        <f t="shared" si="95"/>
        <v>894.30486485286394</v>
      </c>
      <c r="J528" s="9">
        <f t="shared" si="96"/>
        <v>5099.8158387598587</v>
      </c>
      <c r="K528" s="9">
        <f t="shared" si="97"/>
        <v>2570.1947990862736</v>
      </c>
      <c r="L528" s="9">
        <f t="shared" si="98"/>
        <v>2535.7860307173892</v>
      </c>
      <c r="M528" s="62">
        <f>2889+8000+12000</f>
        <v>22889</v>
      </c>
      <c r="N528" s="62">
        <f t="shared" si="99"/>
        <v>10185.604900851957</v>
      </c>
      <c r="O528" s="62">
        <f t="shared" si="100"/>
        <v>2632.2348017039135</v>
      </c>
      <c r="P528" s="62">
        <f t="shared" si="101"/>
        <v>5722.25</v>
      </c>
      <c r="Q528" s="62">
        <f t="shared" si="102"/>
        <v>4348.9107931843464</v>
      </c>
      <c r="R528" s="60">
        <v>0</v>
      </c>
      <c r="S528" s="60">
        <v>0</v>
      </c>
      <c r="T528" s="60">
        <v>0</v>
      </c>
      <c r="U528" s="60">
        <v>0</v>
      </c>
      <c r="V528" s="60">
        <f t="shared" si="103"/>
        <v>0</v>
      </c>
      <c r="W528" s="60">
        <v>0</v>
      </c>
      <c r="X528" s="60">
        <v>0</v>
      </c>
      <c r="Y528" s="879"/>
      <c r="Z528" s="906"/>
    </row>
    <row r="529" spans="1:29" hidden="1">
      <c r="A529" s="15" t="s">
        <v>45</v>
      </c>
      <c r="B529" s="535" t="s">
        <v>33</v>
      </c>
      <c r="C529" s="808">
        <v>176</v>
      </c>
      <c r="D529" s="294" t="s">
        <v>487</v>
      </c>
      <c r="E529" s="294" t="s">
        <v>488</v>
      </c>
      <c r="F529" s="808">
        <v>6100302810</v>
      </c>
      <c r="G529" s="808">
        <v>244</v>
      </c>
      <c r="H529" s="9">
        <v>6324.2</v>
      </c>
      <c r="I529" s="9">
        <f t="shared" si="95"/>
        <v>509.5235922471403</v>
      </c>
      <c r="J529" s="9">
        <f t="shared" si="96"/>
        <v>2905.5824116435974</v>
      </c>
      <c r="K529" s="9">
        <f t="shared" si="97"/>
        <v>1464.3495057144901</v>
      </c>
      <c r="L529" s="9">
        <f t="shared" si="98"/>
        <v>1444.745364047433</v>
      </c>
      <c r="M529" s="62">
        <f>1605+6510+7500</f>
        <v>15615</v>
      </c>
      <c r="N529" s="62">
        <f t="shared" si="99"/>
        <v>6948.6749323606673</v>
      </c>
      <c r="O529" s="62">
        <f t="shared" si="100"/>
        <v>1795.7248647213337</v>
      </c>
      <c r="P529" s="62">
        <f t="shared" si="101"/>
        <v>3903.75</v>
      </c>
      <c r="Q529" s="62">
        <f t="shared" si="102"/>
        <v>2966.8505411146652</v>
      </c>
      <c r="R529" s="60">
        <v>0</v>
      </c>
      <c r="S529" s="60">
        <v>0</v>
      </c>
      <c r="T529" s="60">
        <v>0</v>
      </c>
      <c r="U529" s="60">
        <v>0</v>
      </c>
      <c r="V529" s="60">
        <f t="shared" si="103"/>
        <v>0</v>
      </c>
      <c r="W529" s="60">
        <v>0</v>
      </c>
      <c r="X529" s="60">
        <v>0</v>
      </c>
      <c r="Y529" s="879"/>
      <c r="Z529" s="906"/>
    </row>
    <row r="530" spans="1:29" hidden="1">
      <c r="A530" s="15" t="s">
        <v>46</v>
      </c>
      <c r="B530" s="535" t="s">
        <v>33</v>
      </c>
      <c r="C530" s="808">
        <v>176</v>
      </c>
      <c r="D530" s="294" t="s">
        <v>487</v>
      </c>
      <c r="E530" s="294" t="s">
        <v>488</v>
      </c>
      <c r="F530" s="808">
        <v>6100302810</v>
      </c>
      <c r="G530" s="808">
        <v>244</v>
      </c>
      <c r="H530" s="9">
        <v>7310.1</v>
      </c>
      <c r="I530" s="9">
        <f t="shared" si="95"/>
        <v>588.95487361023061</v>
      </c>
      <c r="J530" s="9">
        <f t="shared" si="96"/>
        <v>3358.5430548299964</v>
      </c>
      <c r="K530" s="9">
        <f t="shared" si="97"/>
        <v>1692.6316880749334</v>
      </c>
      <c r="L530" s="9">
        <f t="shared" si="98"/>
        <v>1669.9713933340408</v>
      </c>
      <c r="M530" s="62">
        <f>267.5+9010</f>
        <v>9277.5</v>
      </c>
      <c r="N530" s="62">
        <f t="shared" si="99"/>
        <v>4128.4874598127499</v>
      </c>
      <c r="O530" s="62">
        <f t="shared" si="100"/>
        <v>1066.9124196254995</v>
      </c>
      <c r="P530" s="62">
        <f t="shared" si="101"/>
        <v>2319.375</v>
      </c>
      <c r="Q530" s="62">
        <f t="shared" si="102"/>
        <v>1762.7253214980024</v>
      </c>
      <c r="R530" s="60">
        <v>0</v>
      </c>
      <c r="S530" s="60">
        <v>0</v>
      </c>
      <c r="T530" s="60">
        <v>0</v>
      </c>
      <c r="U530" s="60">
        <v>0</v>
      </c>
      <c r="V530" s="60">
        <f t="shared" si="103"/>
        <v>0</v>
      </c>
      <c r="W530" s="60">
        <v>0</v>
      </c>
      <c r="X530" s="60">
        <v>0</v>
      </c>
      <c r="Y530" s="879"/>
      <c r="Z530" s="906"/>
    </row>
    <row r="531" spans="1:29" hidden="1">
      <c r="A531" s="15" t="s">
        <v>47</v>
      </c>
      <c r="B531" s="535" t="s">
        <v>33</v>
      </c>
      <c r="C531" s="808">
        <v>176</v>
      </c>
      <c r="D531" s="294" t="s">
        <v>487</v>
      </c>
      <c r="E531" s="294" t="s">
        <v>488</v>
      </c>
      <c r="F531" s="808">
        <v>6100302810</v>
      </c>
      <c r="G531" s="808">
        <v>244</v>
      </c>
      <c r="H531" s="9">
        <v>10630</v>
      </c>
      <c r="I531" s="9">
        <f t="shared" si="95"/>
        <v>856.43018651957584</v>
      </c>
      <c r="J531" s="9">
        <f t="shared" si="96"/>
        <v>4883.8336921304581</v>
      </c>
      <c r="K531" s="9">
        <f t="shared" si="97"/>
        <v>2461.3445567415688</v>
      </c>
      <c r="L531" s="9">
        <f t="shared" si="98"/>
        <v>2428.3930330831113</v>
      </c>
      <c r="M531" s="62">
        <f>963+14696.8+6013.86</f>
        <v>21673.66</v>
      </c>
      <c r="N531" s="62">
        <f t="shared" si="99"/>
        <v>9644.7786061164315</v>
      </c>
      <c r="O531" s="62">
        <f t="shared" si="100"/>
        <v>2492.470712232865</v>
      </c>
      <c r="P531" s="62">
        <f t="shared" si="101"/>
        <v>5418.415</v>
      </c>
      <c r="Q531" s="62">
        <f t="shared" si="102"/>
        <v>4117.9961510685416</v>
      </c>
      <c r="R531" s="60">
        <v>0</v>
      </c>
      <c r="S531" s="60">
        <v>0</v>
      </c>
      <c r="T531" s="60">
        <v>0</v>
      </c>
      <c r="U531" s="60">
        <v>0</v>
      </c>
      <c r="V531" s="60">
        <f t="shared" si="103"/>
        <v>0</v>
      </c>
      <c r="W531" s="60">
        <v>0</v>
      </c>
      <c r="X531" s="60">
        <v>0</v>
      </c>
      <c r="Y531" s="879"/>
      <c r="Z531" s="906"/>
    </row>
    <row r="532" spans="1:29" hidden="1">
      <c r="A532" s="15" t="s">
        <v>48</v>
      </c>
      <c r="B532" s="535" t="s">
        <v>33</v>
      </c>
      <c r="C532" s="808">
        <v>176</v>
      </c>
      <c r="D532" s="294" t="s">
        <v>487</v>
      </c>
      <c r="E532" s="294" t="s">
        <v>488</v>
      </c>
      <c r="F532" s="808">
        <v>6100302810</v>
      </c>
      <c r="G532" s="808">
        <v>244</v>
      </c>
      <c r="H532" s="9">
        <v>14297.1</v>
      </c>
      <c r="I532" s="9">
        <f t="shared" si="95"/>
        <v>1151.8784590488267</v>
      </c>
      <c r="J532" s="9">
        <f t="shared" si="96"/>
        <v>6568.6414562331483</v>
      </c>
      <c r="K532" s="9">
        <f t="shared" si="97"/>
        <v>3310.4505420686623</v>
      </c>
      <c r="L532" s="9">
        <f t="shared" si="98"/>
        <v>3266.131517713316</v>
      </c>
      <c r="M532" s="62">
        <f>5350+5393</f>
        <v>10743</v>
      </c>
      <c r="N532" s="62">
        <f t="shared" si="99"/>
        <v>4780.6349534646588</v>
      </c>
      <c r="O532" s="62">
        <f t="shared" si="100"/>
        <v>1235.4449069293171</v>
      </c>
      <c r="P532" s="62">
        <f t="shared" si="101"/>
        <v>2685.7500000000005</v>
      </c>
      <c r="Q532" s="62">
        <f t="shared" si="102"/>
        <v>2041.1703722827315</v>
      </c>
      <c r="R532" s="60">
        <v>0</v>
      </c>
      <c r="S532" s="60">
        <v>0</v>
      </c>
      <c r="T532" s="60">
        <v>0</v>
      </c>
      <c r="U532" s="60">
        <v>0</v>
      </c>
      <c r="V532" s="60">
        <f t="shared" si="103"/>
        <v>0</v>
      </c>
      <c r="W532" s="60">
        <v>0</v>
      </c>
      <c r="X532" s="60">
        <v>0</v>
      </c>
      <c r="Y532" s="879"/>
      <c r="Z532" s="906"/>
    </row>
    <row r="533" spans="1:29" hidden="1">
      <c r="A533" s="15" t="s">
        <v>49</v>
      </c>
      <c r="B533" s="535" t="s">
        <v>33</v>
      </c>
      <c r="C533" s="808">
        <v>176</v>
      </c>
      <c r="D533" s="294" t="s">
        <v>487</v>
      </c>
      <c r="E533" s="294" t="s">
        <v>488</v>
      </c>
      <c r="F533" s="808">
        <v>6100302810</v>
      </c>
      <c r="G533" s="808">
        <v>244</v>
      </c>
      <c r="H533" s="9">
        <v>10412.700000000001</v>
      </c>
      <c r="I533" s="9">
        <f t="shared" si="95"/>
        <v>838.92291657313149</v>
      </c>
      <c r="J533" s="9">
        <f t="shared" si="96"/>
        <v>4783.9976562602842</v>
      </c>
      <c r="K533" s="9">
        <f t="shared" si="97"/>
        <v>2411.0293947302857</v>
      </c>
      <c r="L533" s="9">
        <f t="shared" si="98"/>
        <v>2378.7514708922404</v>
      </c>
      <c r="M533" s="62">
        <f>3210+16861.1+7959.96</f>
        <v>28031.059999999998</v>
      </c>
      <c r="N533" s="62">
        <f t="shared" si="99"/>
        <v>12473.821578578149</v>
      </c>
      <c r="O533" s="62">
        <f t="shared" si="100"/>
        <v>3223.5716571562971</v>
      </c>
      <c r="P533" s="62">
        <f t="shared" si="101"/>
        <v>7007.7649999999994</v>
      </c>
      <c r="Q533" s="62">
        <f t="shared" si="102"/>
        <v>5325.9023713748093</v>
      </c>
      <c r="R533" s="60">
        <v>0</v>
      </c>
      <c r="S533" s="60">
        <v>0</v>
      </c>
      <c r="T533" s="60">
        <v>0</v>
      </c>
      <c r="U533" s="60">
        <v>0</v>
      </c>
      <c r="V533" s="60">
        <f t="shared" si="103"/>
        <v>0</v>
      </c>
      <c r="W533" s="60">
        <v>0</v>
      </c>
      <c r="X533" s="60">
        <v>0</v>
      </c>
      <c r="Y533" s="879"/>
      <c r="Z533" s="906"/>
    </row>
    <row r="534" spans="1:29" hidden="1">
      <c r="A534" s="15" t="s">
        <v>50</v>
      </c>
      <c r="B534" s="535" t="s">
        <v>33</v>
      </c>
      <c r="C534" s="808">
        <v>176</v>
      </c>
      <c r="D534" s="294" t="s">
        <v>487</v>
      </c>
      <c r="E534" s="294" t="s">
        <v>488</v>
      </c>
      <c r="F534" s="808">
        <v>6100302810</v>
      </c>
      <c r="G534" s="808">
        <v>244</v>
      </c>
      <c r="H534" s="9">
        <v>12044.6</v>
      </c>
      <c r="I534" s="9">
        <f t="shared" si="95"/>
        <v>970.40066082348847</v>
      </c>
      <c r="J534" s="9">
        <f t="shared" si="96"/>
        <v>5533.7557185545165</v>
      </c>
      <c r="K534" s="9">
        <f t="shared" si="97"/>
        <v>2788.8909358541391</v>
      </c>
      <c r="L534" s="9">
        <f t="shared" si="98"/>
        <v>2751.5543486616029</v>
      </c>
      <c r="M534" s="62">
        <f>29914.3+6260+24887.87</f>
        <v>61062.17</v>
      </c>
      <c r="N534" s="62">
        <f t="shared" si="99"/>
        <v>27172.665385497632</v>
      </c>
      <c r="O534" s="62">
        <f t="shared" si="100"/>
        <v>7022.1490209952653</v>
      </c>
      <c r="P534" s="62">
        <f t="shared" si="101"/>
        <v>15265.5425</v>
      </c>
      <c r="Q534" s="62">
        <f t="shared" si="102"/>
        <v>11601.814416018935</v>
      </c>
      <c r="R534" s="60">
        <v>0</v>
      </c>
      <c r="S534" s="60">
        <v>0</v>
      </c>
      <c r="T534" s="60">
        <v>0</v>
      </c>
      <c r="U534" s="60">
        <v>0</v>
      </c>
      <c r="V534" s="60">
        <f t="shared" si="103"/>
        <v>0</v>
      </c>
      <c r="W534" s="60">
        <v>0</v>
      </c>
      <c r="X534" s="60">
        <v>0</v>
      </c>
      <c r="Y534" s="879"/>
      <c r="Z534" s="906"/>
      <c r="AA534" s="280"/>
      <c r="AB534" s="42"/>
      <c r="AC534" s="42"/>
    </row>
    <row r="535" spans="1:29" hidden="1">
      <c r="A535" s="15" t="s">
        <v>51</v>
      </c>
      <c r="B535" s="535" t="s">
        <v>33</v>
      </c>
      <c r="C535" s="808">
        <v>176</v>
      </c>
      <c r="D535" s="294" t="s">
        <v>487</v>
      </c>
      <c r="E535" s="294" t="s">
        <v>488</v>
      </c>
      <c r="F535" s="808">
        <v>6100302810</v>
      </c>
      <c r="G535" s="808">
        <v>244</v>
      </c>
      <c r="H535" s="9">
        <v>13399.6</v>
      </c>
      <c r="I535" s="9">
        <f t="shared" si="95"/>
        <v>1079.5693252387307</v>
      </c>
      <c r="J535" s="9">
        <f t="shared" si="96"/>
        <v>6156.295196714138</v>
      </c>
      <c r="K535" s="9">
        <f t="shared" si="97"/>
        <v>3102.6371140653173</v>
      </c>
      <c r="L535" s="9">
        <f t="shared" si="98"/>
        <v>3061.1002150611907</v>
      </c>
      <c r="M535" s="62">
        <f>12170+10135.5+11211.96</f>
        <v>33517.46</v>
      </c>
      <c r="N535" s="62">
        <f t="shared" si="99"/>
        <v>14915.269554812767</v>
      </c>
      <c r="O535" s="62">
        <f t="shared" si="100"/>
        <v>3854.5076096255343</v>
      </c>
      <c r="P535" s="62">
        <f t="shared" si="101"/>
        <v>8379.3649999999998</v>
      </c>
      <c r="Q535" s="62">
        <f t="shared" si="102"/>
        <v>6368.3185614978647</v>
      </c>
      <c r="R535" s="60">
        <v>0</v>
      </c>
      <c r="S535" s="60">
        <v>0</v>
      </c>
      <c r="T535" s="60">
        <v>0</v>
      </c>
      <c r="U535" s="60">
        <v>0</v>
      </c>
      <c r="V535" s="60">
        <f t="shared" si="103"/>
        <v>0</v>
      </c>
      <c r="W535" s="60">
        <v>0</v>
      </c>
      <c r="X535" s="60">
        <v>0</v>
      </c>
      <c r="Y535" s="879"/>
      <c r="Z535" s="906"/>
    </row>
    <row r="536" spans="1:29" hidden="1">
      <c r="A536" s="15" t="s">
        <v>52</v>
      </c>
      <c r="B536" s="535" t="s">
        <v>33</v>
      </c>
      <c r="C536" s="808">
        <v>176</v>
      </c>
      <c r="D536" s="294" t="s">
        <v>487</v>
      </c>
      <c r="E536" s="294" t="s">
        <v>488</v>
      </c>
      <c r="F536" s="808">
        <v>6100302810</v>
      </c>
      <c r="G536" s="808">
        <v>244</v>
      </c>
      <c r="H536" s="9">
        <v>13254.2</v>
      </c>
      <c r="I536" s="9">
        <f t="shared" si="95"/>
        <v>1067.8548427250953</v>
      </c>
      <c r="J536" s="9">
        <f t="shared" si="96"/>
        <v>6089.4928054784114</v>
      </c>
      <c r="K536" s="9">
        <f t="shared" si="97"/>
        <v>3068.970180993801</v>
      </c>
      <c r="L536" s="9">
        <f t="shared" si="98"/>
        <v>3027.8840017958769</v>
      </c>
      <c r="M536" s="62">
        <f>7490+9509+5655.74</f>
        <v>22654.739999999998</v>
      </c>
      <c r="N536" s="62">
        <f t="shared" si="99"/>
        <v>10081.359201866699</v>
      </c>
      <c r="O536" s="62">
        <f t="shared" si="100"/>
        <v>2605.2949037333965</v>
      </c>
      <c r="P536" s="62">
        <f t="shared" si="101"/>
        <v>5663.6849999999995</v>
      </c>
      <c r="Q536" s="62">
        <f t="shared" si="102"/>
        <v>4304.4013850664132</v>
      </c>
      <c r="R536" s="60">
        <v>0</v>
      </c>
      <c r="S536" s="60">
        <v>0</v>
      </c>
      <c r="T536" s="60">
        <v>0</v>
      </c>
      <c r="U536" s="60">
        <v>0</v>
      </c>
      <c r="V536" s="60">
        <f t="shared" si="103"/>
        <v>0</v>
      </c>
      <c r="W536" s="60">
        <v>0</v>
      </c>
      <c r="X536" s="60">
        <v>0</v>
      </c>
      <c r="Y536" s="879"/>
      <c r="Z536" s="906"/>
    </row>
    <row r="537" spans="1:29" hidden="1">
      <c r="A537" s="15" t="s">
        <v>53</v>
      </c>
      <c r="B537" s="535" t="s">
        <v>33</v>
      </c>
      <c r="C537" s="808">
        <v>176</v>
      </c>
      <c r="D537" s="294" t="s">
        <v>487</v>
      </c>
      <c r="E537" s="294" t="s">
        <v>488</v>
      </c>
      <c r="F537" s="808">
        <v>6100302810</v>
      </c>
      <c r="G537" s="808">
        <v>244</v>
      </c>
      <c r="H537" s="9">
        <v>12672</v>
      </c>
      <c r="I537" s="9">
        <f t="shared" si="95"/>
        <v>1020.9485723025459</v>
      </c>
      <c r="J537" s="9">
        <f t="shared" si="96"/>
        <v>5822.0075772979453</v>
      </c>
      <c r="K537" s="9">
        <f t="shared" si="97"/>
        <v>2934.1635205107395</v>
      </c>
      <c r="L537" s="9">
        <f t="shared" si="98"/>
        <v>2894.8820804542979</v>
      </c>
      <c r="M537" s="62">
        <f>6580+855</f>
        <v>7435</v>
      </c>
      <c r="N537" s="62">
        <f t="shared" si="99"/>
        <v>3308.5749677938879</v>
      </c>
      <c r="O537" s="62">
        <f t="shared" si="100"/>
        <v>855.02493558777564</v>
      </c>
      <c r="P537" s="62">
        <f t="shared" si="101"/>
        <v>1858.75</v>
      </c>
      <c r="Q537" s="62">
        <f t="shared" si="102"/>
        <v>1412.6502576488977</v>
      </c>
      <c r="R537" s="60">
        <v>0</v>
      </c>
      <c r="S537" s="60">
        <v>0</v>
      </c>
      <c r="T537" s="60">
        <v>0</v>
      </c>
      <c r="U537" s="60">
        <v>0</v>
      </c>
      <c r="V537" s="60">
        <f t="shared" si="103"/>
        <v>0</v>
      </c>
      <c r="W537" s="60">
        <v>0</v>
      </c>
      <c r="X537" s="60">
        <v>0</v>
      </c>
      <c r="Y537" s="879"/>
      <c r="Z537" s="906"/>
      <c r="AA537" s="280"/>
    </row>
    <row r="538" spans="1:29" hidden="1">
      <c r="A538" s="15" t="s">
        <v>54</v>
      </c>
      <c r="B538" s="535" t="s">
        <v>33</v>
      </c>
      <c r="C538" s="808">
        <v>176</v>
      </c>
      <c r="D538" s="294" t="s">
        <v>487</v>
      </c>
      <c r="E538" s="294" t="s">
        <v>488</v>
      </c>
      <c r="F538" s="808">
        <v>6100302810</v>
      </c>
      <c r="G538" s="808">
        <v>244</v>
      </c>
      <c r="H538" s="9">
        <v>6034.9</v>
      </c>
      <c r="I538" s="9">
        <f t="shared" si="95"/>
        <v>486.21547813988593</v>
      </c>
      <c r="J538" s="9">
        <f t="shared" si="96"/>
        <v>2772.6667872660487</v>
      </c>
      <c r="K538" s="9">
        <f t="shared" si="97"/>
        <v>1397.3629600639408</v>
      </c>
      <c r="L538" s="9">
        <f t="shared" si="98"/>
        <v>1378.6556082176169</v>
      </c>
      <c r="M538" s="62">
        <f>1605+38223.7+9999.59</f>
        <v>49828.289999999994</v>
      </c>
      <c r="N538" s="62">
        <f t="shared" si="99"/>
        <v>22173.588834159309</v>
      </c>
      <c r="O538" s="62">
        <f t="shared" si="100"/>
        <v>5730.252918318628</v>
      </c>
      <c r="P538" s="62">
        <f t="shared" si="101"/>
        <v>12457.072499999998</v>
      </c>
      <c r="Q538" s="62">
        <f t="shared" si="102"/>
        <v>9467.3768267254854</v>
      </c>
      <c r="R538" s="60">
        <v>0</v>
      </c>
      <c r="S538" s="60">
        <v>0</v>
      </c>
      <c r="T538" s="60">
        <v>0</v>
      </c>
      <c r="U538" s="60">
        <v>0</v>
      </c>
      <c r="V538" s="60">
        <f t="shared" si="103"/>
        <v>0</v>
      </c>
      <c r="W538" s="60">
        <v>0</v>
      </c>
      <c r="X538" s="60">
        <v>0</v>
      </c>
      <c r="Y538" s="879"/>
      <c r="Z538" s="906"/>
    </row>
    <row r="539" spans="1:29" hidden="1">
      <c r="A539" s="15" t="s">
        <v>55</v>
      </c>
      <c r="B539" s="535" t="s">
        <v>33</v>
      </c>
      <c r="C539" s="808">
        <v>176</v>
      </c>
      <c r="D539" s="294" t="s">
        <v>487</v>
      </c>
      <c r="E539" s="294" t="s">
        <v>488</v>
      </c>
      <c r="F539" s="808">
        <v>6100302810</v>
      </c>
      <c r="G539" s="808">
        <v>244</v>
      </c>
      <c r="H539" s="9">
        <v>11407.9</v>
      </c>
      <c r="I539" s="9">
        <f t="shared" si="95"/>
        <v>919.10347364032623</v>
      </c>
      <c r="J539" s="9">
        <f t="shared" si="96"/>
        <v>5241.2310796288848</v>
      </c>
      <c r="K539" s="9">
        <f t="shared" si="97"/>
        <v>2641.4649641441333</v>
      </c>
      <c r="L539" s="9">
        <f t="shared" si="98"/>
        <v>2606.102058523878</v>
      </c>
      <c r="M539" s="62">
        <f>7490+8000+10060.73</f>
        <v>25550.73</v>
      </c>
      <c r="N539" s="62">
        <f t="shared" si="99"/>
        <v>11370.074739322168</v>
      </c>
      <c r="O539" s="62">
        <f t="shared" si="100"/>
        <v>2938.333728644337</v>
      </c>
      <c r="P539" s="62">
        <f t="shared" si="101"/>
        <v>6387.6824999999999</v>
      </c>
      <c r="Q539" s="62">
        <f t="shared" si="102"/>
        <v>4854.6395854226521</v>
      </c>
      <c r="R539" s="60">
        <v>0</v>
      </c>
      <c r="S539" s="60">
        <v>0</v>
      </c>
      <c r="T539" s="60">
        <v>0</v>
      </c>
      <c r="U539" s="60">
        <v>0</v>
      </c>
      <c r="V539" s="60">
        <f t="shared" si="103"/>
        <v>0</v>
      </c>
      <c r="W539" s="60">
        <v>0</v>
      </c>
      <c r="X539" s="60">
        <v>0</v>
      </c>
      <c r="Y539" s="879"/>
      <c r="Z539" s="906"/>
    </row>
    <row r="540" spans="1:29" hidden="1">
      <c r="A540" s="15" t="s">
        <v>56</v>
      </c>
      <c r="B540" s="535" t="s">
        <v>33</v>
      </c>
      <c r="C540" s="808">
        <v>176</v>
      </c>
      <c r="D540" s="294" t="s">
        <v>487</v>
      </c>
      <c r="E540" s="294" t="s">
        <v>488</v>
      </c>
      <c r="F540" s="808">
        <v>6100302810</v>
      </c>
      <c r="G540" s="808">
        <v>244</v>
      </c>
      <c r="H540" s="9">
        <v>11000</v>
      </c>
      <c r="I540" s="9">
        <f t="shared" si="95"/>
        <v>886.24008012373793</v>
      </c>
      <c r="J540" s="9">
        <f t="shared" si="96"/>
        <v>5053.8260219600224</v>
      </c>
      <c r="K540" s="9">
        <f t="shared" si="97"/>
        <v>2547.0169448877946</v>
      </c>
      <c r="L540" s="9">
        <f t="shared" si="98"/>
        <v>2512.9184726165777</v>
      </c>
      <c r="M540" s="62">
        <f>267.5+6510+7950</f>
        <v>14727.5</v>
      </c>
      <c r="N540" s="62">
        <f t="shared" si="99"/>
        <v>6553.7374362050414</v>
      </c>
      <c r="O540" s="62">
        <f t="shared" si="100"/>
        <v>1693.6623724100828</v>
      </c>
      <c r="P540" s="62">
        <f t="shared" si="101"/>
        <v>3681.875</v>
      </c>
      <c r="Q540" s="62">
        <f t="shared" si="102"/>
        <v>2798.225510359669</v>
      </c>
      <c r="R540" s="60">
        <v>0</v>
      </c>
      <c r="S540" s="60">
        <v>0</v>
      </c>
      <c r="T540" s="60">
        <v>0</v>
      </c>
      <c r="U540" s="60">
        <v>0</v>
      </c>
      <c r="V540" s="60">
        <f t="shared" si="103"/>
        <v>0</v>
      </c>
      <c r="W540" s="60">
        <v>0</v>
      </c>
      <c r="X540" s="60">
        <v>0</v>
      </c>
      <c r="Y540" s="879"/>
      <c r="Z540" s="906"/>
    </row>
    <row r="541" spans="1:29" hidden="1">
      <c r="A541" s="15" t="s">
        <v>57</v>
      </c>
      <c r="B541" s="535" t="s">
        <v>33</v>
      </c>
      <c r="C541" s="808">
        <v>176</v>
      </c>
      <c r="D541" s="294" t="s">
        <v>487</v>
      </c>
      <c r="E541" s="294" t="s">
        <v>488</v>
      </c>
      <c r="F541" s="808">
        <v>6100302810</v>
      </c>
      <c r="G541" s="808">
        <v>244</v>
      </c>
      <c r="H541" s="9">
        <v>19949.3</v>
      </c>
      <c r="I541" s="9">
        <f t="shared" si="95"/>
        <v>1607.2608391284077</v>
      </c>
      <c r="J541" s="9">
        <f t="shared" si="96"/>
        <v>9165.481041807916</v>
      </c>
      <c r="K541" s="9">
        <f t="shared" si="97"/>
        <v>4619.2004671500072</v>
      </c>
      <c r="L541" s="9">
        <f t="shared" si="98"/>
        <v>4557.3604077972632</v>
      </c>
      <c r="M541" s="62">
        <f>9095+10714+14000.08</f>
        <v>33809.08</v>
      </c>
      <c r="N541" s="62">
        <f t="shared" si="99"/>
        <v>15045.04045354956</v>
      </c>
      <c r="O541" s="62">
        <f t="shared" si="100"/>
        <v>3888.0439070991197</v>
      </c>
      <c r="P541" s="62">
        <f t="shared" si="101"/>
        <v>8452.27</v>
      </c>
      <c r="Q541" s="62">
        <f t="shared" si="102"/>
        <v>6423.7263716035231</v>
      </c>
      <c r="R541" s="60">
        <v>0</v>
      </c>
      <c r="S541" s="60">
        <v>0</v>
      </c>
      <c r="T541" s="60">
        <v>0</v>
      </c>
      <c r="U541" s="60">
        <v>0</v>
      </c>
      <c r="V541" s="60">
        <f t="shared" si="103"/>
        <v>0</v>
      </c>
      <c r="W541" s="60">
        <v>0</v>
      </c>
      <c r="X541" s="60">
        <v>0</v>
      </c>
      <c r="Y541" s="879"/>
      <c r="Z541" s="906"/>
    </row>
    <row r="542" spans="1:29" hidden="1">
      <c r="A542" s="15" t="s">
        <v>58</v>
      </c>
      <c r="B542" s="535" t="s">
        <v>33</v>
      </c>
      <c r="C542" s="808">
        <v>176</v>
      </c>
      <c r="D542" s="294" t="s">
        <v>487</v>
      </c>
      <c r="E542" s="294" t="s">
        <v>488</v>
      </c>
      <c r="F542" s="808">
        <v>6100302810</v>
      </c>
      <c r="G542" s="808">
        <v>244</v>
      </c>
      <c r="H542" s="9">
        <v>15290</v>
      </c>
      <c r="I542" s="9">
        <f t="shared" si="95"/>
        <v>1231.8737113719956</v>
      </c>
      <c r="J542" s="9">
        <f t="shared" si="96"/>
        <v>7024.8181705244315</v>
      </c>
      <c r="K542" s="9">
        <f t="shared" si="97"/>
        <v>3540.3535533940344</v>
      </c>
      <c r="L542" s="9">
        <f t="shared" si="98"/>
        <v>3492.9566769370431</v>
      </c>
      <c r="M542" s="62">
        <f>3210+8396.6+2992.38</f>
        <v>14598.98</v>
      </c>
      <c r="N542" s="62">
        <f t="shared" si="99"/>
        <v>6496.5460367617507</v>
      </c>
      <c r="O542" s="62">
        <f t="shared" si="100"/>
        <v>1678.8825735235002</v>
      </c>
      <c r="P542" s="62">
        <f t="shared" si="101"/>
        <v>3649.7449999999999</v>
      </c>
      <c r="Q542" s="62">
        <f t="shared" si="102"/>
        <v>2773.806705905999</v>
      </c>
      <c r="R542" s="60">
        <v>0</v>
      </c>
      <c r="S542" s="60">
        <v>0</v>
      </c>
      <c r="T542" s="60">
        <v>0</v>
      </c>
      <c r="U542" s="60">
        <v>0</v>
      </c>
      <c r="V542" s="60">
        <f t="shared" si="103"/>
        <v>0</v>
      </c>
      <c r="W542" s="60">
        <v>0</v>
      </c>
      <c r="X542" s="60">
        <v>0</v>
      </c>
      <c r="Y542" s="879"/>
      <c r="Z542" s="906"/>
    </row>
    <row r="543" spans="1:29" hidden="1">
      <c r="A543" s="15" t="s">
        <v>59</v>
      </c>
      <c r="B543" s="535" t="s">
        <v>33</v>
      </c>
      <c r="C543" s="808">
        <v>176</v>
      </c>
      <c r="D543" s="294" t="s">
        <v>487</v>
      </c>
      <c r="E543" s="294" t="s">
        <v>488</v>
      </c>
      <c r="F543" s="808">
        <v>6100302810</v>
      </c>
      <c r="G543" s="808">
        <v>244</v>
      </c>
      <c r="H543" s="9">
        <v>17326.900000000001</v>
      </c>
      <c r="I543" s="9">
        <f t="shared" si="95"/>
        <v>1395.9812040269085</v>
      </c>
      <c r="J543" s="9">
        <f t="shared" si="96"/>
        <v>7960.6489181726474</v>
      </c>
      <c r="K543" s="9">
        <f t="shared" si="97"/>
        <v>4011.9916274887573</v>
      </c>
      <c r="L543" s="9">
        <f t="shared" si="98"/>
        <v>3958.2806439254718</v>
      </c>
      <c r="M543" s="62">
        <f>4280+8188.5+8167.37</f>
        <v>20635.87</v>
      </c>
      <c r="N543" s="62">
        <f t="shared" si="99"/>
        <v>9182.9620606118151</v>
      </c>
      <c r="O543" s="62">
        <f t="shared" si="100"/>
        <v>2373.1248712236329</v>
      </c>
      <c r="P543" s="62">
        <f t="shared" si="101"/>
        <v>5158.9674999999997</v>
      </c>
      <c r="Q543" s="62">
        <f t="shared" si="102"/>
        <v>3920.8160151054685</v>
      </c>
      <c r="R543" s="60">
        <v>0</v>
      </c>
      <c r="S543" s="60">
        <v>0</v>
      </c>
      <c r="T543" s="60">
        <v>0</v>
      </c>
      <c r="U543" s="60">
        <v>0</v>
      </c>
      <c r="V543" s="60">
        <f t="shared" si="103"/>
        <v>0</v>
      </c>
      <c r="W543" s="60">
        <v>0</v>
      </c>
      <c r="X543" s="60">
        <v>0</v>
      </c>
      <c r="Y543" s="879"/>
      <c r="Z543" s="906"/>
    </row>
    <row r="544" spans="1:29" hidden="1">
      <c r="A544" s="15" t="s">
        <v>60</v>
      </c>
      <c r="B544" s="535" t="s">
        <v>33</v>
      </c>
      <c r="C544" s="808">
        <v>176</v>
      </c>
      <c r="D544" s="294" t="s">
        <v>487</v>
      </c>
      <c r="E544" s="294" t="s">
        <v>488</v>
      </c>
      <c r="F544" s="808">
        <v>6100302810</v>
      </c>
      <c r="G544" s="808">
        <v>244</v>
      </c>
      <c r="H544" s="9">
        <v>44424.9</v>
      </c>
      <c r="I544" s="9">
        <f t="shared" si="95"/>
        <v>3579.1933577717314</v>
      </c>
      <c r="J544" s="9">
        <f t="shared" si="96"/>
        <v>20410.519603906527</v>
      </c>
      <c r="K544" s="9">
        <f t="shared" si="97"/>
        <v>10286.452097722346</v>
      </c>
      <c r="L544" s="9">
        <f t="shared" si="98"/>
        <v>10148.741077649474</v>
      </c>
      <c r="M544" s="62">
        <f>7490+11980.2</f>
        <v>19470.2</v>
      </c>
      <c r="N544" s="62">
        <f t="shared" si="99"/>
        <v>8664.2389156611371</v>
      </c>
      <c r="O544" s="62">
        <f t="shared" si="100"/>
        <v>2239.0728313222744</v>
      </c>
      <c r="P544" s="62">
        <f t="shared" si="101"/>
        <v>4867.55</v>
      </c>
      <c r="Q544" s="62">
        <f t="shared" si="102"/>
        <v>3699.3386747109034</v>
      </c>
      <c r="R544" s="60">
        <v>0</v>
      </c>
      <c r="S544" s="60">
        <v>0</v>
      </c>
      <c r="T544" s="60">
        <v>0</v>
      </c>
      <c r="U544" s="60">
        <v>0</v>
      </c>
      <c r="V544" s="60">
        <f t="shared" si="103"/>
        <v>0</v>
      </c>
      <c r="W544" s="60">
        <v>0</v>
      </c>
      <c r="X544" s="60">
        <v>0</v>
      </c>
      <c r="Y544" s="879"/>
      <c r="Z544" s="906"/>
    </row>
    <row r="545" spans="1:27" hidden="1">
      <c r="A545" s="15" t="s">
        <v>61</v>
      </c>
      <c r="B545" s="535" t="s">
        <v>33</v>
      </c>
      <c r="C545" s="808">
        <v>176</v>
      </c>
      <c r="D545" s="294" t="s">
        <v>487</v>
      </c>
      <c r="E545" s="294" t="s">
        <v>488</v>
      </c>
      <c r="F545" s="808">
        <v>6100302810</v>
      </c>
      <c r="G545" s="808">
        <v>244</v>
      </c>
      <c r="H545" s="9">
        <v>22166.9</v>
      </c>
      <c r="I545" s="9">
        <f t="shared" si="95"/>
        <v>1785.9268392813533</v>
      </c>
      <c r="J545" s="9">
        <f t="shared" si="96"/>
        <v>10184.332367835057</v>
      </c>
      <c r="K545" s="9">
        <f t="shared" si="97"/>
        <v>5132.6790832393872</v>
      </c>
      <c r="L545" s="9">
        <f t="shared" si="98"/>
        <v>5063.9647718767665</v>
      </c>
      <c r="M545" s="62">
        <f>13340+745</f>
        <v>14085</v>
      </c>
      <c r="N545" s="62">
        <f t="shared" si="99"/>
        <v>6267.8249389881521</v>
      </c>
      <c r="O545" s="62">
        <f t="shared" si="100"/>
        <v>1619.774877976304</v>
      </c>
      <c r="P545" s="62">
        <f t="shared" si="101"/>
        <v>3521.25</v>
      </c>
      <c r="Q545" s="62">
        <f t="shared" si="102"/>
        <v>2676.1504880947846</v>
      </c>
      <c r="R545" s="60">
        <v>0</v>
      </c>
      <c r="S545" s="60">
        <v>0</v>
      </c>
      <c r="T545" s="60">
        <v>0</v>
      </c>
      <c r="U545" s="60">
        <v>0</v>
      </c>
      <c r="V545" s="60">
        <f t="shared" si="103"/>
        <v>0</v>
      </c>
      <c r="W545" s="60">
        <v>0</v>
      </c>
      <c r="X545" s="60">
        <v>0</v>
      </c>
      <c r="Y545" s="879"/>
      <c r="Z545" s="906"/>
    </row>
    <row r="546" spans="1:27" hidden="1">
      <c r="A546" s="15" t="s">
        <v>62</v>
      </c>
      <c r="B546" s="535" t="s">
        <v>33</v>
      </c>
      <c r="C546" s="808">
        <v>176</v>
      </c>
      <c r="D546" s="294" t="s">
        <v>487</v>
      </c>
      <c r="E546" s="294" t="s">
        <v>488</v>
      </c>
      <c r="F546" s="808">
        <v>6100302810</v>
      </c>
      <c r="G546" s="808">
        <v>244</v>
      </c>
      <c r="H546" s="9">
        <v>17125</v>
      </c>
      <c r="I546" s="9">
        <f t="shared" si="95"/>
        <v>1379.7146701926374</v>
      </c>
      <c r="J546" s="9">
        <f t="shared" si="96"/>
        <v>7867.888238733216</v>
      </c>
      <c r="K546" s="9">
        <f t="shared" si="97"/>
        <v>3965.2422892003169</v>
      </c>
      <c r="L546" s="9">
        <f t="shared" si="98"/>
        <v>3912.1571675962632</v>
      </c>
      <c r="M546" s="62">
        <f>5350+11080.01</f>
        <v>16430.010000000002</v>
      </c>
      <c r="N546" s="62">
        <f t="shared" si="99"/>
        <v>7311.3543788302977</v>
      </c>
      <c r="O546" s="62">
        <f t="shared" si="100"/>
        <v>1889.4510076605934</v>
      </c>
      <c r="P546" s="62">
        <f t="shared" si="101"/>
        <v>4107.5025000000005</v>
      </c>
      <c r="Q546" s="62">
        <f t="shared" si="102"/>
        <v>3121.7024693576286</v>
      </c>
      <c r="R546" s="60">
        <v>0</v>
      </c>
      <c r="S546" s="60">
        <v>0</v>
      </c>
      <c r="T546" s="60">
        <v>0</v>
      </c>
      <c r="U546" s="60">
        <v>0</v>
      </c>
      <c r="V546" s="60">
        <f t="shared" si="103"/>
        <v>0</v>
      </c>
      <c r="W546" s="60">
        <v>0</v>
      </c>
      <c r="X546" s="60">
        <v>0</v>
      </c>
      <c r="Y546" s="879"/>
      <c r="Z546" s="906"/>
    </row>
    <row r="547" spans="1:27" hidden="1">
      <c r="A547" s="15" t="s">
        <v>63</v>
      </c>
      <c r="B547" s="535" t="s">
        <v>33</v>
      </c>
      <c r="C547" s="808">
        <v>176</v>
      </c>
      <c r="D547" s="294" t="s">
        <v>487</v>
      </c>
      <c r="E547" s="294" t="s">
        <v>488</v>
      </c>
      <c r="F547" s="808">
        <v>6100302810</v>
      </c>
      <c r="G547" s="808">
        <v>244</v>
      </c>
      <c r="H547" s="9">
        <v>8734.7999999999993</v>
      </c>
      <c r="I547" s="9">
        <f t="shared" si="95"/>
        <v>703.73907744225676</v>
      </c>
      <c r="J547" s="9">
        <f t="shared" si="96"/>
        <v>4013.1054124196726</v>
      </c>
      <c r="K547" s="9">
        <f t="shared" si="97"/>
        <v>2022.5166918369005</v>
      </c>
      <c r="L547" s="9">
        <f t="shared" si="98"/>
        <v>1995.4400249646621</v>
      </c>
      <c r="M547" s="62">
        <f>5350+8811.79</f>
        <v>14161.79</v>
      </c>
      <c r="N547" s="62">
        <f t="shared" si="99"/>
        <v>6301.9964886555217</v>
      </c>
      <c r="O547" s="62">
        <f t="shared" si="100"/>
        <v>1628.605727311043</v>
      </c>
      <c r="P547" s="62">
        <f t="shared" si="101"/>
        <v>3540.4475000000002</v>
      </c>
      <c r="Q547" s="62">
        <f t="shared" si="102"/>
        <v>2690.7405907558282</v>
      </c>
      <c r="R547" s="60">
        <v>0</v>
      </c>
      <c r="S547" s="60">
        <v>0</v>
      </c>
      <c r="T547" s="60">
        <v>0</v>
      </c>
      <c r="U547" s="60">
        <v>0</v>
      </c>
      <c r="V547" s="60">
        <f t="shared" si="103"/>
        <v>0</v>
      </c>
      <c r="W547" s="60">
        <v>0</v>
      </c>
      <c r="X547" s="60">
        <v>0</v>
      </c>
      <c r="Y547" s="879"/>
      <c r="Z547" s="906"/>
    </row>
    <row r="548" spans="1:27" hidden="1">
      <c r="A548" s="15" t="s">
        <v>64</v>
      </c>
      <c r="B548" s="535" t="s">
        <v>33</v>
      </c>
      <c r="C548" s="808">
        <v>176</v>
      </c>
      <c r="D548" s="294" t="s">
        <v>487</v>
      </c>
      <c r="E548" s="294" t="s">
        <v>488</v>
      </c>
      <c r="F548" s="808">
        <v>6100302810</v>
      </c>
      <c r="G548" s="808">
        <v>244</v>
      </c>
      <c r="H548" s="9">
        <v>15175</v>
      </c>
      <c r="I548" s="9">
        <f t="shared" si="95"/>
        <v>1222.608474170702</v>
      </c>
      <c r="J548" s="9">
        <f t="shared" si="96"/>
        <v>6971.9827166584855</v>
      </c>
      <c r="K548" s="9">
        <f t="shared" si="97"/>
        <v>3513.7256489702077</v>
      </c>
      <c r="L548" s="9">
        <f t="shared" si="98"/>
        <v>3466.6852565415061</v>
      </c>
      <c r="M548" s="62">
        <f>267.5+3000+7527.69</f>
        <v>10795.189999999999</v>
      </c>
      <c r="N548" s="62">
        <f t="shared" si="99"/>
        <v>4803.8595032385874</v>
      </c>
      <c r="O548" s="62">
        <f t="shared" si="100"/>
        <v>1241.4467564771753</v>
      </c>
      <c r="P548" s="62">
        <f t="shared" si="101"/>
        <v>2698.7974999999992</v>
      </c>
      <c r="Q548" s="62">
        <f t="shared" si="102"/>
        <v>2051.086474091298</v>
      </c>
      <c r="R548" s="60">
        <v>0</v>
      </c>
      <c r="S548" s="60">
        <v>0</v>
      </c>
      <c r="T548" s="60">
        <v>0</v>
      </c>
      <c r="U548" s="60">
        <v>0</v>
      </c>
      <c r="V548" s="60">
        <f t="shared" si="103"/>
        <v>0</v>
      </c>
      <c r="W548" s="60">
        <v>0</v>
      </c>
      <c r="X548" s="60">
        <v>0</v>
      </c>
      <c r="Y548" s="879"/>
      <c r="Z548" s="906"/>
    </row>
    <row r="549" spans="1:27" hidden="1">
      <c r="A549" s="15" t="s">
        <v>65</v>
      </c>
      <c r="B549" s="535" t="s">
        <v>33</v>
      </c>
      <c r="C549" s="808">
        <v>176</v>
      </c>
      <c r="D549" s="294" t="s">
        <v>487</v>
      </c>
      <c r="E549" s="294" t="s">
        <v>488</v>
      </c>
      <c r="F549" s="808">
        <v>6100302810</v>
      </c>
      <c r="G549" s="808">
        <v>244</v>
      </c>
      <c r="H549" s="9">
        <v>26650.400000000001</v>
      </c>
      <c r="I549" s="9">
        <f t="shared" si="95"/>
        <v>2147.1502392117877</v>
      </c>
      <c r="J549" s="9">
        <f t="shared" si="96"/>
        <v>12244.225910513036</v>
      </c>
      <c r="K549" s="9">
        <f t="shared" si="97"/>
        <v>6170.8200352761523</v>
      </c>
      <c r="L549" s="9">
        <f t="shared" si="98"/>
        <v>6088.2074966018954</v>
      </c>
      <c r="M549" s="62">
        <f>12305+18023.8+5164.76</f>
        <v>35493.56</v>
      </c>
      <c r="N549" s="62">
        <f t="shared" si="99"/>
        <v>15794.634046252915</v>
      </c>
      <c r="O549" s="62">
        <f t="shared" si="100"/>
        <v>4081.7590925058298</v>
      </c>
      <c r="P549" s="62">
        <f t="shared" si="101"/>
        <v>8873.39</v>
      </c>
      <c r="Q549" s="62">
        <f t="shared" si="102"/>
        <v>6743.7776299766792</v>
      </c>
      <c r="R549" s="60">
        <v>0</v>
      </c>
      <c r="S549" s="60">
        <v>0</v>
      </c>
      <c r="T549" s="60">
        <v>0</v>
      </c>
      <c r="U549" s="60">
        <v>0</v>
      </c>
      <c r="V549" s="60">
        <f t="shared" si="103"/>
        <v>0</v>
      </c>
      <c r="W549" s="60">
        <v>0</v>
      </c>
      <c r="X549" s="60">
        <v>0</v>
      </c>
      <c r="Y549" s="879"/>
      <c r="Z549" s="906"/>
    </row>
    <row r="550" spans="1:27" hidden="1">
      <c r="A550" s="15" t="s">
        <v>66</v>
      </c>
      <c r="B550" s="535" t="s">
        <v>33</v>
      </c>
      <c r="C550" s="808">
        <v>176</v>
      </c>
      <c r="D550" s="294" t="s">
        <v>487</v>
      </c>
      <c r="E550" s="294" t="s">
        <v>488</v>
      </c>
      <c r="F550" s="808">
        <v>6100302810</v>
      </c>
      <c r="G550" s="808">
        <v>244</v>
      </c>
      <c r="H550" s="9">
        <v>9217.4</v>
      </c>
      <c r="I550" s="9">
        <f t="shared" si="95"/>
        <v>742.62084677568555</v>
      </c>
      <c r="J550" s="9">
        <f t="shared" si="96"/>
        <v>4234.8305431649369</v>
      </c>
      <c r="K550" s="9">
        <f t="shared" si="97"/>
        <v>2134.2612716189778</v>
      </c>
      <c r="L550" s="9">
        <f t="shared" si="98"/>
        <v>2105.6886117723675</v>
      </c>
      <c r="M550" s="62">
        <f>802.5+6510+9950</f>
        <v>17262.5</v>
      </c>
      <c r="N550" s="62">
        <f t="shared" si="99"/>
        <v>7681.8124252242087</v>
      </c>
      <c r="O550" s="62">
        <f t="shared" si="100"/>
        <v>1985.1873504484165</v>
      </c>
      <c r="P550" s="62">
        <f t="shared" si="101"/>
        <v>4315.625</v>
      </c>
      <c r="Q550" s="62">
        <f t="shared" si="102"/>
        <v>3279.875598206334</v>
      </c>
      <c r="R550" s="60">
        <v>0</v>
      </c>
      <c r="S550" s="60">
        <v>0</v>
      </c>
      <c r="T550" s="60">
        <v>0</v>
      </c>
      <c r="U550" s="60">
        <v>0</v>
      </c>
      <c r="V550" s="60">
        <f t="shared" si="103"/>
        <v>0</v>
      </c>
      <c r="W550" s="60">
        <v>0</v>
      </c>
      <c r="X550" s="60">
        <v>0</v>
      </c>
      <c r="Y550" s="879"/>
      <c r="Z550" s="906"/>
    </row>
    <row r="551" spans="1:27" hidden="1">
      <c r="A551" s="15" t="s">
        <v>67</v>
      </c>
      <c r="B551" s="535" t="s">
        <v>33</v>
      </c>
      <c r="C551" s="808">
        <v>176</v>
      </c>
      <c r="D551" s="294" t="s">
        <v>487</v>
      </c>
      <c r="E551" s="294" t="s">
        <v>488</v>
      </c>
      <c r="F551" s="808">
        <v>6100302810</v>
      </c>
      <c r="G551" s="808">
        <v>244</v>
      </c>
      <c r="H551" s="9">
        <v>13800</v>
      </c>
      <c r="I551" s="9">
        <f t="shared" si="95"/>
        <v>1111.8284641552348</v>
      </c>
      <c r="J551" s="9">
        <f t="shared" si="96"/>
        <v>6340.2544639134831</v>
      </c>
      <c r="K551" s="9">
        <f t="shared" si="97"/>
        <v>3195.3485308592335</v>
      </c>
      <c r="L551" s="9">
        <f t="shared" si="98"/>
        <v>3152.570447464434</v>
      </c>
      <c r="M551" s="62">
        <f>4280+7505</f>
        <v>11785</v>
      </c>
      <c r="N551" s="62">
        <f t="shared" si="99"/>
        <v>5244.3249489510381</v>
      </c>
      <c r="O551" s="62">
        <f t="shared" si="100"/>
        <v>1355.2748979020762</v>
      </c>
      <c r="P551" s="62">
        <f t="shared" si="101"/>
        <v>2946.25</v>
      </c>
      <c r="Q551" s="62">
        <f t="shared" si="102"/>
        <v>2239.1504083916961</v>
      </c>
      <c r="R551" s="60">
        <v>0</v>
      </c>
      <c r="S551" s="60">
        <v>0</v>
      </c>
      <c r="T551" s="60">
        <v>0</v>
      </c>
      <c r="U551" s="60">
        <v>0</v>
      </c>
      <c r="V551" s="60">
        <f t="shared" si="103"/>
        <v>0</v>
      </c>
      <c r="W551" s="60">
        <v>0</v>
      </c>
      <c r="X551" s="60">
        <v>0</v>
      </c>
      <c r="Y551" s="879"/>
      <c r="Z551" s="906"/>
    </row>
    <row r="552" spans="1:27" hidden="1">
      <c r="A552" s="15" t="s">
        <v>68</v>
      </c>
      <c r="B552" s="535" t="s">
        <v>33</v>
      </c>
      <c r="C552" s="808">
        <v>176</v>
      </c>
      <c r="D552" s="294" t="s">
        <v>487</v>
      </c>
      <c r="E552" s="294" t="s">
        <v>488</v>
      </c>
      <c r="F552" s="808">
        <v>6100302810</v>
      </c>
      <c r="G552" s="808">
        <v>244</v>
      </c>
      <c r="H552" s="9">
        <v>6330.2</v>
      </c>
      <c r="I552" s="9">
        <f t="shared" si="95"/>
        <v>510.00699592720775</v>
      </c>
      <c r="J552" s="9">
        <f t="shared" si="96"/>
        <v>2908.3390440192115</v>
      </c>
      <c r="K552" s="9">
        <f t="shared" si="97"/>
        <v>1465.7387876844286</v>
      </c>
      <c r="L552" s="9">
        <f t="shared" si="98"/>
        <v>1446.1160468506782</v>
      </c>
      <c r="M552" s="62">
        <f>2140+8749.99</f>
        <v>10889.99</v>
      </c>
      <c r="N552" s="62">
        <f t="shared" si="99"/>
        <v>4846.045502827943</v>
      </c>
      <c r="O552" s="62">
        <f t="shared" si="100"/>
        <v>1252.3487556558871</v>
      </c>
      <c r="P552" s="62">
        <f t="shared" si="101"/>
        <v>2722.4974999999999</v>
      </c>
      <c r="Q552" s="62">
        <f t="shared" si="102"/>
        <v>2069.0984773764517</v>
      </c>
      <c r="R552" s="60">
        <v>0</v>
      </c>
      <c r="S552" s="60">
        <v>0</v>
      </c>
      <c r="T552" s="60">
        <v>0</v>
      </c>
      <c r="U552" s="60">
        <v>0</v>
      </c>
      <c r="V552" s="60">
        <f t="shared" si="103"/>
        <v>0</v>
      </c>
      <c r="W552" s="60">
        <v>0</v>
      </c>
      <c r="X552" s="60">
        <v>0</v>
      </c>
      <c r="Y552" s="879"/>
      <c r="Z552" s="906"/>
    </row>
    <row r="553" spans="1:27" hidden="1">
      <c r="A553" s="15" t="s">
        <v>69</v>
      </c>
      <c r="B553" s="535" t="s">
        <v>33</v>
      </c>
      <c r="C553" s="808">
        <v>176</v>
      </c>
      <c r="D553" s="294" t="s">
        <v>487</v>
      </c>
      <c r="E553" s="294" t="s">
        <v>488</v>
      </c>
      <c r="F553" s="808">
        <v>6100302810</v>
      </c>
      <c r="G553" s="808">
        <v>244</v>
      </c>
      <c r="H553" s="9">
        <v>19339</v>
      </c>
      <c r="I553" s="9">
        <f t="shared" si="95"/>
        <v>1558.0906281375424</v>
      </c>
      <c r="J553" s="9">
        <f t="shared" si="96"/>
        <v>8885.0855853349876</v>
      </c>
      <c r="K553" s="9">
        <f t="shared" si="97"/>
        <v>4477.8873361077331</v>
      </c>
      <c r="L553" s="9">
        <f t="shared" si="98"/>
        <v>4417.9391219938179</v>
      </c>
      <c r="M553" s="62">
        <f>12251.5+4862.6+431.18</f>
        <v>17545.28</v>
      </c>
      <c r="N553" s="62">
        <f t="shared" si="99"/>
        <v>7807.6495239992919</v>
      </c>
      <c r="O553" s="62">
        <f t="shared" si="100"/>
        <v>2017.7070479985862</v>
      </c>
      <c r="P553" s="62">
        <f t="shared" si="101"/>
        <v>4386.32</v>
      </c>
      <c r="Q553" s="62">
        <f t="shared" si="102"/>
        <v>3333.6038080056555</v>
      </c>
      <c r="R553" s="60">
        <v>0</v>
      </c>
      <c r="S553" s="60">
        <v>0</v>
      </c>
      <c r="T553" s="60">
        <v>0</v>
      </c>
      <c r="U553" s="60">
        <v>0</v>
      </c>
      <c r="V553" s="60">
        <f t="shared" si="103"/>
        <v>0</v>
      </c>
      <c r="W553" s="60">
        <v>0</v>
      </c>
      <c r="X553" s="60">
        <v>0</v>
      </c>
      <c r="Y553" s="879"/>
      <c r="Z553" s="906"/>
    </row>
    <row r="554" spans="1:27" hidden="1">
      <c r="A554" s="15" t="s">
        <v>70</v>
      </c>
      <c r="B554" s="535" t="s">
        <v>33</v>
      </c>
      <c r="C554" s="808">
        <v>176</v>
      </c>
      <c r="D554" s="294" t="s">
        <v>487</v>
      </c>
      <c r="E554" s="294" t="s">
        <v>488</v>
      </c>
      <c r="F554" s="808">
        <v>6100302810</v>
      </c>
      <c r="G554" s="808">
        <v>244</v>
      </c>
      <c r="H554" s="9">
        <v>7453.9</v>
      </c>
      <c r="I554" s="9">
        <f t="shared" si="95"/>
        <v>600.54044847584805</v>
      </c>
      <c r="J554" s="9">
        <f t="shared" si="96"/>
        <v>3424.6103440988913</v>
      </c>
      <c r="K554" s="9">
        <f t="shared" si="97"/>
        <v>1725.9281459544666</v>
      </c>
      <c r="L554" s="9">
        <f t="shared" si="98"/>
        <v>1702.8220911851552</v>
      </c>
      <c r="M554" s="62"/>
      <c r="N554" s="62"/>
      <c r="O554" s="62"/>
      <c r="P554" s="62"/>
      <c r="Q554" s="62"/>
      <c r="R554" s="60">
        <v>0</v>
      </c>
      <c r="S554" s="60">
        <v>0</v>
      </c>
      <c r="T554" s="60">
        <v>0</v>
      </c>
      <c r="U554" s="60">
        <v>0</v>
      </c>
      <c r="V554" s="60">
        <f t="shared" si="103"/>
        <v>0</v>
      </c>
      <c r="W554" s="60">
        <v>0</v>
      </c>
      <c r="X554" s="60">
        <v>0</v>
      </c>
      <c r="Y554" s="879"/>
      <c r="Z554" s="906"/>
    </row>
    <row r="555" spans="1:27" ht="24" hidden="1" customHeight="1">
      <c r="A555" s="15" t="s">
        <v>71</v>
      </c>
      <c r="B555" s="535" t="s">
        <v>33</v>
      </c>
      <c r="C555" s="808">
        <v>176</v>
      </c>
      <c r="D555" s="294" t="s">
        <v>487</v>
      </c>
      <c r="E555" s="294" t="s">
        <v>488</v>
      </c>
      <c r="F555" s="808">
        <v>6100302810</v>
      </c>
      <c r="G555" s="808">
        <v>244</v>
      </c>
      <c r="H555" s="9">
        <v>7484</v>
      </c>
      <c r="I555" s="9">
        <f t="shared" si="95"/>
        <v>602.96552360418673</v>
      </c>
      <c r="J555" s="9">
        <f t="shared" si="96"/>
        <v>3438.4394498498914</v>
      </c>
      <c r="K555" s="9">
        <f t="shared" si="97"/>
        <v>1732.8977105036593</v>
      </c>
      <c r="L555" s="9">
        <f t="shared" si="98"/>
        <v>1709.69834991477</v>
      </c>
      <c r="M555" s="62">
        <f>3210+24441.5</f>
        <v>27651.5</v>
      </c>
      <c r="N555" s="62">
        <f t="shared" si="99"/>
        <v>12304.917380222285</v>
      </c>
      <c r="O555" s="62">
        <f t="shared" si="100"/>
        <v>3179.9222604445699</v>
      </c>
      <c r="P555" s="62">
        <f t="shared" si="101"/>
        <v>6912.875</v>
      </c>
      <c r="Q555" s="62">
        <f t="shared" si="102"/>
        <v>5253.7859582217206</v>
      </c>
      <c r="R555" s="60">
        <v>0</v>
      </c>
      <c r="S555" s="60">
        <v>0</v>
      </c>
      <c r="T555" s="60">
        <v>0</v>
      </c>
      <c r="U555" s="60">
        <v>0</v>
      </c>
      <c r="V555" s="60">
        <f t="shared" si="103"/>
        <v>0</v>
      </c>
      <c r="W555" s="60">
        <v>0</v>
      </c>
      <c r="X555" s="60">
        <v>0</v>
      </c>
      <c r="Y555" s="880"/>
      <c r="Z555" s="868"/>
    </row>
    <row r="556" spans="1:27" ht="28.5" hidden="1" customHeight="1">
      <c r="A556" s="15" t="s">
        <v>491</v>
      </c>
      <c r="B556" s="535" t="s">
        <v>33</v>
      </c>
      <c r="C556" s="808">
        <v>176</v>
      </c>
      <c r="D556" s="294" t="s">
        <v>487</v>
      </c>
      <c r="E556" s="294" t="s">
        <v>488</v>
      </c>
      <c r="F556" s="808">
        <v>6100302810</v>
      </c>
      <c r="G556" s="808">
        <v>244</v>
      </c>
      <c r="H556" s="9">
        <v>66165.5</v>
      </c>
      <c r="I556" s="9">
        <v>66165.5</v>
      </c>
      <c r="J556" s="9">
        <v>0</v>
      </c>
      <c r="K556" s="9">
        <v>0</v>
      </c>
      <c r="L556" s="9">
        <v>0</v>
      </c>
      <c r="M556" s="62">
        <v>1955.5</v>
      </c>
      <c r="N556" s="62">
        <v>1955.5</v>
      </c>
      <c r="O556" s="62"/>
      <c r="P556" s="62"/>
      <c r="Q556" s="62"/>
      <c r="R556" s="60">
        <v>1250.9000000000001</v>
      </c>
      <c r="S556" s="60">
        <v>0</v>
      </c>
      <c r="T556" s="60"/>
      <c r="U556" s="60"/>
      <c r="V556" s="60"/>
      <c r="W556" s="60"/>
      <c r="X556" s="60"/>
      <c r="Y556" s="808"/>
      <c r="Z556" s="810" t="s">
        <v>492</v>
      </c>
      <c r="AA556" s="278">
        <f>R515-R556</f>
        <v>-1250.9000000000001</v>
      </c>
    </row>
    <row r="557" spans="1:27" ht="40.5" hidden="1" customHeight="1">
      <c r="A557" s="15"/>
      <c r="B557" s="535"/>
      <c r="C557" s="808"/>
      <c r="D557" s="294"/>
      <c r="E557" s="808"/>
      <c r="F557" s="808"/>
      <c r="G557" s="808"/>
      <c r="H557" s="1"/>
      <c r="I557" s="1"/>
      <c r="J557" s="1"/>
      <c r="K557" s="1"/>
      <c r="L557" s="1"/>
      <c r="M557" s="54"/>
      <c r="N557" s="54"/>
      <c r="O557" s="54"/>
      <c r="P557" s="54"/>
      <c r="Q557" s="54"/>
      <c r="R557" s="53"/>
      <c r="S557" s="53"/>
      <c r="T557" s="53"/>
      <c r="U557" s="53"/>
      <c r="V557" s="53"/>
      <c r="W557" s="53"/>
      <c r="X557" s="53"/>
      <c r="Y557" s="808"/>
      <c r="Z557" s="808"/>
    </row>
    <row r="558" spans="1:27" s="76" customFormat="1" ht="26.45" hidden="1" customHeight="1">
      <c r="A558" s="872" t="s">
        <v>777</v>
      </c>
      <c r="B558" s="826" t="s">
        <v>648</v>
      </c>
      <c r="C558" s="659"/>
      <c r="D558" s="659"/>
      <c r="E558" s="659"/>
      <c r="F558" s="659"/>
      <c r="G558" s="659"/>
      <c r="H558" s="27"/>
      <c r="I558" s="659"/>
      <c r="J558" s="659"/>
      <c r="K558" s="659"/>
      <c r="L558" s="27"/>
      <c r="M558" s="58"/>
      <c r="N558" s="58"/>
      <c r="O558" s="58"/>
      <c r="P558" s="58"/>
      <c r="Q558" s="58"/>
      <c r="R558" s="58"/>
      <c r="S558" s="58"/>
      <c r="T558" s="58"/>
      <c r="U558" s="58"/>
      <c r="V558" s="58"/>
      <c r="W558" s="58"/>
      <c r="X558" s="58"/>
      <c r="Y558" s="878" t="s">
        <v>26</v>
      </c>
      <c r="Z558" s="867" t="s">
        <v>792</v>
      </c>
      <c r="AA558" s="471"/>
    </row>
    <row r="559" spans="1:27" s="76" customFormat="1" ht="30" hidden="1" customHeight="1">
      <c r="A559" s="873"/>
      <c r="B559" s="826" t="s">
        <v>493</v>
      </c>
      <c r="C559" s="659"/>
      <c r="D559" s="659"/>
      <c r="E559" s="659"/>
      <c r="F559" s="659"/>
      <c r="G559" s="659"/>
      <c r="H559" s="11"/>
      <c r="I559" s="11"/>
      <c r="J559" s="11"/>
      <c r="K559" s="11"/>
      <c r="L559" s="11"/>
      <c r="M559" s="48"/>
      <c r="N559" s="48"/>
      <c r="O559" s="48"/>
      <c r="P559" s="48"/>
      <c r="Q559" s="48"/>
      <c r="R559" s="48" t="s">
        <v>489</v>
      </c>
      <c r="S559" s="48" t="s">
        <v>489</v>
      </c>
      <c r="T559" s="48" t="s">
        <v>489</v>
      </c>
      <c r="U559" s="48" t="s">
        <v>489</v>
      </c>
      <c r="V559" s="48" t="s">
        <v>489</v>
      </c>
      <c r="W559" s="48"/>
      <c r="X559" s="48"/>
      <c r="Y559" s="879"/>
      <c r="Z559" s="906"/>
      <c r="AA559" s="471"/>
    </row>
    <row r="560" spans="1:27" s="76" customFormat="1" ht="30.75" hidden="1" customHeight="1">
      <c r="A560" s="873"/>
      <c r="B560" s="826" t="s">
        <v>494</v>
      </c>
      <c r="C560" s="659">
        <v>176</v>
      </c>
      <c r="D560" s="102" t="s">
        <v>487</v>
      </c>
      <c r="E560" s="102" t="s">
        <v>488</v>
      </c>
      <c r="F560" s="659">
        <v>6100302810</v>
      </c>
      <c r="G560" s="659">
        <v>244</v>
      </c>
      <c r="H560" s="11"/>
      <c r="I560" s="11"/>
      <c r="J560" s="11"/>
      <c r="K560" s="11"/>
      <c r="L560" s="11"/>
      <c r="M560" s="48"/>
      <c r="N560" s="48"/>
      <c r="O560" s="48"/>
      <c r="P560" s="48"/>
      <c r="Q560" s="48"/>
      <c r="R560" s="48">
        <f>R561</f>
        <v>0</v>
      </c>
      <c r="S560" s="48">
        <f>S561</f>
        <v>0</v>
      </c>
      <c r="T560" s="48"/>
      <c r="U560" s="48"/>
      <c r="V560" s="48"/>
      <c r="W560" s="48"/>
      <c r="X560" s="48"/>
      <c r="Y560" s="879"/>
      <c r="Z560" s="906"/>
      <c r="AA560" s="471"/>
    </row>
    <row r="561" spans="1:27" s="76" customFormat="1" ht="32.450000000000003" hidden="1" customHeight="1">
      <c r="A561" s="873"/>
      <c r="B561" s="826" t="s">
        <v>496</v>
      </c>
      <c r="C561" s="659">
        <v>176</v>
      </c>
      <c r="D561" s="102" t="s">
        <v>487</v>
      </c>
      <c r="E561" s="102" t="s">
        <v>488</v>
      </c>
      <c r="F561" s="659">
        <v>6100302810</v>
      </c>
      <c r="G561" s="659">
        <v>244</v>
      </c>
      <c r="H561" s="11"/>
      <c r="I561" s="11"/>
      <c r="J561" s="11"/>
      <c r="K561" s="11"/>
      <c r="L561" s="11"/>
      <c r="M561" s="48"/>
      <c r="N561" s="48"/>
      <c r="O561" s="48"/>
      <c r="P561" s="48"/>
      <c r="Q561" s="48"/>
      <c r="R561" s="48">
        <f>S561</f>
        <v>0</v>
      </c>
      <c r="S561" s="48">
        <v>0</v>
      </c>
      <c r="T561" s="48"/>
      <c r="U561" s="48"/>
      <c r="V561" s="48"/>
      <c r="W561" s="48"/>
      <c r="X561" s="48"/>
      <c r="Y561" s="879"/>
      <c r="Z561" s="906"/>
      <c r="AA561" s="471"/>
    </row>
    <row r="562" spans="1:27" s="76" customFormat="1" ht="25.5" hidden="1" customHeight="1">
      <c r="A562" s="873"/>
      <c r="B562" s="473" t="s">
        <v>436</v>
      </c>
      <c r="C562" s="659"/>
      <c r="D562" s="102"/>
      <c r="E562" s="102"/>
      <c r="F562" s="659"/>
      <c r="G562" s="659"/>
      <c r="H562" s="11"/>
      <c r="I562" s="11"/>
      <c r="J562" s="11"/>
      <c r="K562" s="11"/>
      <c r="L562" s="11"/>
      <c r="M562" s="48"/>
      <c r="N562" s="48"/>
      <c r="O562" s="48"/>
      <c r="P562" s="48"/>
      <c r="Q562" s="48"/>
      <c r="R562" s="48"/>
      <c r="S562" s="48"/>
      <c r="T562" s="48"/>
      <c r="U562" s="48"/>
      <c r="V562" s="48"/>
      <c r="W562" s="48"/>
      <c r="X562" s="48"/>
      <c r="Y562" s="879"/>
      <c r="Z562" s="906"/>
      <c r="AA562" s="471"/>
    </row>
    <row r="563" spans="1:27" s="76" customFormat="1" ht="30" hidden="1" customHeight="1">
      <c r="A563" s="873"/>
      <c r="B563" s="826" t="s">
        <v>435</v>
      </c>
      <c r="C563" s="659"/>
      <c r="D563" s="102"/>
      <c r="E563" s="102"/>
      <c r="F563" s="659"/>
      <c r="G563" s="659"/>
      <c r="H563" s="11"/>
      <c r="I563" s="11"/>
      <c r="J563" s="11"/>
      <c r="K563" s="11"/>
      <c r="L563" s="11"/>
      <c r="M563" s="48"/>
      <c r="N563" s="48"/>
      <c r="O563" s="48"/>
      <c r="P563" s="48"/>
      <c r="Q563" s="48"/>
      <c r="R563" s="48"/>
      <c r="S563" s="48"/>
      <c r="T563" s="48"/>
      <c r="U563" s="48"/>
      <c r="V563" s="48"/>
      <c r="W563" s="48"/>
      <c r="X563" s="48"/>
      <c r="Y563" s="879"/>
      <c r="Z563" s="906"/>
      <c r="AA563" s="471"/>
    </row>
    <row r="564" spans="1:27" s="76" customFormat="1" ht="30" hidden="1" customHeight="1">
      <c r="A564" s="873"/>
      <c r="B564" s="826" t="s">
        <v>447</v>
      </c>
      <c r="C564" s="659"/>
      <c r="D564" s="102"/>
      <c r="E564" s="102"/>
      <c r="F564" s="659"/>
      <c r="G564" s="659"/>
      <c r="H564" s="11"/>
      <c r="I564" s="11"/>
      <c r="J564" s="11"/>
      <c r="K564" s="11"/>
      <c r="L564" s="11"/>
      <c r="M564" s="48"/>
      <c r="N564" s="48"/>
      <c r="O564" s="48"/>
      <c r="P564" s="48"/>
      <c r="Q564" s="48"/>
      <c r="R564" s="48"/>
      <c r="S564" s="48"/>
      <c r="T564" s="48"/>
      <c r="U564" s="48"/>
      <c r="V564" s="48"/>
      <c r="W564" s="48"/>
      <c r="X564" s="48"/>
      <c r="Y564" s="879"/>
      <c r="Z564" s="906"/>
      <c r="AA564" s="471"/>
    </row>
    <row r="565" spans="1:27" s="76" customFormat="1" ht="30" hidden="1" customHeight="1">
      <c r="A565" s="874"/>
      <c r="B565" s="826" t="s">
        <v>447</v>
      </c>
      <c r="C565" s="659"/>
      <c r="D565" s="102"/>
      <c r="E565" s="102"/>
      <c r="F565" s="659"/>
      <c r="G565" s="659"/>
      <c r="H565" s="11"/>
      <c r="I565" s="11"/>
      <c r="J565" s="11"/>
      <c r="K565" s="11"/>
      <c r="L565" s="11"/>
      <c r="M565" s="48"/>
      <c r="N565" s="48"/>
      <c r="O565" s="48"/>
      <c r="P565" s="48"/>
      <c r="Q565" s="48"/>
      <c r="R565" s="48"/>
      <c r="S565" s="48"/>
      <c r="T565" s="48"/>
      <c r="U565" s="48"/>
      <c r="V565" s="48"/>
      <c r="W565" s="48"/>
      <c r="X565" s="48"/>
      <c r="Y565" s="880"/>
      <c r="Z565" s="868"/>
      <c r="AA565" s="471"/>
    </row>
    <row r="566" spans="1:27" ht="44.45" customHeight="1">
      <c r="A566" s="898" t="s">
        <v>714</v>
      </c>
      <c r="B566" s="826" t="s">
        <v>74</v>
      </c>
      <c r="C566" s="659"/>
      <c r="D566" s="102"/>
      <c r="E566" s="102"/>
      <c r="F566" s="659"/>
      <c r="G566" s="659"/>
      <c r="H566" s="7">
        <v>35</v>
      </c>
      <c r="I566" s="7">
        <v>30</v>
      </c>
      <c r="J566" s="7">
        <v>29</v>
      </c>
      <c r="K566" s="7">
        <v>31</v>
      </c>
      <c r="L566" s="7">
        <v>31</v>
      </c>
      <c r="M566" s="67">
        <v>35</v>
      </c>
      <c r="N566" s="67"/>
      <c r="O566" s="67"/>
      <c r="P566" s="67"/>
      <c r="Q566" s="67"/>
      <c r="R566" s="48">
        <v>35</v>
      </c>
      <c r="S566" s="48"/>
      <c r="T566" s="48"/>
      <c r="U566" s="48"/>
      <c r="V566" s="48">
        <v>35</v>
      </c>
      <c r="W566" s="48">
        <v>35</v>
      </c>
      <c r="X566" s="48">
        <v>35</v>
      </c>
      <c r="Y566" s="878" t="s">
        <v>791</v>
      </c>
      <c r="Z566" s="867" t="s">
        <v>185</v>
      </c>
      <c r="AA566" s="278"/>
    </row>
    <row r="567" spans="1:27" ht="30.75" customHeight="1">
      <c r="A567" s="899"/>
      <c r="B567" s="826" t="s">
        <v>24</v>
      </c>
      <c r="C567" s="659"/>
      <c r="D567" s="102"/>
      <c r="E567" s="102"/>
      <c r="F567" s="659"/>
      <c r="G567" s="659"/>
      <c r="H567" s="8">
        <v>0</v>
      </c>
      <c r="I567" s="8">
        <v>0</v>
      </c>
      <c r="J567" s="8">
        <v>0</v>
      </c>
      <c r="K567" s="8">
        <v>0</v>
      </c>
      <c r="L567" s="8">
        <v>0</v>
      </c>
      <c r="M567" s="63"/>
      <c r="N567" s="63"/>
      <c r="O567" s="63"/>
      <c r="P567" s="63"/>
      <c r="Q567" s="63"/>
      <c r="R567" s="48">
        <f>R568/R566</f>
        <v>47639.332330827085</v>
      </c>
      <c r="S567" s="48" t="s">
        <v>489</v>
      </c>
      <c r="T567" s="48" t="s">
        <v>489</v>
      </c>
      <c r="U567" s="48" t="s">
        <v>489</v>
      </c>
      <c r="V567" s="48" t="s">
        <v>489</v>
      </c>
      <c r="W567" s="48">
        <f>W568/W566</f>
        <v>80623.41353383458</v>
      </c>
      <c r="X567" s="48">
        <f>X568/X566</f>
        <v>90450.77293233083</v>
      </c>
      <c r="Y567" s="879"/>
      <c r="Z567" s="906"/>
    </row>
    <row r="568" spans="1:27" ht="30" customHeight="1">
      <c r="A568" s="899"/>
      <c r="B568" s="840" t="s">
        <v>1143</v>
      </c>
      <c r="C568" s="659">
        <v>176</v>
      </c>
      <c r="D568" s="102" t="s">
        <v>487</v>
      </c>
      <c r="E568" s="102" t="s">
        <v>488</v>
      </c>
      <c r="F568" s="659" t="s">
        <v>538</v>
      </c>
      <c r="G568" s="659" t="s">
        <v>453</v>
      </c>
      <c r="H568" s="6">
        <f t="shared" ref="H568:Q568" si="104">SUM(H570:H573)</f>
        <v>338311.1</v>
      </c>
      <c r="I568" s="6">
        <f t="shared" si="104"/>
        <v>23511.642</v>
      </c>
      <c r="J568" s="6">
        <f t="shared" si="104"/>
        <v>50374.6</v>
      </c>
      <c r="K568" s="6">
        <f t="shared" si="104"/>
        <v>50374.6</v>
      </c>
      <c r="L568" s="6">
        <f t="shared" si="104"/>
        <v>214050.258</v>
      </c>
      <c r="M568" s="63" t="e">
        <f t="shared" si="104"/>
        <v>#REF!</v>
      </c>
      <c r="N568" s="63" t="e">
        <f t="shared" si="104"/>
        <v>#REF!</v>
      </c>
      <c r="O568" s="63" t="e">
        <f t="shared" si="104"/>
        <v>#REF!</v>
      </c>
      <c r="P568" s="63" t="e">
        <f t="shared" si="104"/>
        <v>#REF!</v>
      </c>
      <c r="Q568" s="63" t="e">
        <f t="shared" si="104"/>
        <v>#REF!</v>
      </c>
      <c r="R568" s="63">
        <f>R569+R570+R571</f>
        <v>1667376.6315789479</v>
      </c>
      <c r="S568" s="63">
        <f t="shared" ref="S568:X568" si="105">SUM(S569:S571)</f>
        <v>122846.81052631579</v>
      </c>
      <c r="T568" s="63">
        <f t="shared" si="105"/>
        <v>214640.98947368425</v>
      </c>
      <c r="U568" s="63">
        <f t="shared" si="105"/>
        <v>273250.69473684207</v>
      </c>
      <c r="V568" s="63">
        <f t="shared" si="105"/>
        <v>1056638.1368421053</v>
      </c>
      <c r="W568" s="63">
        <f t="shared" si="105"/>
        <v>2821819.4736842103</v>
      </c>
      <c r="X568" s="63">
        <f t="shared" si="105"/>
        <v>3165777.0526315789</v>
      </c>
      <c r="Y568" s="879"/>
      <c r="Z568" s="906"/>
    </row>
    <row r="569" spans="1:27" ht="25.9" customHeight="1">
      <c r="A569" s="899"/>
      <c r="B569" s="826" t="s">
        <v>10</v>
      </c>
      <c r="C569" s="659">
        <v>176</v>
      </c>
      <c r="D569" s="102" t="s">
        <v>487</v>
      </c>
      <c r="E569" s="102" t="s">
        <v>488</v>
      </c>
      <c r="F569" s="659">
        <v>6100470760</v>
      </c>
      <c r="G569" s="659" t="s">
        <v>453</v>
      </c>
      <c r="H569" s="6"/>
      <c r="I569" s="6"/>
      <c r="J569" s="6"/>
      <c r="K569" s="6"/>
      <c r="L569" s="6"/>
      <c r="M569" s="63"/>
      <c r="N569" s="63"/>
      <c r="O569" s="63"/>
      <c r="P569" s="63"/>
      <c r="Q569" s="63"/>
      <c r="R569" s="48">
        <f>R575+R577+R579+R581+R583+R585+R587+R589+R591+R593+R595+R597+R599+R601+R603+R605+R607+R609+R611+R613+R617+R619+R621+R623+R625+R627+R629+R631+R633+R636+R640+R644+R648+R652+R653+R615</f>
        <v>1584007.8000000005</v>
      </c>
      <c r="S569" s="48">
        <f t="shared" ref="S569:V569" si="106">S575+S577+S579+S581+S583+S585+S587+S589+S591+S593+S595+S597+S599+S601+S603+S605+S607+S609+S611+S613+S617+S619+S621+S623+S625+S627+S629+S631+S633+S636+S640+S644+S648+S652+S653+S615</f>
        <v>116704.47</v>
      </c>
      <c r="T569" s="48">
        <f t="shared" si="106"/>
        <v>203908.94000000003</v>
      </c>
      <c r="U569" s="48">
        <f t="shared" si="106"/>
        <v>259588.15999999995</v>
      </c>
      <c r="V569" s="48">
        <f t="shared" si="106"/>
        <v>1003806.23</v>
      </c>
      <c r="W569" s="48">
        <f>W575+W577+W579+W581+W583+W585+W587+W589+W591+W593+W595+W597+W599+W601+W603+W605+W607+W609+W611+W613+W617+W619+W621+W623+W625+W627+W629+W631+W633+W636+W640+W644+W648+W652+W653+W615</f>
        <v>2680728.5</v>
      </c>
      <c r="X569" s="48">
        <f>X575+X577+X579+X581+X583+X585+X587+X589+X591+X593+X595+X597+X599+X601+X603+X605+X607+X609+X611+X613+X617+X619+X621+X623+X625+X627+X629+X631+X633+X636+X640+X644+X648+X652+X653+X615</f>
        <v>3007488.1999999997</v>
      </c>
      <c r="Y569" s="879"/>
      <c r="Z569" s="906"/>
    </row>
    <row r="570" spans="1:27" ht="30.75" customHeight="1">
      <c r="A570" s="899"/>
      <c r="B570" s="826" t="s">
        <v>436</v>
      </c>
      <c r="C570" s="659">
        <v>176</v>
      </c>
      <c r="D570" s="102" t="s">
        <v>487</v>
      </c>
      <c r="E570" s="102" t="s">
        <v>488</v>
      </c>
      <c r="F570" s="659" t="s">
        <v>539</v>
      </c>
      <c r="G570" s="808" t="s">
        <v>453</v>
      </c>
      <c r="H570" s="6">
        <v>0</v>
      </c>
      <c r="I570" s="6">
        <v>0</v>
      </c>
      <c r="J570" s="6">
        <v>0</v>
      </c>
      <c r="K570" s="28">
        <v>0</v>
      </c>
      <c r="L570" s="28">
        <v>0</v>
      </c>
      <c r="M570" s="68"/>
      <c r="N570" s="68"/>
      <c r="O570" s="68"/>
      <c r="P570" s="68"/>
      <c r="Q570" s="68"/>
      <c r="R570" s="505">
        <f>R637+R641+R645+R649+R654</f>
        <v>0</v>
      </c>
      <c r="S570" s="505">
        <f t="shared" ref="S570:X570" si="107">S637+S641+S645+S649+S654</f>
        <v>0</v>
      </c>
      <c r="T570" s="505">
        <f t="shared" si="107"/>
        <v>0</v>
      </c>
      <c r="U570" s="505">
        <f t="shared" si="107"/>
        <v>0</v>
      </c>
      <c r="V570" s="505">
        <f t="shared" si="107"/>
        <v>0</v>
      </c>
      <c r="W570" s="505">
        <f t="shared" si="107"/>
        <v>0</v>
      </c>
      <c r="X570" s="505">
        <f t="shared" si="107"/>
        <v>0</v>
      </c>
      <c r="Y570" s="879"/>
      <c r="Z570" s="906"/>
    </row>
    <row r="571" spans="1:27" ht="28.5" customHeight="1">
      <c r="A571" s="899"/>
      <c r="B571" s="826" t="s">
        <v>11</v>
      </c>
      <c r="C571" s="659"/>
      <c r="D571" s="102"/>
      <c r="E571" s="102"/>
      <c r="F571" s="659"/>
      <c r="G571" s="659"/>
      <c r="H571" s="6">
        <v>338311.1</v>
      </c>
      <c r="I571" s="6">
        <f>8011.642+15500</f>
        <v>23511.642</v>
      </c>
      <c r="J571" s="6">
        <v>50374.6</v>
      </c>
      <c r="K571" s="6">
        <v>50374.6</v>
      </c>
      <c r="L571" s="6">
        <f>H571-I571-J571-K571</f>
        <v>214050.258</v>
      </c>
      <c r="M571" s="48" t="e">
        <f>#REF!/0.95*0.05</f>
        <v>#REF!</v>
      </c>
      <c r="N571" s="48" t="e">
        <f>#REF!/0.95*0.05</f>
        <v>#REF!</v>
      </c>
      <c r="O571" s="48" t="e">
        <f>#REF!/0.95*0.05</f>
        <v>#REF!</v>
      </c>
      <c r="P571" s="48" t="e">
        <f>#REF!/0.95*0.05</f>
        <v>#REF!</v>
      </c>
      <c r="Q571" s="48" t="e">
        <f>#REF!/0.95*0.05</f>
        <v>#REF!</v>
      </c>
      <c r="R571" s="48">
        <f>(R569+R570)/0.95*0.05</f>
        <v>83368.8315789474</v>
      </c>
      <c r="S571" s="48">
        <f t="shared" ref="S571:V571" si="108">(S569+S570)/0.95*0.05</f>
        <v>6142.3405263157902</v>
      </c>
      <c r="T571" s="48">
        <f t="shared" si="108"/>
        <v>10732.049473684214</v>
      </c>
      <c r="U571" s="48">
        <f t="shared" si="108"/>
        <v>13662.534736842104</v>
      </c>
      <c r="V571" s="48">
        <f t="shared" si="108"/>
        <v>52831.906842105265</v>
      </c>
      <c r="W571" s="48">
        <f>(W569/0.95*0.05)+(W570/0.95*0.05)</f>
        <v>141090.97368421053</v>
      </c>
      <c r="X571" s="48">
        <f>X569/0.95*0.05</f>
        <v>158288.85263157895</v>
      </c>
      <c r="Y571" s="879"/>
      <c r="Z571" s="906"/>
    </row>
    <row r="572" spans="1:27" ht="28.5" customHeight="1">
      <c r="A572" s="899"/>
      <c r="B572" s="826" t="s">
        <v>447</v>
      </c>
      <c r="C572" s="659"/>
      <c r="D572" s="102"/>
      <c r="E572" s="102"/>
      <c r="F572" s="659"/>
      <c r="G572" s="659"/>
      <c r="H572" s="6"/>
      <c r="I572" s="6"/>
      <c r="J572" s="6"/>
      <c r="K572" s="29"/>
      <c r="L572" s="29"/>
      <c r="M572" s="59"/>
      <c r="N572" s="59"/>
      <c r="O572" s="59"/>
      <c r="P572" s="59"/>
      <c r="Q572" s="59"/>
      <c r="R572" s="59"/>
      <c r="S572" s="59"/>
      <c r="T572" s="59"/>
      <c r="U572" s="59"/>
      <c r="V572" s="59"/>
      <c r="W572" s="59"/>
      <c r="X572" s="59"/>
      <c r="Y572" s="879"/>
      <c r="Z572" s="906"/>
    </row>
    <row r="573" spans="1:27" ht="23.25" customHeight="1">
      <c r="A573" s="905"/>
      <c r="B573" s="826" t="s">
        <v>1010</v>
      </c>
      <c r="C573" s="659"/>
      <c r="D573" s="102"/>
      <c r="E573" s="102"/>
      <c r="F573" s="659"/>
      <c r="G573" s="659"/>
      <c r="H573" s="6">
        <v>0</v>
      </c>
      <c r="I573" s="6">
        <v>0</v>
      </c>
      <c r="J573" s="6">
        <v>0</v>
      </c>
      <c r="K573" s="29">
        <v>0</v>
      </c>
      <c r="L573" s="29">
        <v>0</v>
      </c>
      <c r="M573" s="69" t="s">
        <v>245</v>
      </c>
      <c r="N573" s="69"/>
      <c r="O573" s="69"/>
      <c r="P573" s="69"/>
      <c r="Q573" s="69"/>
      <c r="R573" s="59"/>
      <c r="S573" s="59"/>
      <c r="T573" s="59"/>
      <c r="U573" s="59"/>
      <c r="V573" s="59"/>
      <c r="W573" s="59"/>
      <c r="X573" s="59"/>
      <c r="Y573" s="879"/>
      <c r="Z573" s="906"/>
    </row>
    <row r="574" spans="1:27" ht="20.45" customHeight="1">
      <c r="A574" s="15" t="s">
        <v>41</v>
      </c>
      <c r="B574" s="535"/>
      <c r="C574" s="808"/>
      <c r="D574" s="294"/>
      <c r="E574" s="294"/>
      <c r="F574" s="808"/>
      <c r="G574" s="808"/>
      <c r="H574" s="5"/>
      <c r="I574" s="5"/>
      <c r="J574" s="5"/>
      <c r="K574" s="5"/>
      <c r="L574" s="5"/>
      <c r="M574" s="65"/>
      <c r="N574" s="65"/>
      <c r="O574" s="65"/>
      <c r="P574" s="65"/>
      <c r="Q574" s="65"/>
      <c r="R574" s="60"/>
      <c r="S574" s="60"/>
      <c r="T574" s="60"/>
      <c r="U574" s="60"/>
      <c r="V574" s="60"/>
      <c r="W574" s="60"/>
      <c r="X574" s="60"/>
      <c r="Y574" s="879"/>
      <c r="Z574" s="906"/>
    </row>
    <row r="575" spans="1:27" ht="19.899999999999999" customHeight="1">
      <c r="A575" s="881" t="s">
        <v>42</v>
      </c>
      <c r="B575" s="535" t="s">
        <v>10</v>
      </c>
      <c r="C575" s="808">
        <v>176</v>
      </c>
      <c r="D575" s="294" t="s">
        <v>487</v>
      </c>
      <c r="E575" s="294" t="s">
        <v>488</v>
      </c>
      <c r="F575" s="808">
        <v>6100470760</v>
      </c>
      <c r="G575" s="808" t="s">
        <v>453</v>
      </c>
      <c r="H575" s="18">
        <v>24508</v>
      </c>
      <c r="I575" s="19">
        <v>7125.1819999999998</v>
      </c>
      <c r="J575" s="18">
        <f>7500-0.0002</f>
        <v>7499.9997999999996</v>
      </c>
      <c r="K575" s="18">
        <v>9869.5759999999991</v>
      </c>
      <c r="L575" s="18">
        <f>H575-I575-J575-K575</f>
        <v>13.242200000000594</v>
      </c>
      <c r="M575" s="70">
        <v>30742.400000000001</v>
      </c>
      <c r="N575" s="70">
        <v>2663.4</v>
      </c>
      <c r="O575" s="70"/>
      <c r="P575" s="70">
        <f t="shared" ref="P575:P593" si="109">AA575-O575-N575</f>
        <v>-2663.4</v>
      </c>
      <c r="Q575" s="70">
        <f>M575-N575-O575-P575</f>
        <v>30742.400000000001</v>
      </c>
      <c r="R575" s="276">
        <v>17056.5</v>
      </c>
      <c r="S575" s="276">
        <v>1472.61</v>
      </c>
      <c r="T575" s="276">
        <v>2945.22</v>
      </c>
      <c r="U575" s="276">
        <v>4417.829999999999</v>
      </c>
      <c r="V575" s="276">
        <f>R575-S575-T575-U575</f>
        <v>8220.84</v>
      </c>
      <c r="W575" s="40">
        <v>16916.099999999999</v>
      </c>
      <c r="X575" s="40">
        <v>15259.2</v>
      </c>
      <c r="Y575" s="879"/>
      <c r="Z575" s="906"/>
      <c r="AA575" s="280"/>
    </row>
    <row r="576" spans="1:27" ht="20.45" customHeight="1">
      <c r="A576" s="883"/>
      <c r="B576" s="535" t="s">
        <v>469</v>
      </c>
      <c r="C576" s="808"/>
      <c r="D576" s="294"/>
      <c r="E576" s="294"/>
      <c r="F576" s="808"/>
      <c r="G576" s="808"/>
      <c r="H576" s="18"/>
      <c r="I576" s="19"/>
      <c r="J576" s="18"/>
      <c r="K576" s="18"/>
      <c r="L576" s="18"/>
      <c r="M576" s="70"/>
      <c r="N576" s="70"/>
      <c r="O576" s="70"/>
      <c r="P576" s="70"/>
      <c r="Q576" s="70"/>
      <c r="R576" s="276">
        <f>R575/0.95*0.05</f>
        <v>897.71052631578959</v>
      </c>
      <c r="S576" s="276">
        <f t="shared" ref="S576:X576" si="110">S575/0.95*0.05</f>
        <v>77.505789473684217</v>
      </c>
      <c r="T576" s="276">
        <f t="shared" si="110"/>
        <v>155.01157894736843</v>
      </c>
      <c r="U576" s="276">
        <f t="shared" si="110"/>
        <v>232.51736842105262</v>
      </c>
      <c r="V576" s="276">
        <f t="shared" si="110"/>
        <v>432.67578947368423</v>
      </c>
      <c r="W576" s="276">
        <f t="shared" si="110"/>
        <v>890.32105263157882</v>
      </c>
      <c r="X576" s="276">
        <f t="shared" si="110"/>
        <v>803.11578947368434</v>
      </c>
      <c r="Y576" s="879"/>
      <c r="Z576" s="906"/>
      <c r="AA576" s="280"/>
    </row>
    <row r="577" spans="1:27" ht="22.15" customHeight="1">
      <c r="A577" s="881" t="s">
        <v>43</v>
      </c>
      <c r="B577" s="535" t="s">
        <v>10</v>
      </c>
      <c r="C577" s="808">
        <v>176</v>
      </c>
      <c r="D577" s="294" t="s">
        <v>487</v>
      </c>
      <c r="E577" s="294" t="s">
        <v>488</v>
      </c>
      <c r="F577" s="808">
        <v>6100470760</v>
      </c>
      <c r="G577" s="808" t="s">
        <v>453</v>
      </c>
      <c r="H577" s="18">
        <v>19723.599999999999</v>
      </c>
      <c r="I577" s="19">
        <v>5553.4560000000001</v>
      </c>
      <c r="J577" s="18">
        <v>0</v>
      </c>
      <c r="K577" s="18">
        <v>10696</v>
      </c>
      <c r="L577" s="18">
        <f t="shared" ref="L577:L651" si="111">H577-I577-J577-K577</f>
        <v>3474.1439999999984</v>
      </c>
      <c r="M577" s="70">
        <v>30826.2</v>
      </c>
      <c r="N577" s="70">
        <v>1290.51</v>
      </c>
      <c r="O577" s="70"/>
      <c r="P577" s="70">
        <f t="shared" si="109"/>
        <v>-1290.51</v>
      </c>
      <c r="Q577" s="70">
        <f t="shared" ref="Q577:Q651" si="112">M577-N577-O577-P577</f>
        <v>30826.2</v>
      </c>
      <c r="R577" s="276">
        <v>29331.200000000001</v>
      </c>
      <c r="S577" s="276">
        <v>2524.3200000000006</v>
      </c>
      <c r="T577" s="276">
        <v>5048.6400000000012</v>
      </c>
      <c r="U577" s="276">
        <v>7572.9600000000009</v>
      </c>
      <c r="V577" s="276">
        <f>R577-S577-T577-U577</f>
        <v>14185.279999999997</v>
      </c>
      <c r="W577" s="40">
        <v>29211</v>
      </c>
      <c r="X577" s="40">
        <v>22856.5</v>
      </c>
      <c r="Y577" s="879"/>
      <c r="Z577" s="906"/>
      <c r="AA577" s="280"/>
    </row>
    <row r="578" spans="1:27" ht="21.6" customHeight="1">
      <c r="A578" s="883"/>
      <c r="B578" s="535" t="s">
        <v>469</v>
      </c>
      <c r="C578" s="808"/>
      <c r="D578" s="294"/>
      <c r="E578" s="294"/>
      <c r="F578" s="808"/>
      <c r="G578" s="808"/>
      <c r="H578" s="18"/>
      <c r="I578" s="19"/>
      <c r="J578" s="18"/>
      <c r="K578" s="18"/>
      <c r="L578" s="18"/>
      <c r="M578" s="70"/>
      <c r="N578" s="70"/>
      <c r="O578" s="70"/>
      <c r="P578" s="70"/>
      <c r="Q578" s="70"/>
      <c r="R578" s="276">
        <f>R577/0.95*0.05</f>
        <v>1543.7473684210527</v>
      </c>
      <c r="S578" s="276">
        <f t="shared" ref="S578:X578" si="113">S577/0.95*0.05</f>
        <v>132.8589473684211</v>
      </c>
      <c r="T578" s="276">
        <f t="shared" si="113"/>
        <v>265.7178947368422</v>
      </c>
      <c r="U578" s="276">
        <f t="shared" si="113"/>
        <v>398.57684210526327</v>
      </c>
      <c r="V578" s="276">
        <f t="shared" si="113"/>
        <v>746.59368421052625</v>
      </c>
      <c r="W578" s="276">
        <f t="shared" si="113"/>
        <v>1537.4210526315792</v>
      </c>
      <c r="X578" s="276">
        <f t="shared" si="113"/>
        <v>1202.9736842105265</v>
      </c>
      <c r="Y578" s="879"/>
      <c r="Z578" s="906"/>
      <c r="AA578" s="280"/>
    </row>
    <row r="579" spans="1:27" ht="18.600000000000001" customHeight="1">
      <c r="A579" s="881" t="s">
        <v>44</v>
      </c>
      <c r="B579" s="535" t="s">
        <v>10</v>
      </c>
      <c r="C579" s="808">
        <v>176</v>
      </c>
      <c r="D579" s="294" t="s">
        <v>487</v>
      </c>
      <c r="E579" s="294" t="s">
        <v>488</v>
      </c>
      <c r="F579" s="808">
        <v>6100470760</v>
      </c>
      <c r="G579" s="808" t="s">
        <v>457</v>
      </c>
      <c r="H579" s="18">
        <v>27619.3</v>
      </c>
      <c r="I579" s="19">
        <f>3566.323+0.02281</f>
        <v>3566.3458099999998</v>
      </c>
      <c r="J579" s="18">
        <v>4989.1400000000003</v>
      </c>
      <c r="K579" s="18">
        <f>10382.2+0.03-0.02281</f>
        <v>10382.207190000001</v>
      </c>
      <c r="L579" s="18">
        <f t="shared" si="111"/>
        <v>8681.607</v>
      </c>
      <c r="M579" s="70">
        <f>33974.2+9072.7</f>
        <v>43046.899999999994</v>
      </c>
      <c r="N579" s="70">
        <v>824.77</v>
      </c>
      <c r="O579" s="70">
        <v>1473.9280000000001</v>
      </c>
      <c r="P579" s="70">
        <f t="shared" si="109"/>
        <v>-2298.6980000000003</v>
      </c>
      <c r="Q579" s="70">
        <f t="shared" si="112"/>
        <v>43046.899999999994</v>
      </c>
      <c r="R579" s="276">
        <v>55546.8</v>
      </c>
      <c r="S579" s="276">
        <v>3868.88</v>
      </c>
      <c r="T579" s="276">
        <v>7737.76</v>
      </c>
      <c r="U579" s="276">
        <v>11606.64</v>
      </c>
      <c r="V579" s="276">
        <f>R579-S579-T579-U579</f>
        <v>32333.520000000004</v>
      </c>
      <c r="W579" s="40">
        <v>55285.7</v>
      </c>
      <c r="X579" s="40">
        <v>44126.6</v>
      </c>
      <c r="Y579" s="879"/>
      <c r="Z579" s="906"/>
      <c r="AA579" s="280"/>
    </row>
    <row r="580" spans="1:27" ht="17.45" customHeight="1">
      <c r="A580" s="883"/>
      <c r="B580" s="535" t="s">
        <v>469</v>
      </c>
      <c r="C580" s="808"/>
      <c r="D580" s="294"/>
      <c r="E580" s="294"/>
      <c r="F580" s="808"/>
      <c r="G580" s="808"/>
      <c r="H580" s="18"/>
      <c r="I580" s="19"/>
      <c r="J580" s="18"/>
      <c r="K580" s="18"/>
      <c r="L580" s="18"/>
      <c r="M580" s="70"/>
      <c r="N580" s="70"/>
      <c r="O580" s="70"/>
      <c r="P580" s="70"/>
      <c r="Q580" s="70"/>
      <c r="R580" s="276">
        <f>R579/0.95*0.05</f>
        <v>2923.5157894736844</v>
      </c>
      <c r="S580" s="276">
        <f t="shared" ref="S580:X580" si="114">S579/0.95*0.05</f>
        <v>203.62526315789478</v>
      </c>
      <c r="T580" s="276">
        <f t="shared" si="114"/>
        <v>407.25052631578956</v>
      </c>
      <c r="U580" s="276">
        <f t="shared" si="114"/>
        <v>610.87578947368422</v>
      </c>
      <c r="V580" s="276">
        <f t="shared" si="114"/>
        <v>1701.764210526316</v>
      </c>
      <c r="W580" s="276">
        <f t="shared" si="114"/>
        <v>2909.7736842105264</v>
      </c>
      <c r="X580" s="276">
        <f t="shared" si="114"/>
        <v>2322.4526315789476</v>
      </c>
      <c r="Y580" s="879"/>
      <c r="Z580" s="906"/>
      <c r="AA580" s="280"/>
    </row>
    <row r="581" spans="1:27" ht="23.45" customHeight="1">
      <c r="A581" s="17" t="s">
        <v>45</v>
      </c>
      <c r="B581" s="535" t="s">
        <v>10</v>
      </c>
      <c r="C581" s="808">
        <v>176</v>
      </c>
      <c r="D581" s="294" t="s">
        <v>487</v>
      </c>
      <c r="E581" s="294" t="s">
        <v>488</v>
      </c>
      <c r="F581" s="808">
        <v>6100470760</v>
      </c>
      <c r="G581" s="808" t="s">
        <v>453</v>
      </c>
      <c r="H581" s="18">
        <f>30194.7</f>
        <v>30194.7</v>
      </c>
      <c r="I581" s="19">
        <v>4034.8229999999999</v>
      </c>
      <c r="J581" s="18">
        <f>5388.581-0.003</f>
        <v>5388.5780000000004</v>
      </c>
      <c r="K581" s="18">
        <v>16782.23</v>
      </c>
      <c r="L581" s="18">
        <f t="shared" si="111"/>
        <v>3989.0689999999995</v>
      </c>
      <c r="M581" s="70">
        <f>68408.3+2500</f>
        <v>70908.3</v>
      </c>
      <c r="N581" s="70">
        <v>8302.17</v>
      </c>
      <c r="O581" s="70">
        <v>5000</v>
      </c>
      <c r="P581" s="70">
        <f t="shared" si="109"/>
        <v>-13302.17</v>
      </c>
      <c r="Q581" s="70">
        <f t="shared" si="112"/>
        <v>70908.3</v>
      </c>
      <c r="R581" s="276">
        <v>21865.7</v>
      </c>
      <c r="S581" s="276">
        <v>1872.82</v>
      </c>
      <c r="T581" s="276">
        <v>3745.64</v>
      </c>
      <c r="U581" s="276">
        <v>5618.46</v>
      </c>
      <c r="V581" s="276">
        <f>R581-S581-T581-U581</f>
        <v>10628.780000000002</v>
      </c>
      <c r="W581" s="40">
        <v>21795.9</v>
      </c>
      <c r="X581" s="40">
        <v>19514.3</v>
      </c>
      <c r="Y581" s="879"/>
      <c r="Z581" s="906"/>
      <c r="AA581" s="280"/>
    </row>
    <row r="582" spans="1:27" ht="23.45" customHeight="1">
      <c r="A582" s="17"/>
      <c r="B582" s="535" t="s">
        <v>469</v>
      </c>
      <c r="C582" s="808"/>
      <c r="D582" s="294"/>
      <c r="E582" s="294"/>
      <c r="F582" s="808"/>
      <c r="G582" s="808"/>
      <c r="H582" s="18"/>
      <c r="I582" s="19"/>
      <c r="J582" s="18"/>
      <c r="K582" s="18"/>
      <c r="L582" s="18"/>
      <c r="M582" s="70"/>
      <c r="N582" s="70"/>
      <c r="O582" s="70"/>
      <c r="P582" s="70"/>
      <c r="Q582" s="70"/>
      <c r="R582" s="276">
        <f>R581/0.95*0.05</f>
        <v>1150.8263157894739</v>
      </c>
      <c r="S582" s="276">
        <f t="shared" ref="S582:X582" si="115">S581/0.95*0.05</f>
        <v>98.569473684210536</v>
      </c>
      <c r="T582" s="276">
        <f t="shared" si="115"/>
        <v>197.13894736842107</v>
      </c>
      <c r="U582" s="276">
        <f t="shared" si="115"/>
        <v>295.70842105263159</v>
      </c>
      <c r="V582" s="276">
        <f t="shared" si="115"/>
        <v>559.40947368421064</v>
      </c>
      <c r="W582" s="276">
        <f t="shared" si="115"/>
        <v>1147.1526315789476</v>
      </c>
      <c r="X582" s="276">
        <f t="shared" si="115"/>
        <v>1027.0684210526317</v>
      </c>
      <c r="Y582" s="879"/>
      <c r="Z582" s="906"/>
      <c r="AA582" s="280"/>
    </row>
    <row r="583" spans="1:27" ht="16.899999999999999" customHeight="1">
      <c r="A583" s="881" t="s">
        <v>46</v>
      </c>
      <c r="B583" s="535" t="s">
        <v>10</v>
      </c>
      <c r="C583" s="808">
        <v>176</v>
      </c>
      <c r="D583" s="294" t="s">
        <v>487</v>
      </c>
      <c r="E583" s="294" t="s">
        <v>488</v>
      </c>
      <c r="F583" s="808">
        <v>6100470760</v>
      </c>
      <c r="G583" s="808" t="s">
        <v>453</v>
      </c>
      <c r="H583" s="18">
        <v>28039.8</v>
      </c>
      <c r="I583" s="19">
        <v>0</v>
      </c>
      <c r="J583" s="18">
        <f>949.384-0.004</f>
        <v>949.38</v>
      </c>
      <c r="K583" s="18">
        <v>13872.55</v>
      </c>
      <c r="L583" s="18">
        <f t="shared" si="111"/>
        <v>13217.869999999999</v>
      </c>
      <c r="M583" s="70">
        <v>34306.6</v>
      </c>
      <c r="N583" s="70"/>
      <c r="O583" s="70"/>
      <c r="P583" s="70">
        <f t="shared" si="109"/>
        <v>0</v>
      </c>
      <c r="Q583" s="70">
        <f t="shared" si="112"/>
        <v>34306.6</v>
      </c>
      <c r="R583" s="276">
        <v>30310.799999999999</v>
      </c>
      <c r="S583" s="276">
        <v>2306.2999999999997</v>
      </c>
      <c r="T583" s="276">
        <v>4612.5999999999995</v>
      </c>
      <c r="U583" s="276">
        <v>6918.8999999999987</v>
      </c>
      <c r="V583" s="276">
        <f>R583-S583-T583-U583</f>
        <v>16473.000000000004</v>
      </c>
      <c r="W583" s="40">
        <v>30167.599999999999</v>
      </c>
      <c r="X583" s="40">
        <v>25324.3</v>
      </c>
      <c r="Y583" s="879"/>
      <c r="Z583" s="906"/>
      <c r="AA583" s="280"/>
    </row>
    <row r="584" spans="1:27" ht="24.6" customHeight="1">
      <c r="A584" s="883"/>
      <c r="B584" s="535" t="s">
        <v>469</v>
      </c>
      <c r="C584" s="808"/>
      <c r="D584" s="294"/>
      <c r="E584" s="294"/>
      <c r="F584" s="808"/>
      <c r="G584" s="808"/>
      <c r="H584" s="18"/>
      <c r="I584" s="19"/>
      <c r="J584" s="18"/>
      <c r="K584" s="18"/>
      <c r="L584" s="18"/>
      <c r="M584" s="70"/>
      <c r="N584" s="70"/>
      <c r="O584" s="70"/>
      <c r="P584" s="70"/>
      <c r="Q584" s="70"/>
      <c r="R584" s="276">
        <f>R583/0.95*0.05</f>
        <v>1595.3052631578948</v>
      </c>
      <c r="S584" s="276">
        <f t="shared" ref="S584:X584" si="116">S583/0.95*0.05</f>
        <v>121.3842105263158</v>
      </c>
      <c r="T584" s="276">
        <f t="shared" si="116"/>
        <v>242.7684210526316</v>
      </c>
      <c r="U584" s="276">
        <f t="shared" si="116"/>
        <v>364.15263157894736</v>
      </c>
      <c r="V584" s="276">
        <f t="shared" si="116"/>
        <v>867.00000000000023</v>
      </c>
      <c r="W584" s="276">
        <f t="shared" si="116"/>
        <v>1587.7684210526315</v>
      </c>
      <c r="X584" s="276">
        <f t="shared" si="116"/>
        <v>1332.8578947368424</v>
      </c>
      <c r="Y584" s="879"/>
      <c r="Z584" s="906"/>
      <c r="AA584" s="280"/>
    </row>
    <row r="585" spans="1:27" ht="22.15" customHeight="1">
      <c r="A585" s="881" t="s">
        <v>47</v>
      </c>
      <c r="B585" s="535" t="s">
        <v>10</v>
      </c>
      <c r="C585" s="808">
        <v>176</v>
      </c>
      <c r="D585" s="294" t="s">
        <v>487</v>
      </c>
      <c r="E585" s="294" t="s">
        <v>488</v>
      </c>
      <c r="F585" s="808">
        <v>6100470760</v>
      </c>
      <c r="G585" s="808" t="s">
        <v>453</v>
      </c>
      <c r="H585" s="18">
        <v>20913.7</v>
      </c>
      <c r="I585" s="19">
        <v>59.9</v>
      </c>
      <c r="J585" s="18">
        <v>8559.0319999999992</v>
      </c>
      <c r="K585" s="18">
        <v>8112.0680000000002</v>
      </c>
      <c r="L585" s="18">
        <f t="shared" si="111"/>
        <v>4182.7</v>
      </c>
      <c r="M585" s="70">
        <v>27115.100000000002</v>
      </c>
      <c r="N585" s="70">
        <v>328.27</v>
      </c>
      <c r="O585" s="70">
        <v>3181.33</v>
      </c>
      <c r="P585" s="70">
        <f t="shared" si="109"/>
        <v>-3509.6</v>
      </c>
      <c r="Q585" s="70">
        <f t="shared" si="112"/>
        <v>27115.1</v>
      </c>
      <c r="R585" s="276">
        <v>22527.4</v>
      </c>
      <c r="S585" s="276">
        <v>1750.7100000000003</v>
      </c>
      <c r="T585" s="276">
        <v>3501.4200000000005</v>
      </c>
      <c r="U585" s="276">
        <v>5252.130000000001</v>
      </c>
      <c r="V585" s="276">
        <f>R585-S585-T585-U585</f>
        <v>12023.14</v>
      </c>
      <c r="W585" s="40">
        <v>22455.9</v>
      </c>
      <c r="X585" s="40">
        <v>19797</v>
      </c>
      <c r="Y585" s="879"/>
      <c r="Z585" s="906"/>
      <c r="AA585" s="280"/>
    </row>
    <row r="586" spans="1:27" ht="23.45" customHeight="1">
      <c r="A586" s="883"/>
      <c r="B586" s="535" t="s">
        <v>469</v>
      </c>
      <c r="C586" s="808"/>
      <c r="D586" s="294"/>
      <c r="E586" s="294"/>
      <c r="F586" s="808"/>
      <c r="G586" s="808"/>
      <c r="H586" s="18"/>
      <c r="I586" s="19"/>
      <c r="J586" s="18"/>
      <c r="K586" s="18"/>
      <c r="L586" s="18"/>
      <c r="M586" s="70"/>
      <c r="N586" s="70"/>
      <c r="O586" s="70"/>
      <c r="P586" s="70"/>
      <c r="Q586" s="70"/>
      <c r="R586" s="276">
        <f>R585/0.95*0.05</f>
        <v>1185.6526315789476</v>
      </c>
      <c r="S586" s="276">
        <f t="shared" ref="S586:X586" si="117">S585/0.95*0.05</f>
        <v>92.142631578947388</v>
      </c>
      <c r="T586" s="276">
        <f t="shared" si="117"/>
        <v>184.28526315789478</v>
      </c>
      <c r="U586" s="276">
        <f t="shared" si="117"/>
        <v>276.42789473684218</v>
      </c>
      <c r="V586" s="276">
        <f t="shared" si="117"/>
        <v>632.79684210526318</v>
      </c>
      <c r="W586" s="276">
        <f t="shared" si="117"/>
        <v>1181.8894736842108</v>
      </c>
      <c r="X586" s="276">
        <f t="shared" si="117"/>
        <v>1041.9473684210527</v>
      </c>
      <c r="Y586" s="879"/>
      <c r="Z586" s="906"/>
      <c r="AA586" s="280"/>
    </row>
    <row r="587" spans="1:27" ht="21.6" customHeight="1">
      <c r="A587" s="881" t="s">
        <v>48</v>
      </c>
      <c r="B587" s="535" t="s">
        <v>10</v>
      </c>
      <c r="C587" s="808">
        <v>176</v>
      </c>
      <c r="D587" s="294" t="s">
        <v>487</v>
      </c>
      <c r="E587" s="294" t="s">
        <v>488</v>
      </c>
      <c r="F587" s="808">
        <v>6100470760</v>
      </c>
      <c r="G587" s="808" t="s">
        <v>453</v>
      </c>
      <c r="H587" s="18">
        <v>32946.400000000001</v>
      </c>
      <c r="I587" s="19">
        <v>0</v>
      </c>
      <c r="J587" s="18">
        <v>0</v>
      </c>
      <c r="K587" s="18">
        <v>26000</v>
      </c>
      <c r="L587" s="18">
        <f t="shared" si="111"/>
        <v>6946.4000000000015</v>
      </c>
      <c r="M587" s="70">
        <v>39258.699999999997</v>
      </c>
      <c r="N587" s="70"/>
      <c r="O587" s="70"/>
      <c r="P587" s="70">
        <f t="shared" si="109"/>
        <v>0</v>
      </c>
      <c r="Q587" s="70">
        <f t="shared" si="112"/>
        <v>39258.699999999997</v>
      </c>
      <c r="R587" s="276">
        <v>106328.2</v>
      </c>
      <c r="S587" s="276">
        <v>4517.83</v>
      </c>
      <c r="T587" s="276">
        <v>9035.66</v>
      </c>
      <c r="U587" s="276">
        <v>13553.49</v>
      </c>
      <c r="V587" s="276">
        <f>R587-S587-T587-U587</f>
        <v>79221.219999999987</v>
      </c>
      <c r="W587" s="40">
        <v>41445.199999999997</v>
      </c>
      <c r="X587" s="40">
        <v>26318.1</v>
      </c>
      <c r="Y587" s="879"/>
      <c r="Z587" s="906"/>
      <c r="AA587" s="280"/>
    </row>
    <row r="588" spans="1:27" ht="22.15" customHeight="1">
      <c r="A588" s="883"/>
      <c r="B588" s="535" t="s">
        <v>469</v>
      </c>
      <c r="C588" s="808"/>
      <c r="D588" s="294"/>
      <c r="E588" s="294"/>
      <c r="F588" s="808"/>
      <c r="G588" s="808"/>
      <c r="H588" s="18"/>
      <c r="I588" s="19"/>
      <c r="J588" s="18"/>
      <c r="K588" s="18"/>
      <c r="L588" s="18"/>
      <c r="M588" s="70"/>
      <c r="N588" s="70"/>
      <c r="O588" s="70"/>
      <c r="P588" s="70"/>
      <c r="Q588" s="70"/>
      <c r="R588" s="276">
        <f>R587/0.95*0.05</f>
        <v>5596.2210526315794</v>
      </c>
      <c r="S588" s="276">
        <f t="shared" ref="S588:X588" si="118">S587/0.95*0.05</f>
        <v>237.7805263157895</v>
      </c>
      <c r="T588" s="276">
        <f t="shared" si="118"/>
        <v>475.561052631579</v>
      </c>
      <c r="U588" s="276">
        <f t="shared" si="118"/>
        <v>713.34157894736848</v>
      </c>
      <c r="V588" s="276">
        <f t="shared" si="118"/>
        <v>4169.5378947368417</v>
      </c>
      <c r="W588" s="276">
        <f t="shared" si="118"/>
        <v>2181.3263157894739</v>
      </c>
      <c r="X588" s="276">
        <f t="shared" si="118"/>
        <v>1385.163157894737</v>
      </c>
      <c r="Y588" s="879"/>
      <c r="Z588" s="906"/>
      <c r="AA588" s="280"/>
    </row>
    <row r="589" spans="1:27" ht="19.899999999999999" customHeight="1">
      <c r="A589" s="881" t="s">
        <v>49</v>
      </c>
      <c r="B589" s="535" t="s">
        <v>10</v>
      </c>
      <c r="C589" s="808">
        <v>176</v>
      </c>
      <c r="D589" s="294" t="s">
        <v>487</v>
      </c>
      <c r="E589" s="294" t="s">
        <v>488</v>
      </c>
      <c r="F589" s="808">
        <v>6100470760</v>
      </c>
      <c r="G589" s="808" t="s">
        <v>453</v>
      </c>
      <c r="H589" s="18">
        <f>21639.8</f>
        <v>21639.8</v>
      </c>
      <c r="I589" s="19">
        <v>21639.8</v>
      </c>
      <c r="J589" s="18">
        <v>0</v>
      </c>
      <c r="K589" s="18">
        <v>0</v>
      </c>
      <c r="L589" s="18">
        <f t="shared" si="111"/>
        <v>0</v>
      </c>
      <c r="M589" s="70">
        <f>28963+2000</f>
        <v>30963</v>
      </c>
      <c r="N589" s="70">
        <v>2230.1999999999998</v>
      </c>
      <c r="O589" s="70"/>
      <c r="P589" s="70">
        <f t="shared" si="109"/>
        <v>-2230.1999999999998</v>
      </c>
      <c r="Q589" s="70">
        <f t="shared" si="112"/>
        <v>30963</v>
      </c>
      <c r="R589" s="276">
        <v>40148.1</v>
      </c>
      <c r="S589" s="276">
        <v>2729.56</v>
      </c>
      <c r="T589" s="276">
        <v>5459.12</v>
      </c>
      <c r="U589" s="276">
        <v>8188.6800000000012</v>
      </c>
      <c r="V589" s="276">
        <f>R589-S589-T589-U589</f>
        <v>23770.74</v>
      </c>
      <c r="W589" s="40">
        <v>34884.199999999997</v>
      </c>
      <c r="X589" s="40">
        <v>27036.5</v>
      </c>
      <c r="Y589" s="879"/>
      <c r="Z589" s="906"/>
      <c r="AA589" s="280"/>
    </row>
    <row r="590" spans="1:27" ht="21.6" customHeight="1">
      <c r="A590" s="883"/>
      <c r="B590" s="535" t="s">
        <v>469</v>
      </c>
      <c r="C590" s="808"/>
      <c r="D590" s="294"/>
      <c r="E590" s="294"/>
      <c r="F590" s="808"/>
      <c r="G590" s="808"/>
      <c r="H590" s="18"/>
      <c r="I590" s="19"/>
      <c r="J590" s="18"/>
      <c r="K590" s="18"/>
      <c r="L590" s="18"/>
      <c r="M590" s="70"/>
      <c r="N590" s="70"/>
      <c r="O590" s="70"/>
      <c r="P590" s="70"/>
      <c r="Q590" s="70"/>
      <c r="R590" s="276">
        <f>R589/0.95*0.05</f>
        <v>2113.0578947368422</v>
      </c>
      <c r="S590" s="276">
        <f t="shared" ref="S590:X590" si="119">S589/0.95*0.05</f>
        <v>143.66105263157894</v>
      </c>
      <c r="T590" s="276">
        <f t="shared" si="119"/>
        <v>287.32210526315788</v>
      </c>
      <c r="U590" s="276">
        <f t="shared" si="119"/>
        <v>430.98315789473691</v>
      </c>
      <c r="V590" s="276">
        <f t="shared" si="119"/>
        <v>1251.0915789473686</v>
      </c>
      <c r="W590" s="276">
        <f t="shared" si="119"/>
        <v>1836.0105263157893</v>
      </c>
      <c r="X590" s="276">
        <f t="shared" si="119"/>
        <v>1422.9736842105265</v>
      </c>
      <c r="Y590" s="879"/>
      <c r="Z590" s="906"/>
      <c r="AA590" s="280"/>
    </row>
    <row r="591" spans="1:27" ht="21.6" customHeight="1">
      <c r="A591" s="881" t="s">
        <v>50</v>
      </c>
      <c r="B591" s="535" t="s">
        <v>10</v>
      </c>
      <c r="C591" s="808">
        <v>176</v>
      </c>
      <c r="D591" s="294" t="s">
        <v>487</v>
      </c>
      <c r="E591" s="294" t="s">
        <v>488</v>
      </c>
      <c r="F591" s="808">
        <v>6100470760</v>
      </c>
      <c r="G591" s="808" t="s">
        <v>453</v>
      </c>
      <c r="H591" s="18">
        <v>22060.3</v>
      </c>
      <c r="I591" s="19">
        <v>47.16</v>
      </c>
      <c r="J591" s="18">
        <v>2430.5</v>
      </c>
      <c r="K591" s="18">
        <v>14476.28</v>
      </c>
      <c r="L591" s="18">
        <f t="shared" si="111"/>
        <v>5106.3599999999988</v>
      </c>
      <c r="M591" s="70">
        <v>28181</v>
      </c>
      <c r="N591" s="70">
        <v>156.4</v>
      </c>
      <c r="O591" s="70">
        <v>11116</v>
      </c>
      <c r="P591" s="70">
        <f t="shared" si="109"/>
        <v>-11272.4</v>
      </c>
      <c r="Q591" s="70">
        <f t="shared" si="112"/>
        <v>28181</v>
      </c>
      <c r="R591" s="276">
        <v>22128.400000000001</v>
      </c>
      <c r="S591" s="276">
        <v>1785.87</v>
      </c>
      <c r="T591" s="276">
        <v>3571.74</v>
      </c>
      <c r="U591" s="276">
        <v>5357.61</v>
      </c>
      <c r="V591" s="276">
        <f>R591-S591-T591-U591</f>
        <v>11413.18</v>
      </c>
      <c r="W591" s="40">
        <v>22024.7</v>
      </c>
      <c r="X591" s="40">
        <v>19020.8</v>
      </c>
      <c r="Y591" s="879"/>
      <c r="Z591" s="906"/>
      <c r="AA591" s="280"/>
    </row>
    <row r="592" spans="1:27" ht="19.149999999999999" customHeight="1">
      <c r="A592" s="883"/>
      <c r="B592" s="535" t="s">
        <v>469</v>
      </c>
      <c r="C592" s="808"/>
      <c r="D592" s="294"/>
      <c r="E592" s="294"/>
      <c r="F592" s="808"/>
      <c r="G592" s="808"/>
      <c r="H592" s="18"/>
      <c r="I592" s="19"/>
      <c r="J592" s="18"/>
      <c r="K592" s="18"/>
      <c r="L592" s="18"/>
      <c r="M592" s="70"/>
      <c r="N592" s="70"/>
      <c r="O592" s="70"/>
      <c r="P592" s="70"/>
      <c r="Q592" s="70"/>
      <c r="R592" s="276">
        <f>R591/0.95*0.05</f>
        <v>1164.6526315789476</v>
      </c>
      <c r="S592" s="276">
        <f t="shared" ref="S592:X592" si="120">S591/0.95*0.05</f>
        <v>93.993157894736839</v>
      </c>
      <c r="T592" s="276">
        <f t="shared" si="120"/>
        <v>187.98631578947368</v>
      </c>
      <c r="U592" s="276">
        <f t="shared" si="120"/>
        <v>281.97947368421052</v>
      </c>
      <c r="V592" s="276">
        <f t="shared" si="120"/>
        <v>600.69368421052638</v>
      </c>
      <c r="W592" s="276">
        <f t="shared" si="120"/>
        <v>1159.1947368421054</v>
      </c>
      <c r="X592" s="276">
        <f t="shared" si="120"/>
        <v>1001.0947368421054</v>
      </c>
      <c r="Y592" s="879"/>
      <c r="Z592" s="906"/>
      <c r="AA592" s="280"/>
    </row>
    <row r="593" spans="1:27" ht="18.600000000000001" customHeight="1">
      <c r="A593" s="881" t="s">
        <v>51</v>
      </c>
      <c r="B593" s="535" t="s">
        <v>10</v>
      </c>
      <c r="C593" s="808">
        <v>176</v>
      </c>
      <c r="D593" s="294" t="s">
        <v>487</v>
      </c>
      <c r="E593" s="294" t="s">
        <v>488</v>
      </c>
      <c r="F593" s="808">
        <v>6100470760</v>
      </c>
      <c r="G593" s="808" t="s">
        <v>457</v>
      </c>
      <c r="H593" s="18">
        <f>24859.7</f>
        <v>24859.7</v>
      </c>
      <c r="I593" s="19">
        <v>0</v>
      </c>
      <c r="J593" s="18">
        <v>18165.41</v>
      </c>
      <c r="K593" s="18">
        <v>1722.39</v>
      </c>
      <c r="L593" s="18">
        <f t="shared" si="111"/>
        <v>4971.9000000000005</v>
      </c>
      <c r="M593" s="70">
        <f>35597.3+2500</f>
        <v>38097.300000000003</v>
      </c>
      <c r="N593" s="70">
        <v>12279.986000000001</v>
      </c>
      <c r="O593" s="70">
        <v>464.46300000000002</v>
      </c>
      <c r="P593" s="70">
        <f t="shared" si="109"/>
        <v>-12744.449000000001</v>
      </c>
      <c r="Q593" s="70">
        <f t="shared" si="112"/>
        <v>38097.300000000003</v>
      </c>
      <c r="R593" s="276">
        <v>73405.600000000006</v>
      </c>
      <c r="S593" s="276">
        <v>3212.27</v>
      </c>
      <c r="T593" s="276">
        <v>6424.54</v>
      </c>
      <c r="U593" s="276">
        <v>9636.81</v>
      </c>
      <c r="V593" s="276">
        <f>R593-S593-T593-U593</f>
        <v>54131.98</v>
      </c>
      <c r="W593" s="40">
        <v>42987</v>
      </c>
      <c r="X593" s="40">
        <v>28113.9</v>
      </c>
      <c r="Y593" s="879"/>
      <c r="Z593" s="906"/>
      <c r="AA593" s="280"/>
    </row>
    <row r="594" spans="1:27" ht="22.15" customHeight="1">
      <c r="A594" s="883"/>
      <c r="B594" s="535" t="s">
        <v>469</v>
      </c>
      <c r="C594" s="808"/>
      <c r="D594" s="294"/>
      <c r="E594" s="294"/>
      <c r="F594" s="808"/>
      <c r="G594" s="808"/>
      <c r="H594" s="18"/>
      <c r="I594" s="19"/>
      <c r="J594" s="18"/>
      <c r="K594" s="18"/>
      <c r="L594" s="18"/>
      <c r="M594" s="70"/>
      <c r="N594" s="70"/>
      <c r="O594" s="70"/>
      <c r="P594" s="70"/>
      <c r="Q594" s="70"/>
      <c r="R594" s="276">
        <f>R593/0.95*0.05</f>
        <v>3863.4526315789481</v>
      </c>
      <c r="S594" s="276">
        <f t="shared" ref="S594:X594" si="121">S593/0.95*0.05</f>
        <v>169.06684210526316</v>
      </c>
      <c r="T594" s="276">
        <f t="shared" si="121"/>
        <v>338.13368421052633</v>
      </c>
      <c r="U594" s="276">
        <f t="shared" si="121"/>
        <v>507.20052631578949</v>
      </c>
      <c r="V594" s="276">
        <f t="shared" si="121"/>
        <v>2849.0515789473689</v>
      </c>
      <c r="W594" s="276">
        <f t="shared" si="121"/>
        <v>2262.4736842105262</v>
      </c>
      <c r="X594" s="276">
        <f t="shared" si="121"/>
        <v>1479.6789473684212</v>
      </c>
      <c r="Y594" s="879"/>
      <c r="Z594" s="906"/>
      <c r="AA594" s="280"/>
    </row>
    <row r="595" spans="1:27" ht="22.15" customHeight="1">
      <c r="A595" s="881" t="s">
        <v>52</v>
      </c>
      <c r="B595" s="535" t="s">
        <v>10</v>
      </c>
      <c r="C595" s="808">
        <v>176</v>
      </c>
      <c r="D595" s="294" t="s">
        <v>487</v>
      </c>
      <c r="E595" s="294" t="s">
        <v>488</v>
      </c>
      <c r="F595" s="808">
        <v>6100470760</v>
      </c>
      <c r="G595" s="808" t="s">
        <v>453</v>
      </c>
      <c r="H595" s="18"/>
      <c r="I595" s="19"/>
      <c r="J595" s="18"/>
      <c r="K595" s="18"/>
      <c r="L595" s="18"/>
      <c r="M595" s="70"/>
      <c r="N595" s="70"/>
      <c r="O595" s="70"/>
      <c r="P595" s="70"/>
      <c r="Q595" s="70"/>
      <c r="R595" s="276">
        <v>47092.3</v>
      </c>
      <c r="S595" s="276">
        <v>3352.92</v>
      </c>
      <c r="T595" s="276">
        <v>6705.84</v>
      </c>
      <c r="U595" s="276">
        <v>10058.759999999998</v>
      </c>
      <c r="V595" s="276">
        <f>R595-S595-T595-U595</f>
        <v>26974.78000000001</v>
      </c>
      <c r="W595" s="40">
        <v>43653.7</v>
      </c>
      <c r="X595" s="40">
        <v>29812.6</v>
      </c>
      <c r="Y595" s="879"/>
      <c r="Z595" s="906"/>
      <c r="AA595" s="280"/>
    </row>
    <row r="596" spans="1:27" ht="21" customHeight="1">
      <c r="A596" s="883"/>
      <c r="B596" s="535" t="s">
        <v>469</v>
      </c>
      <c r="C596" s="808"/>
      <c r="D596" s="294"/>
      <c r="E596" s="294"/>
      <c r="F596" s="808"/>
      <c r="G596" s="808"/>
      <c r="H596" s="18"/>
      <c r="I596" s="19"/>
      <c r="J596" s="18"/>
      <c r="K596" s="18"/>
      <c r="L596" s="18"/>
      <c r="M596" s="70"/>
      <c r="N596" s="70"/>
      <c r="O596" s="70"/>
      <c r="P596" s="70"/>
      <c r="Q596" s="70"/>
      <c r="R596" s="276">
        <f>R595/0.95*0.05</f>
        <v>2478.5421052631582</v>
      </c>
      <c r="S596" s="276">
        <f t="shared" ref="S596:X596" si="122">S595/0.95*0.05</f>
        <v>176.46947368421056</v>
      </c>
      <c r="T596" s="276">
        <f t="shared" si="122"/>
        <v>352.93894736842111</v>
      </c>
      <c r="U596" s="276">
        <f t="shared" si="122"/>
        <v>529.40842105263152</v>
      </c>
      <c r="V596" s="276">
        <f t="shared" si="122"/>
        <v>1419.7252631578954</v>
      </c>
      <c r="W596" s="276">
        <f t="shared" si="122"/>
        <v>2297.5631578947368</v>
      </c>
      <c r="X596" s="276">
        <f t="shared" si="122"/>
        <v>1569.0842105263159</v>
      </c>
      <c r="Y596" s="879"/>
      <c r="Z596" s="906"/>
      <c r="AA596" s="280"/>
    </row>
    <row r="597" spans="1:27" ht="18" customHeight="1">
      <c r="A597" s="881" t="s">
        <v>53</v>
      </c>
      <c r="B597" s="535" t="s">
        <v>10</v>
      </c>
      <c r="C597" s="808">
        <v>176</v>
      </c>
      <c r="D597" s="294" t="s">
        <v>487</v>
      </c>
      <c r="E597" s="294" t="s">
        <v>488</v>
      </c>
      <c r="F597" s="808">
        <v>6100470760</v>
      </c>
      <c r="G597" s="808" t="s">
        <v>457</v>
      </c>
      <c r="H597" s="18">
        <f>30287.4</f>
        <v>30287.4</v>
      </c>
      <c r="I597" s="19">
        <v>15039.482</v>
      </c>
      <c r="J597" s="18">
        <v>4831.6940000000004</v>
      </c>
      <c r="K597" s="18">
        <v>7844.8710000000001</v>
      </c>
      <c r="L597" s="18">
        <f t="shared" si="111"/>
        <v>2571.3530000000019</v>
      </c>
      <c r="M597" s="70">
        <f>22044.5+3852.8</f>
        <v>25897.3</v>
      </c>
      <c r="N597" s="70">
        <v>9294.5849999999991</v>
      </c>
      <c r="O597" s="70">
        <v>87.68</v>
      </c>
      <c r="P597" s="70">
        <f t="shared" ref="P597:P615" si="123">AA597-O597-N597</f>
        <v>-9382.2649999999994</v>
      </c>
      <c r="Q597" s="70">
        <f t="shared" si="112"/>
        <v>25897.3</v>
      </c>
      <c r="R597" s="276">
        <v>71798.8</v>
      </c>
      <c r="S597" s="276">
        <v>1777.86</v>
      </c>
      <c r="T597" s="276">
        <v>3555.72</v>
      </c>
      <c r="U597" s="276">
        <v>5333.58</v>
      </c>
      <c r="V597" s="276">
        <f>R597-S597-T597-U597</f>
        <v>61131.64</v>
      </c>
      <c r="W597" s="40">
        <v>71707.100000000006</v>
      </c>
      <c r="X597" s="40">
        <v>19511.2</v>
      </c>
      <c r="Y597" s="879"/>
      <c r="Z597" s="906"/>
      <c r="AA597" s="280"/>
    </row>
    <row r="598" spans="1:27" ht="18" customHeight="1">
      <c r="A598" s="883"/>
      <c r="B598" s="535" t="s">
        <v>469</v>
      </c>
      <c r="C598" s="808"/>
      <c r="D598" s="294"/>
      <c r="E598" s="294"/>
      <c r="F598" s="808"/>
      <c r="G598" s="808"/>
      <c r="H598" s="18"/>
      <c r="I598" s="19"/>
      <c r="J598" s="18"/>
      <c r="K598" s="18"/>
      <c r="L598" s="18"/>
      <c r="M598" s="70"/>
      <c r="N598" s="70"/>
      <c r="O598" s="70"/>
      <c r="P598" s="70"/>
      <c r="Q598" s="70"/>
      <c r="R598" s="276">
        <f>R597/0.95*0.05</f>
        <v>3778.8842105263161</v>
      </c>
      <c r="S598" s="276">
        <f t="shared" ref="S598:X598" si="124">S597/0.95*0.05</f>
        <v>93.571578947368437</v>
      </c>
      <c r="T598" s="276">
        <f t="shared" si="124"/>
        <v>187.14315789473687</v>
      </c>
      <c r="U598" s="276">
        <f t="shared" si="124"/>
        <v>280.71473684210531</v>
      </c>
      <c r="V598" s="276">
        <f t="shared" si="124"/>
        <v>3217.4547368421058</v>
      </c>
      <c r="W598" s="276">
        <f t="shared" si="124"/>
        <v>3774.0578947368431</v>
      </c>
      <c r="X598" s="276">
        <f t="shared" si="124"/>
        <v>1026.905263157895</v>
      </c>
      <c r="Y598" s="879"/>
      <c r="Z598" s="906"/>
      <c r="AA598" s="280"/>
    </row>
    <row r="599" spans="1:27" ht="18.600000000000001" customHeight="1">
      <c r="A599" s="881" t="s">
        <v>54</v>
      </c>
      <c r="B599" s="535" t="s">
        <v>10</v>
      </c>
      <c r="C599" s="808">
        <v>176</v>
      </c>
      <c r="D599" s="294" t="s">
        <v>487</v>
      </c>
      <c r="E599" s="294" t="s">
        <v>488</v>
      </c>
      <c r="F599" s="808">
        <v>6100470760</v>
      </c>
      <c r="G599" s="808" t="s">
        <v>453</v>
      </c>
      <c r="H599" s="18">
        <v>30565.3</v>
      </c>
      <c r="I599" s="19">
        <v>18649.994999999999</v>
      </c>
      <c r="J599" s="18">
        <v>6928.5</v>
      </c>
      <c r="K599" s="18">
        <v>4986.8050000000003</v>
      </c>
      <c r="L599" s="18">
        <f t="shared" si="111"/>
        <v>0</v>
      </c>
      <c r="M599" s="70">
        <v>35956.300000000003</v>
      </c>
      <c r="N599" s="70">
        <v>3700.34</v>
      </c>
      <c r="O599" s="70">
        <v>7191.3059999999996</v>
      </c>
      <c r="P599" s="70">
        <f t="shared" si="123"/>
        <v>-10891.646000000001</v>
      </c>
      <c r="Q599" s="70">
        <f t="shared" si="112"/>
        <v>35956.300000000003</v>
      </c>
      <c r="R599" s="276">
        <v>40732.5</v>
      </c>
      <c r="S599" s="276">
        <v>3243.59</v>
      </c>
      <c r="T599" s="276">
        <v>6487.18</v>
      </c>
      <c r="U599" s="276">
        <v>9730.7699999999986</v>
      </c>
      <c r="V599" s="276">
        <f>R599-S599-T599-U599</f>
        <v>21270.960000000006</v>
      </c>
      <c r="W599" s="40">
        <v>40552.199999999997</v>
      </c>
      <c r="X599" s="40">
        <v>33459.300000000003</v>
      </c>
      <c r="Y599" s="879"/>
      <c r="Z599" s="906"/>
      <c r="AA599" s="280"/>
    </row>
    <row r="600" spans="1:27" ht="18.600000000000001" customHeight="1">
      <c r="A600" s="883"/>
      <c r="B600" s="535" t="s">
        <v>469</v>
      </c>
      <c r="C600" s="808"/>
      <c r="D600" s="294"/>
      <c r="E600" s="294"/>
      <c r="F600" s="808"/>
      <c r="G600" s="808"/>
      <c r="H600" s="18"/>
      <c r="I600" s="19"/>
      <c r="J600" s="18"/>
      <c r="K600" s="18"/>
      <c r="L600" s="18"/>
      <c r="M600" s="70"/>
      <c r="N600" s="70"/>
      <c r="O600" s="70"/>
      <c r="P600" s="70"/>
      <c r="Q600" s="70"/>
      <c r="R600" s="276">
        <f>R599/0.95*0.05</f>
        <v>2143.8157894736846</v>
      </c>
      <c r="S600" s="276">
        <f t="shared" ref="S600:X600" si="125">S599/0.95*0.05</f>
        <v>170.71526315789475</v>
      </c>
      <c r="T600" s="276">
        <f t="shared" si="125"/>
        <v>341.43052631578951</v>
      </c>
      <c r="U600" s="276">
        <f t="shared" si="125"/>
        <v>512.1457894736842</v>
      </c>
      <c r="V600" s="276">
        <f t="shared" si="125"/>
        <v>1119.5242105263162</v>
      </c>
      <c r="W600" s="276">
        <f t="shared" si="125"/>
        <v>2134.3263157894739</v>
      </c>
      <c r="X600" s="276">
        <f t="shared" si="125"/>
        <v>1761.0157894736844</v>
      </c>
      <c r="Y600" s="879"/>
      <c r="Z600" s="906"/>
      <c r="AA600" s="280"/>
    </row>
    <row r="601" spans="1:27" ht="24" customHeight="1">
      <c r="A601" s="881" t="s">
        <v>55</v>
      </c>
      <c r="B601" s="535" t="s">
        <v>10</v>
      </c>
      <c r="C601" s="808">
        <v>176</v>
      </c>
      <c r="D601" s="294" t="s">
        <v>487</v>
      </c>
      <c r="E601" s="294" t="s">
        <v>488</v>
      </c>
      <c r="F601" s="808">
        <v>6100470760</v>
      </c>
      <c r="G601" s="808" t="s">
        <v>453</v>
      </c>
      <c r="H601" s="18">
        <v>30658.7</v>
      </c>
      <c r="I601" s="19">
        <v>12421.8</v>
      </c>
      <c r="J601" s="18">
        <v>3312.47</v>
      </c>
      <c r="K601" s="18">
        <v>13578.2</v>
      </c>
      <c r="L601" s="18">
        <f t="shared" si="111"/>
        <v>1346.2300000000014</v>
      </c>
      <c r="M601" s="70">
        <v>67041.600000000006</v>
      </c>
      <c r="N601" s="70">
        <v>27197.643</v>
      </c>
      <c r="O601" s="70">
        <v>1446.3</v>
      </c>
      <c r="P601" s="70">
        <f t="shared" si="123"/>
        <v>-28643.942999999999</v>
      </c>
      <c r="Q601" s="70">
        <f t="shared" si="112"/>
        <v>67041.600000000006</v>
      </c>
      <c r="R601" s="276">
        <v>32660</v>
      </c>
      <c r="S601" s="276">
        <v>3141.94</v>
      </c>
      <c r="T601" s="276">
        <v>6283.88</v>
      </c>
      <c r="U601" s="276">
        <v>9425.82</v>
      </c>
      <c r="V601" s="276">
        <f>R601-S601-T601-U601</f>
        <v>13808.36</v>
      </c>
      <c r="W601" s="40">
        <v>32342.3</v>
      </c>
      <c r="X601" s="40">
        <v>24647.4</v>
      </c>
      <c r="Y601" s="879"/>
      <c r="Z601" s="906"/>
      <c r="AA601" s="280"/>
    </row>
    <row r="602" spans="1:27" ht="24.6" customHeight="1">
      <c r="A602" s="883"/>
      <c r="B602" s="535" t="s">
        <v>469</v>
      </c>
      <c r="C602" s="808"/>
      <c r="D602" s="294"/>
      <c r="E602" s="294"/>
      <c r="F602" s="808"/>
      <c r="G602" s="808"/>
      <c r="H602" s="18"/>
      <c r="I602" s="19"/>
      <c r="J602" s="18"/>
      <c r="K602" s="18"/>
      <c r="L602" s="18"/>
      <c r="M602" s="70"/>
      <c r="N602" s="70"/>
      <c r="O602" s="70"/>
      <c r="P602" s="70"/>
      <c r="Q602" s="70"/>
      <c r="R602" s="276">
        <f>R601/0.95*0.05</f>
        <v>1718.9473684210527</v>
      </c>
      <c r="S602" s="276">
        <f t="shared" ref="S602:X602" si="126">S601/0.95*0.05</f>
        <v>165.36526315789476</v>
      </c>
      <c r="T602" s="276">
        <f t="shared" si="126"/>
        <v>330.73052631578952</v>
      </c>
      <c r="U602" s="276">
        <f t="shared" si="126"/>
        <v>496.09578947368419</v>
      </c>
      <c r="V602" s="276">
        <f t="shared" si="126"/>
        <v>726.75578947368433</v>
      </c>
      <c r="W602" s="276">
        <f t="shared" si="126"/>
        <v>1702.2263157894738</v>
      </c>
      <c r="X602" s="276">
        <f t="shared" si="126"/>
        <v>1297.2315789473687</v>
      </c>
      <c r="Y602" s="879"/>
      <c r="Z602" s="906"/>
      <c r="AA602" s="280"/>
    </row>
    <row r="603" spans="1:27" ht="22.15" customHeight="1">
      <c r="A603" s="881" t="s">
        <v>56</v>
      </c>
      <c r="B603" s="535" t="s">
        <v>10</v>
      </c>
      <c r="C603" s="808">
        <v>176</v>
      </c>
      <c r="D603" s="294" t="s">
        <v>487</v>
      </c>
      <c r="E603" s="294" t="s">
        <v>488</v>
      </c>
      <c r="F603" s="808">
        <v>6100470760</v>
      </c>
      <c r="G603" s="808" t="s">
        <v>457</v>
      </c>
      <c r="H603" s="18">
        <v>22749.599999999999</v>
      </c>
      <c r="I603" s="19">
        <v>8077.2969999999996</v>
      </c>
      <c r="J603" s="18">
        <f>2923.968-0.005</f>
        <v>2923.9629999999997</v>
      </c>
      <c r="K603" s="18">
        <v>11138.74</v>
      </c>
      <c r="L603" s="18">
        <f t="shared" si="111"/>
        <v>609.60000000000036</v>
      </c>
      <c r="M603" s="70">
        <v>28968.2</v>
      </c>
      <c r="N603" s="70">
        <v>612.80899999999997</v>
      </c>
      <c r="O603" s="70">
        <v>10974.48</v>
      </c>
      <c r="P603" s="70">
        <f t="shared" si="123"/>
        <v>-11587.288999999999</v>
      </c>
      <c r="Q603" s="70">
        <f t="shared" si="112"/>
        <v>28968.199999999997</v>
      </c>
      <c r="R603" s="276">
        <v>30023.8</v>
      </c>
      <c r="S603" s="276">
        <v>2544.14</v>
      </c>
      <c r="T603" s="276">
        <v>5088.28</v>
      </c>
      <c r="U603" s="276">
        <v>7632.4199999999992</v>
      </c>
      <c r="V603" s="276">
        <f>R603-S603-T603-U603</f>
        <v>14758.960000000003</v>
      </c>
      <c r="W603" s="40">
        <v>29858</v>
      </c>
      <c r="X603" s="40">
        <v>23218</v>
      </c>
      <c r="Y603" s="879"/>
      <c r="Z603" s="906"/>
      <c r="AA603" s="280"/>
    </row>
    <row r="604" spans="1:27" ht="19.899999999999999" customHeight="1">
      <c r="A604" s="883"/>
      <c r="B604" s="535" t="s">
        <v>469</v>
      </c>
      <c r="C604" s="808"/>
      <c r="D604" s="294"/>
      <c r="E604" s="294"/>
      <c r="F604" s="808"/>
      <c r="G604" s="808"/>
      <c r="H604" s="18"/>
      <c r="I604" s="19"/>
      <c r="J604" s="18"/>
      <c r="K604" s="18"/>
      <c r="L604" s="18"/>
      <c r="M604" s="70"/>
      <c r="N604" s="70"/>
      <c r="O604" s="70"/>
      <c r="P604" s="70"/>
      <c r="Q604" s="70"/>
      <c r="R604" s="276">
        <f>R603/0.95*0.05</f>
        <v>1580.2</v>
      </c>
      <c r="S604" s="276">
        <f t="shared" ref="S604:X604" si="127">S603/0.95*0.05</f>
        <v>133.90210526315789</v>
      </c>
      <c r="T604" s="276">
        <f t="shared" si="127"/>
        <v>267.80421052631579</v>
      </c>
      <c r="U604" s="276">
        <f t="shared" si="127"/>
        <v>401.70631578947365</v>
      </c>
      <c r="V604" s="276">
        <f t="shared" si="127"/>
        <v>776.78736842105286</v>
      </c>
      <c r="W604" s="276">
        <f t="shared" si="127"/>
        <v>1571.4736842105265</v>
      </c>
      <c r="X604" s="276">
        <f t="shared" si="127"/>
        <v>1222</v>
      </c>
      <c r="Y604" s="879"/>
      <c r="Z604" s="906"/>
      <c r="AA604" s="280"/>
    </row>
    <row r="605" spans="1:27" ht="19.149999999999999" customHeight="1">
      <c r="A605" s="881" t="s">
        <v>57</v>
      </c>
      <c r="B605" s="535" t="s">
        <v>10</v>
      </c>
      <c r="C605" s="808">
        <v>176</v>
      </c>
      <c r="D605" s="294" t="s">
        <v>487</v>
      </c>
      <c r="E605" s="294" t="s">
        <v>488</v>
      </c>
      <c r="F605" s="808">
        <v>6100470760</v>
      </c>
      <c r="G605" s="808" t="s">
        <v>453</v>
      </c>
      <c r="H605" s="18">
        <v>26906.6</v>
      </c>
      <c r="I605" s="19">
        <v>6479.3050000000003</v>
      </c>
      <c r="J605" s="18">
        <v>0</v>
      </c>
      <c r="K605" s="18">
        <f>17520.69+0.005</f>
        <v>17520.695</v>
      </c>
      <c r="L605" s="18">
        <f t="shared" si="111"/>
        <v>2906.5999999999985</v>
      </c>
      <c r="M605" s="70">
        <v>33163.300000000003</v>
      </c>
      <c r="N605" s="70">
        <v>3097.68</v>
      </c>
      <c r="O605" s="70"/>
      <c r="P605" s="70">
        <f t="shared" si="123"/>
        <v>-3097.68</v>
      </c>
      <c r="Q605" s="70">
        <f t="shared" si="112"/>
        <v>33163.300000000003</v>
      </c>
      <c r="R605" s="276">
        <v>25994.3</v>
      </c>
      <c r="S605" s="276">
        <v>1936.7600000000002</v>
      </c>
      <c r="T605" s="276">
        <v>3873.5200000000004</v>
      </c>
      <c r="U605" s="276">
        <v>5810.2800000000016</v>
      </c>
      <c r="V605" s="276">
        <f>R605-S605-T605-U605</f>
        <v>14373.739999999998</v>
      </c>
      <c r="W605" s="40">
        <v>25944.1</v>
      </c>
      <c r="X605" s="40">
        <v>22613.8</v>
      </c>
      <c r="Y605" s="879"/>
      <c r="Z605" s="906"/>
      <c r="AA605" s="280"/>
    </row>
    <row r="606" spans="1:27" ht="20.45" customHeight="1">
      <c r="A606" s="883"/>
      <c r="B606" s="535" t="s">
        <v>469</v>
      </c>
      <c r="C606" s="808"/>
      <c r="D606" s="294"/>
      <c r="E606" s="294"/>
      <c r="F606" s="808"/>
      <c r="G606" s="808"/>
      <c r="H606" s="18"/>
      <c r="I606" s="19"/>
      <c r="J606" s="18"/>
      <c r="K606" s="18"/>
      <c r="L606" s="18"/>
      <c r="M606" s="70"/>
      <c r="N606" s="70"/>
      <c r="O606" s="70"/>
      <c r="P606" s="70"/>
      <c r="Q606" s="70"/>
      <c r="R606" s="276">
        <f>R605/0.95*0.05</f>
        <v>1368.121052631579</v>
      </c>
      <c r="S606" s="276">
        <f t="shared" ref="S606:X606" si="128">S605/0.95*0.05</f>
        <v>101.93473684210528</v>
      </c>
      <c r="T606" s="276">
        <f t="shared" si="128"/>
        <v>203.86947368421056</v>
      </c>
      <c r="U606" s="276">
        <f t="shared" si="128"/>
        <v>305.8042105263159</v>
      </c>
      <c r="V606" s="276">
        <f t="shared" si="128"/>
        <v>756.51263157894732</v>
      </c>
      <c r="W606" s="276">
        <f t="shared" si="128"/>
        <v>1365.4789473684211</v>
      </c>
      <c r="X606" s="276">
        <f t="shared" si="128"/>
        <v>1190.2</v>
      </c>
      <c r="Y606" s="879"/>
      <c r="Z606" s="906"/>
      <c r="AA606" s="280"/>
    </row>
    <row r="607" spans="1:27" ht="16.899999999999999" customHeight="1">
      <c r="A607" s="881" t="s">
        <v>58</v>
      </c>
      <c r="B607" s="535" t="s">
        <v>10</v>
      </c>
      <c r="C607" s="808">
        <v>176</v>
      </c>
      <c r="D607" s="294" t="s">
        <v>487</v>
      </c>
      <c r="E607" s="294" t="s">
        <v>488</v>
      </c>
      <c r="F607" s="808">
        <v>6100470760</v>
      </c>
      <c r="G607" s="808" t="s">
        <v>453</v>
      </c>
      <c r="H607" s="18">
        <v>20913.7</v>
      </c>
      <c r="I607" s="19">
        <v>7079.7997999999998</v>
      </c>
      <c r="J607" s="18">
        <f>2766.404+0.00184</f>
        <v>2766.4058399999999</v>
      </c>
      <c r="K607" s="18">
        <f>7992.76-0.00164</f>
        <v>7992.7583599999998</v>
      </c>
      <c r="L607" s="18">
        <f t="shared" si="111"/>
        <v>3074.7360000000008</v>
      </c>
      <c r="M607" s="70">
        <v>32115.1</v>
      </c>
      <c r="N607" s="70"/>
      <c r="O607" s="70"/>
      <c r="P607" s="70">
        <f t="shared" si="123"/>
        <v>0</v>
      </c>
      <c r="Q607" s="70">
        <f t="shared" si="112"/>
        <v>32115.1</v>
      </c>
      <c r="R607" s="276">
        <v>48588.9</v>
      </c>
      <c r="S607" s="276">
        <f>2518.57</f>
        <v>2518.5700000000002</v>
      </c>
      <c r="T607" s="276">
        <v>5037.1400000000003</v>
      </c>
      <c r="U607" s="276">
        <v>7555.71</v>
      </c>
      <c r="V607" s="276">
        <f>R607-S607-T607-U607</f>
        <v>33477.480000000003</v>
      </c>
      <c r="W607" s="40">
        <v>28299.5</v>
      </c>
      <c r="X607" s="40">
        <v>22925.3</v>
      </c>
      <c r="Y607" s="879"/>
      <c r="Z607" s="906"/>
      <c r="AA607" s="280"/>
    </row>
    <row r="608" spans="1:27" ht="17.45" customHeight="1">
      <c r="A608" s="883"/>
      <c r="B608" s="535" t="s">
        <v>469</v>
      </c>
      <c r="C608" s="808"/>
      <c r="D608" s="294"/>
      <c r="E608" s="294"/>
      <c r="F608" s="808"/>
      <c r="G608" s="808"/>
      <c r="H608" s="18"/>
      <c r="I608" s="19"/>
      <c r="J608" s="18"/>
      <c r="K608" s="18"/>
      <c r="L608" s="18"/>
      <c r="M608" s="70"/>
      <c r="N608" s="70"/>
      <c r="O608" s="70"/>
      <c r="P608" s="70"/>
      <c r="Q608" s="70"/>
      <c r="R608" s="276">
        <f>R607/0.95*0.05</f>
        <v>2557.31052631579</v>
      </c>
      <c r="S608" s="276">
        <f t="shared" ref="S608:X608" si="129">S607/0.95*0.05</f>
        <v>132.5563157894737</v>
      </c>
      <c r="T608" s="276">
        <f t="shared" si="129"/>
        <v>265.1126315789474</v>
      </c>
      <c r="U608" s="276">
        <f t="shared" si="129"/>
        <v>397.66894736842113</v>
      </c>
      <c r="V608" s="276">
        <f t="shared" si="129"/>
        <v>1761.9726315789478</v>
      </c>
      <c r="W608" s="276">
        <f t="shared" si="129"/>
        <v>1489.4473684210527</v>
      </c>
      <c r="X608" s="276">
        <f t="shared" si="129"/>
        <v>1206.5947368421055</v>
      </c>
      <c r="Y608" s="879"/>
      <c r="Z608" s="906"/>
      <c r="AA608" s="280"/>
    </row>
    <row r="609" spans="1:27">
      <c r="A609" s="881" t="s">
        <v>59</v>
      </c>
      <c r="B609" s="535" t="s">
        <v>10</v>
      </c>
      <c r="C609" s="808">
        <v>176</v>
      </c>
      <c r="D609" s="294" t="s">
        <v>487</v>
      </c>
      <c r="E609" s="294" t="s">
        <v>488</v>
      </c>
      <c r="F609" s="808">
        <v>6100470760</v>
      </c>
      <c r="G609" s="808" t="s">
        <v>453</v>
      </c>
      <c r="H609" s="18">
        <v>21749.200000000001</v>
      </c>
      <c r="I609" s="19">
        <v>10089.971</v>
      </c>
      <c r="J609" s="18">
        <v>3333.625</v>
      </c>
      <c r="K609" s="18">
        <v>4576.4040000000005</v>
      </c>
      <c r="L609" s="18">
        <f t="shared" si="111"/>
        <v>3749.2000000000007</v>
      </c>
      <c r="M609" s="70">
        <v>32958.9</v>
      </c>
      <c r="N609" s="70">
        <v>19104.877</v>
      </c>
      <c r="O609" s="70"/>
      <c r="P609" s="70">
        <f t="shared" si="123"/>
        <v>-19104.877</v>
      </c>
      <c r="Q609" s="70">
        <f t="shared" si="112"/>
        <v>32958.9</v>
      </c>
      <c r="R609" s="276">
        <v>37283.300000000003</v>
      </c>
      <c r="S609" s="276">
        <v>3047.32</v>
      </c>
      <c r="T609" s="276">
        <v>6094.64</v>
      </c>
      <c r="U609" s="276">
        <v>9141.9599999999991</v>
      </c>
      <c r="V609" s="276">
        <f>R609-S609-T609-U609</f>
        <v>18999.380000000005</v>
      </c>
      <c r="W609" s="40">
        <v>36687.4</v>
      </c>
      <c r="X609" s="40">
        <v>28427.200000000001</v>
      </c>
      <c r="Y609" s="879"/>
      <c r="Z609" s="906"/>
      <c r="AA609" s="280"/>
    </row>
    <row r="610" spans="1:27">
      <c r="A610" s="883"/>
      <c r="B610" s="535" t="s">
        <v>469</v>
      </c>
      <c r="C610" s="808"/>
      <c r="D610" s="294"/>
      <c r="E610" s="294"/>
      <c r="F610" s="808"/>
      <c r="G610" s="808"/>
      <c r="H610" s="18"/>
      <c r="I610" s="19"/>
      <c r="J610" s="18"/>
      <c r="K610" s="18"/>
      <c r="L610" s="18"/>
      <c r="M610" s="70"/>
      <c r="N610" s="70"/>
      <c r="O610" s="70"/>
      <c r="P610" s="70"/>
      <c r="Q610" s="70"/>
      <c r="R610" s="276">
        <f>R609/0.95*0.05</f>
        <v>1962.2789473684215</v>
      </c>
      <c r="S610" s="276">
        <f t="shared" ref="S610:X610" si="130">S609/0.95*0.05</f>
        <v>160.38526315789477</v>
      </c>
      <c r="T610" s="276">
        <f t="shared" si="130"/>
        <v>320.77052631578954</v>
      </c>
      <c r="U610" s="276">
        <f t="shared" si="130"/>
        <v>481.15578947368425</v>
      </c>
      <c r="V610" s="276">
        <f t="shared" si="130"/>
        <v>999.96736842105292</v>
      </c>
      <c r="W610" s="276">
        <f t="shared" si="130"/>
        <v>1930.9157894736845</v>
      </c>
      <c r="X610" s="276">
        <f t="shared" si="130"/>
        <v>1496.1684210526319</v>
      </c>
      <c r="Y610" s="879"/>
      <c r="Z610" s="906"/>
      <c r="AA610" s="280"/>
    </row>
    <row r="611" spans="1:27">
      <c r="A611" s="881" t="s">
        <v>60</v>
      </c>
      <c r="B611" s="535" t="s">
        <v>10</v>
      </c>
      <c r="C611" s="808">
        <v>176</v>
      </c>
      <c r="D611" s="294" t="s">
        <v>487</v>
      </c>
      <c r="E611" s="294" t="s">
        <v>488</v>
      </c>
      <c r="F611" s="808">
        <v>6100470760</v>
      </c>
      <c r="G611" s="808" t="s">
        <v>457</v>
      </c>
      <c r="H611" s="18">
        <f>42682.9</f>
        <v>42682.9</v>
      </c>
      <c r="I611" s="19">
        <v>1000</v>
      </c>
      <c r="J611" s="18">
        <v>8795.3089999999993</v>
      </c>
      <c r="K611" s="18">
        <f>28204.69+0.001</f>
        <v>28204.690999999999</v>
      </c>
      <c r="L611" s="18">
        <f t="shared" si="111"/>
        <v>4682.9000000000015</v>
      </c>
      <c r="M611" s="70">
        <v>85083.9</v>
      </c>
      <c r="N611" s="70">
        <v>6416.7479999999996</v>
      </c>
      <c r="O611" s="70">
        <v>14594.87</v>
      </c>
      <c r="P611" s="70">
        <f t="shared" si="123"/>
        <v>-21011.618000000002</v>
      </c>
      <c r="Q611" s="70">
        <f t="shared" si="112"/>
        <v>85083.9</v>
      </c>
      <c r="R611" s="276">
        <v>94604.7</v>
      </c>
      <c r="S611" s="276">
        <v>5521.28</v>
      </c>
      <c r="T611" s="276">
        <v>11042.56</v>
      </c>
      <c r="U611" s="276">
        <v>16563.84</v>
      </c>
      <c r="V611" s="276">
        <f>R611-S611-T611-U611</f>
        <v>61477.020000000004</v>
      </c>
      <c r="W611" s="40">
        <v>32323.9</v>
      </c>
      <c r="X611" s="40">
        <v>7395.6</v>
      </c>
      <c r="Y611" s="879"/>
      <c r="Z611" s="906"/>
      <c r="AA611" s="280"/>
    </row>
    <row r="612" spans="1:27">
      <c r="A612" s="883"/>
      <c r="B612" s="535" t="s">
        <v>469</v>
      </c>
      <c r="C612" s="808"/>
      <c r="D612" s="294"/>
      <c r="E612" s="294"/>
      <c r="F612" s="808"/>
      <c r="G612" s="808"/>
      <c r="H612" s="18"/>
      <c r="I612" s="19"/>
      <c r="J612" s="18"/>
      <c r="K612" s="18"/>
      <c r="L612" s="18"/>
      <c r="M612" s="70"/>
      <c r="N612" s="70"/>
      <c r="O612" s="70"/>
      <c r="P612" s="70"/>
      <c r="Q612" s="70"/>
      <c r="R612" s="276">
        <f>R611/0.95*0.05</f>
        <v>4979.1947368421061</v>
      </c>
      <c r="S612" s="276">
        <f t="shared" ref="S612:X612" si="131">S611/0.95*0.05</f>
        <v>290.59368421052631</v>
      </c>
      <c r="T612" s="276">
        <f t="shared" si="131"/>
        <v>581.18736842105261</v>
      </c>
      <c r="U612" s="276">
        <f t="shared" si="131"/>
        <v>871.78105263157909</v>
      </c>
      <c r="V612" s="276">
        <f t="shared" si="131"/>
        <v>3235.6326315789479</v>
      </c>
      <c r="W612" s="276">
        <f t="shared" si="131"/>
        <v>1701.2578947368424</v>
      </c>
      <c r="X612" s="276">
        <f t="shared" si="131"/>
        <v>389.24210526315795</v>
      </c>
      <c r="Y612" s="879"/>
      <c r="Z612" s="906"/>
      <c r="AA612" s="280"/>
    </row>
    <row r="613" spans="1:27">
      <c r="A613" s="881" t="s">
        <v>61</v>
      </c>
      <c r="B613" s="535" t="s">
        <v>10</v>
      </c>
      <c r="C613" s="808">
        <v>176</v>
      </c>
      <c r="D613" s="294" t="s">
        <v>487</v>
      </c>
      <c r="E613" s="294" t="s">
        <v>488</v>
      </c>
      <c r="F613" s="808">
        <v>6100470760</v>
      </c>
      <c r="G613" s="808" t="s">
        <v>457</v>
      </c>
      <c r="H613" s="18">
        <v>30983.3</v>
      </c>
      <c r="I613" s="19">
        <v>5142.3068000000003</v>
      </c>
      <c r="J613" s="18">
        <v>0</v>
      </c>
      <c r="K613" s="18">
        <f>19644.39+0.0032</f>
        <v>19644.393199999999</v>
      </c>
      <c r="L613" s="18">
        <f t="shared" si="111"/>
        <v>6196.5999999999985</v>
      </c>
      <c r="M613" s="70">
        <f>33148.8+14500</f>
        <v>47648.800000000003</v>
      </c>
      <c r="N613" s="70">
        <v>8087.1090000000004</v>
      </c>
      <c r="O613" s="70">
        <v>9832.85</v>
      </c>
      <c r="P613" s="70">
        <f t="shared" si="123"/>
        <v>-17919.959000000003</v>
      </c>
      <c r="Q613" s="70">
        <f t="shared" si="112"/>
        <v>47648.80000000001</v>
      </c>
      <c r="R613" s="276">
        <v>70316</v>
      </c>
      <c r="S613" s="276">
        <v>3746.32</v>
      </c>
      <c r="T613" s="276">
        <v>7492.64</v>
      </c>
      <c r="U613" s="276">
        <v>11238.96</v>
      </c>
      <c r="V613" s="276">
        <f>R613-S613-T613-U613</f>
        <v>47838.079999999994</v>
      </c>
      <c r="W613" s="40">
        <v>70831.3</v>
      </c>
      <c r="X613" s="40">
        <v>34969</v>
      </c>
      <c r="Y613" s="879"/>
      <c r="Z613" s="906"/>
      <c r="AA613" s="280"/>
    </row>
    <row r="614" spans="1:27">
      <c r="A614" s="883"/>
      <c r="B614" s="535" t="s">
        <v>469</v>
      </c>
      <c r="C614" s="808"/>
      <c r="D614" s="294"/>
      <c r="E614" s="294"/>
      <c r="F614" s="808"/>
      <c r="G614" s="808"/>
      <c r="H614" s="18"/>
      <c r="I614" s="19"/>
      <c r="J614" s="18"/>
      <c r="K614" s="18"/>
      <c r="L614" s="18"/>
      <c r="M614" s="70"/>
      <c r="N614" s="70"/>
      <c r="O614" s="70"/>
      <c r="P614" s="70"/>
      <c r="Q614" s="70"/>
      <c r="R614" s="276">
        <f>R613/0.95*0.05</f>
        <v>3700.8421052631584</v>
      </c>
      <c r="S614" s="276">
        <f t="shared" ref="S614:X614" si="132">S613/0.95*0.05</f>
        <v>197.17473684210529</v>
      </c>
      <c r="T614" s="276">
        <f t="shared" si="132"/>
        <v>394.34947368421058</v>
      </c>
      <c r="U614" s="276">
        <f t="shared" si="132"/>
        <v>591.52421052631587</v>
      </c>
      <c r="V614" s="276">
        <f t="shared" si="132"/>
        <v>2517.7936842105264</v>
      </c>
      <c r="W614" s="276">
        <f t="shared" si="132"/>
        <v>3727.9631578947374</v>
      </c>
      <c r="X614" s="276">
        <f t="shared" si="132"/>
        <v>1840.4736842105265</v>
      </c>
      <c r="Y614" s="879"/>
      <c r="Z614" s="906"/>
      <c r="AA614" s="280"/>
    </row>
    <row r="615" spans="1:27" ht="18" customHeight="1">
      <c r="A615" s="881" t="s">
        <v>62</v>
      </c>
      <c r="B615" s="535" t="s">
        <v>10</v>
      </c>
      <c r="C615" s="808">
        <v>176</v>
      </c>
      <c r="D615" s="294" t="s">
        <v>487</v>
      </c>
      <c r="E615" s="294" t="s">
        <v>488</v>
      </c>
      <c r="F615" s="808">
        <v>6100470760</v>
      </c>
      <c r="G615" s="808" t="s">
        <v>457</v>
      </c>
      <c r="H615" s="18">
        <v>22655</v>
      </c>
      <c r="I615" s="19">
        <v>2161.13</v>
      </c>
      <c r="J615" s="18">
        <v>8240.6370000000006</v>
      </c>
      <c r="K615" s="18">
        <v>7722.2330000000002</v>
      </c>
      <c r="L615" s="18">
        <f t="shared" si="111"/>
        <v>4530.9999999999982</v>
      </c>
      <c r="M615" s="70">
        <v>27817.599999999999</v>
      </c>
      <c r="N615" s="70"/>
      <c r="O615" s="70">
        <v>10968.106</v>
      </c>
      <c r="P615" s="70">
        <f t="shared" si="123"/>
        <v>-10968.106</v>
      </c>
      <c r="Q615" s="70">
        <f t="shared" si="112"/>
        <v>27817.599999999999</v>
      </c>
      <c r="R615" s="276">
        <v>20035.099999999999</v>
      </c>
      <c r="S615" s="276">
        <v>1650.33</v>
      </c>
      <c r="T615" s="276">
        <v>3300.66</v>
      </c>
      <c r="U615" s="276">
        <v>4950.99</v>
      </c>
      <c r="V615" s="276">
        <f>R615-S615-T615-U615</f>
        <v>10133.119999999997</v>
      </c>
      <c r="W615" s="40">
        <v>20000.599999999999</v>
      </c>
      <c r="X615" s="40">
        <v>17912.3</v>
      </c>
      <c r="Y615" s="879"/>
      <c r="Z615" s="906"/>
      <c r="AA615" s="280"/>
    </row>
    <row r="616" spans="1:27" ht="18" customHeight="1">
      <c r="A616" s="883"/>
      <c r="B616" s="535" t="s">
        <v>469</v>
      </c>
      <c r="C616" s="808"/>
      <c r="D616" s="294"/>
      <c r="E616" s="294"/>
      <c r="F616" s="808"/>
      <c r="G616" s="808"/>
      <c r="H616" s="18"/>
      <c r="I616" s="19"/>
      <c r="J616" s="18"/>
      <c r="K616" s="18"/>
      <c r="L616" s="18"/>
      <c r="M616" s="70"/>
      <c r="N616" s="70"/>
      <c r="O616" s="70"/>
      <c r="P616" s="70"/>
      <c r="Q616" s="70"/>
      <c r="R616" s="276">
        <f>R615/0.95*0.05</f>
        <v>1054.4789473684211</v>
      </c>
      <c r="S616" s="276">
        <f t="shared" ref="S616:X616" si="133">S615/0.95*0.05</f>
        <v>86.859473684210528</v>
      </c>
      <c r="T616" s="276">
        <f t="shared" si="133"/>
        <v>173.71894736842106</v>
      </c>
      <c r="U616" s="276">
        <f t="shared" si="133"/>
        <v>260.5784210526316</v>
      </c>
      <c r="V616" s="276">
        <f t="shared" si="133"/>
        <v>533.32210526315782</v>
      </c>
      <c r="W616" s="276">
        <f t="shared" si="133"/>
        <v>1052.663157894737</v>
      </c>
      <c r="X616" s="276">
        <f t="shared" si="133"/>
        <v>942.75263157894733</v>
      </c>
      <c r="Y616" s="879"/>
      <c r="Z616" s="906"/>
      <c r="AA616" s="280"/>
    </row>
    <row r="617" spans="1:27" ht="21.6" customHeight="1">
      <c r="A617" s="881" t="s">
        <v>63</v>
      </c>
      <c r="B617" s="535" t="s">
        <v>10</v>
      </c>
      <c r="C617" s="808">
        <v>176</v>
      </c>
      <c r="D617" s="294" t="s">
        <v>487</v>
      </c>
      <c r="E617" s="294" t="s">
        <v>488</v>
      </c>
      <c r="F617" s="808">
        <v>6100470760</v>
      </c>
      <c r="G617" s="808" t="s">
        <v>453</v>
      </c>
      <c r="H617" s="18"/>
      <c r="I617" s="19"/>
      <c r="J617" s="18"/>
      <c r="K617" s="18"/>
      <c r="L617" s="18"/>
      <c r="M617" s="70"/>
      <c r="N617" s="70"/>
      <c r="O617" s="70"/>
      <c r="P617" s="70"/>
      <c r="Q617" s="70"/>
      <c r="R617" s="276">
        <v>62397.3</v>
      </c>
      <c r="S617" s="276">
        <v>4452.6099999999997</v>
      </c>
      <c r="T617" s="276">
        <v>8905.2199999999993</v>
      </c>
      <c r="U617" s="276">
        <v>13357.83</v>
      </c>
      <c r="V617" s="276">
        <f>R617-S617-T617-U617</f>
        <v>35681.64</v>
      </c>
      <c r="W617" s="40">
        <v>62092.800000000003</v>
      </c>
      <c r="X617" s="40">
        <v>47587.1</v>
      </c>
      <c r="Y617" s="879"/>
      <c r="Z617" s="906"/>
      <c r="AA617" s="280"/>
    </row>
    <row r="618" spans="1:27" ht="21.6" customHeight="1">
      <c r="A618" s="883"/>
      <c r="B618" s="535" t="s">
        <v>469</v>
      </c>
      <c r="C618" s="808"/>
      <c r="D618" s="294"/>
      <c r="E618" s="294"/>
      <c r="F618" s="808"/>
      <c r="G618" s="808"/>
      <c r="H618" s="18"/>
      <c r="I618" s="19"/>
      <c r="J618" s="18"/>
      <c r="K618" s="18"/>
      <c r="L618" s="18"/>
      <c r="M618" s="70"/>
      <c r="N618" s="70"/>
      <c r="O618" s="70"/>
      <c r="P618" s="70"/>
      <c r="Q618" s="70"/>
      <c r="R618" s="276">
        <f>R617/0.95*0.05</f>
        <v>3284.0684210526324</v>
      </c>
      <c r="S618" s="276">
        <f t="shared" ref="S618:X618" si="134">S617/0.95*0.05</f>
        <v>234.34789473684211</v>
      </c>
      <c r="T618" s="276">
        <f t="shared" si="134"/>
        <v>468.69578947368421</v>
      </c>
      <c r="U618" s="276">
        <f t="shared" si="134"/>
        <v>703.04368421052641</v>
      </c>
      <c r="V618" s="276">
        <f t="shared" si="134"/>
        <v>1877.9810526315789</v>
      </c>
      <c r="W618" s="276">
        <f t="shared" si="134"/>
        <v>3268.0421052631586</v>
      </c>
      <c r="X618" s="276">
        <f t="shared" si="134"/>
        <v>2504.5842105263159</v>
      </c>
      <c r="Y618" s="879"/>
      <c r="Z618" s="906"/>
      <c r="AA618" s="280"/>
    </row>
    <row r="619" spans="1:27">
      <c r="A619" s="881" t="s">
        <v>64</v>
      </c>
      <c r="B619" s="535" t="s">
        <v>10</v>
      </c>
      <c r="C619" s="808">
        <v>176</v>
      </c>
      <c r="D619" s="294" t="s">
        <v>487</v>
      </c>
      <c r="E619" s="294" t="s">
        <v>488</v>
      </c>
      <c r="F619" s="808">
        <v>6100470760</v>
      </c>
      <c r="G619" s="808" t="s">
        <v>453</v>
      </c>
      <c r="H619" s="18">
        <v>32877.199999999997</v>
      </c>
      <c r="I619" s="19">
        <v>14002.699000000001</v>
      </c>
      <c r="J619" s="18">
        <v>10045.549999999999</v>
      </c>
      <c r="K619" s="18">
        <f>8346.65+0.001</f>
        <v>8346.6509999999998</v>
      </c>
      <c r="L619" s="18">
        <f t="shared" si="111"/>
        <v>482.29999999999745</v>
      </c>
      <c r="M619" s="70">
        <v>34234.400000000001</v>
      </c>
      <c r="N619" s="70">
        <v>1922.308</v>
      </c>
      <c r="O619" s="70">
        <v>11771.46</v>
      </c>
      <c r="P619" s="70">
        <f t="shared" ref="P619:P635" si="135">AA619-O619-N619</f>
        <v>-13693.768</v>
      </c>
      <c r="Q619" s="70">
        <f t="shared" si="112"/>
        <v>34234.400000000001</v>
      </c>
      <c r="R619" s="276">
        <v>31640.1</v>
      </c>
      <c r="S619" s="276">
        <v>2744.26</v>
      </c>
      <c r="T619" s="276">
        <v>5488.52</v>
      </c>
      <c r="U619" s="276">
        <v>8232.7800000000007</v>
      </c>
      <c r="V619" s="276">
        <f>R619-S619-T619-U619</f>
        <v>15174.539999999995</v>
      </c>
      <c r="W619" s="40">
        <v>31362.9</v>
      </c>
      <c r="X619" s="40">
        <v>25130.5</v>
      </c>
      <c r="Y619" s="879"/>
      <c r="Z619" s="906"/>
      <c r="AA619" s="280"/>
    </row>
    <row r="620" spans="1:27" ht="20.45" customHeight="1">
      <c r="A620" s="883"/>
      <c r="B620" s="535" t="s">
        <v>469</v>
      </c>
      <c r="C620" s="808"/>
      <c r="D620" s="294"/>
      <c r="E620" s="294"/>
      <c r="F620" s="808"/>
      <c r="G620" s="808"/>
      <c r="H620" s="18"/>
      <c r="I620" s="19"/>
      <c r="J620" s="18"/>
      <c r="K620" s="18"/>
      <c r="L620" s="18"/>
      <c r="M620" s="70"/>
      <c r="N620" s="70"/>
      <c r="O620" s="70"/>
      <c r="P620" s="70"/>
      <c r="Q620" s="70"/>
      <c r="R620" s="276">
        <f>R619/0.95*0.05</f>
        <v>1665.2684210526318</v>
      </c>
      <c r="S620" s="276">
        <f t="shared" ref="S620:X620" si="136">S619/0.95*0.05</f>
        <v>144.43473684210528</v>
      </c>
      <c r="T620" s="276">
        <f t="shared" si="136"/>
        <v>288.86947368421056</v>
      </c>
      <c r="U620" s="276">
        <f t="shared" si="136"/>
        <v>433.30421052631584</v>
      </c>
      <c r="V620" s="276">
        <f t="shared" si="136"/>
        <v>798.65999999999985</v>
      </c>
      <c r="W620" s="276">
        <f t="shared" si="136"/>
        <v>1650.6789473684214</v>
      </c>
      <c r="X620" s="276">
        <f t="shared" si="136"/>
        <v>1322.6578947368423</v>
      </c>
      <c r="Y620" s="879"/>
      <c r="Z620" s="906"/>
      <c r="AA620" s="280"/>
    </row>
    <row r="621" spans="1:27">
      <c r="A621" s="881" t="s">
        <v>65</v>
      </c>
      <c r="B621" s="535" t="s">
        <v>10</v>
      </c>
      <c r="C621" s="808">
        <v>176</v>
      </c>
      <c r="D621" s="294" t="s">
        <v>487</v>
      </c>
      <c r="E621" s="294" t="s">
        <v>488</v>
      </c>
      <c r="F621" s="808">
        <v>6100470760</v>
      </c>
      <c r="G621" s="808" t="s">
        <v>453</v>
      </c>
      <c r="H621" s="18">
        <f>40390.7+24200</f>
        <v>64590.7</v>
      </c>
      <c r="I621" s="19">
        <v>29857.859</v>
      </c>
      <c r="J621" s="18">
        <v>0</v>
      </c>
      <c r="K621" s="18">
        <f>9609.967+0.0002</f>
        <v>9609.967200000001</v>
      </c>
      <c r="L621" s="18">
        <f t="shared" si="111"/>
        <v>25122.873800000001</v>
      </c>
      <c r="M621" s="70">
        <v>56955</v>
      </c>
      <c r="N621" s="70">
        <v>30867.142</v>
      </c>
      <c r="O621" s="70">
        <v>7302.38</v>
      </c>
      <c r="P621" s="70">
        <f t="shared" si="135"/>
        <v>-38169.521999999997</v>
      </c>
      <c r="Q621" s="70">
        <f t="shared" si="112"/>
        <v>56955</v>
      </c>
      <c r="R621" s="276">
        <v>68554.5</v>
      </c>
      <c r="S621" s="276">
        <v>5278.02</v>
      </c>
      <c r="T621" s="276">
        <v>10556.04</v>
      </c>
      <c r="U621" s="276">
        <v>15834.06</v>
      </c>
      <c r="V621" s="276">
        <f>R621-S621-T621-U621</f>
        <v>36886.379999999997</v>
      </c>
      <c r="W621" s="40">
        <v>68018.600000000006</v>
      </c>
      <c r="X621" s="40">
        <v>51368.2</v>
      </c>
      <c r="Y621" s="879"/>
      <c r="Z621" s="906"/>
      <c r="AA621" s="280"/>
    </row>
    <row r="622" spans="1:27" ht="22.15" customHeight="1">
      <c r="A622" s="883"/>
      <c r="B622" s="535" t="s">
        <v>469</v>
      </c>
      <c r="C622" s="808"/>
      <c r="D622" s="294"/>
      <c r="E622" s="294"/>
      <c r="F622" s="808"/>
      <c r="G622" s="808"/>
      <c r="H622" s="18"/>
      <c r="I622" s="19"/>
      <c r="J622" s="18"/>
      <c r="K622" s="18"/>
      <c r="L622" s="18"/>
      <c r="M622" s="70"/>
      <c r="N622" s="70"/>
      <c r="O622" s="70"/>
      <c r="P622" s="70"/>
      <c r="Q622" s="70"/>
      <c r="R622" s="276">
        <f>R621/0.95*0.05</f>
        <v>3608.1315789473688</v>
      </c>
      <c r="S622" s="276">
        <f t="shared" ref="S622:X622" si="137">S621/0.95*0.05</f>
        <v>277.79052631578952</v>
      </c>
      <c r="T622" s="276">
        <f t="shared" si="137"/>
        <v>555.58105263157904</v>
      </c>
      <c r="U622" s="276">
        <f t="shared" si="137"/>
        <v>833.37157894736856</v>
      </c>
      <c r="V622" s="276">
        <f t="shared" si="137"/>
        <v>1941.3884210526314</v>
      </c>
      <c r="W622" s="276">
        <f t="shared" si="137"/>
        <v>3579.9263157894743</v>
      </c>
      <c r="X622" s="276">
        <f t="shared" si="137"/>
        <v>2703.589473684211</v>
      </c>
      <c r="Y622" s="879"/>
      <c r="Z622" s="906"/>
      <c r="AA622" s="280"/>
    </row>
    <row r="623" spans="1:27">
      <c r="A623" s="881" t="s">
        <v>66</v>
      </c>
      <c r="B623" s="535" t="s">
        <v>10</v>
      </c>
      <c r="C623" s="808">
        <v>176</v>
      </c>
      <c r="D623" s="294" t="s">
        <v>487</v>
      </c>
      <c r="E623" s="294" t="s">
        <v>488</v>
      </c>
      <c r="F623" s="808">
        <v>6100470760</v>
      </c>
      <c r="G623" s="808" t="s">
        <v>453</v>
      </c>
      <c r="H623" s="18">
        <v>28811.4</v>
      </c>
      <c r="I623" s="19">
        <v>0</v>
      </c>
      <c r="J623" s="18">
        <v>12314.44</v>
      </c>
      <c r="K623" s="18">
        <v>10734.76</v>
      </c>
      <c r="L623" s="18">
        <f t="shared" si="111"/>
        <v>5762.1999999999989</v>
      </c>
      <c r="M623" s="70">
        <v>24994</v>
      </c>
      <c r="N623" s="70"/>
      <c r="O623" s="70">
        <v>4998.8</v>
      </c>
      <c r="P623" s="70">
        <f t="shared" si="135"/>
        <v>-4998.8</v>
      </c>
      <c r="Q623" s="70">
        <f t="shared" si="112"/>
        <v>24994</v>
      </c>
      <c r="R623" s="276">
        <v>32385.4</v>
      </c>
      <c r="S623" s="276">
        <v>2209.7600000000002</v>
      </c>
      <c r="T623" s="276">
        <v>4419.5200000000004</v>
      </c>
      <c r="U623" s="276">
        <v>6629.2800000000016</v>
      </c>
      <c r="V623" s="276">
        <f>R623-S623-T623-U623</f>
        <v>19126.839999999997</v>
      </c>
      <c r="W623" s="40">
        <v>32331.8</v>
      </c>
      <c r="X623" s="40">
        <v>27505.599999999999</v>
      </c>
      <c r="Y623" s="879"/>
      <c r="Z623" s="906"/>
      <c r="AA623" s="280"/>
    </row>
    <row r="624" spans="1:27">
      <c r="A624" s="883"/>
      <c r="B624" s="535" t="s">
        <v>469</v>
      </c>
      <c r="C624" s="808"/>
      <c r="D624" s="294"/>
      <c r="E624" s="294"/>
      <c r="F624" s="808"/>
      <c r="G624" s="808"/>
      <c r="H624" s="18"/>
      <c r="I624" s="19"/>
      <c r="J624" s="18"/>
      <c r="K624" s="18"/>
      <c r="L624" s="18"/>
      <c r="M624" s="70"/>
      <c r="N624" s="70"/>
      <c r="O624" s="70"/>
      <c r="P624" s="70"/>
      <c r="Q624" s="70"/>
      <c r="R624" s="276">
        <f>R623/0.95*0.05</f>
        <v>1704.4947368421053</v>
      </c>
      <c r="S624" s="276">
        <f t="shared" ref="S624:X624" si="138">S623/0.95*0.05</f>
        <v>116.30315789473687</v>
      </c>
      <c r="T624" s="276">
        <f t="shared" si="138"/>
        <v>232.60631578947374</v>
      </c>
      <c r="U624" s="276">
        <f t="shared" si="138"/>
        <v>348.90947368421064</v>
      </c>
      <c r="V624" s="276">
        <f t="shared" si="138"/>
        <v>1006.6757894736841</v>
      </c>
      <c r="W624" s="276">
        <f t="shared" si="138"/>
        <v>1701.6736842105265</v>
      </c>
      <c r="X624" s="276">
        <f t="shared" si="138"/>
        <v>1447.663157894737</v>
      </c>
      <c r="Y624" s="879"/>
      <c r="Z624" s="906"/>
      <c r="AA624" s="280"/>
    </row>
    <row r="625" spans="1:27" ht="16.899999999999999" customHeight="1">
      <c r="A625" s="881" t="s">
        <v>67</v>
      </c>
      <c r="B625" s="535" t="s">
        <v>10</v>
      </c>
      <c r="C625" s="808">
        <v>176</v>
      </c>
      <c r="D625" s="294" t="s">
        <v>487</v>
      </c>
      <c r="E625" s="294" t="s">
        <v>488</v>
      </c>
      <c r="F625" s="808">
        <v>6100470760</v>
      </c>
      <c r="G625" s="808" t="s">
        <v>453</v>
      </c>
      <c r="H625" s="18">
        <v>23803.200000000001</v>
      </c>
      <c r="I625" s="19">
        <f>7877.528</f>
        <v>7877.5280000000002</v>
      </c>
      <c r="J625" s="18">
        <f>2572.839+250.933</f>
        <v>2823.7719999999999</v>
      </c>
      <c r="K625" s="18">
        <v>8611.3150000000005</v>
      </c>
      <c r="L625" s="18">
        <f t="shared" si="111"/>
        <v>4490.5850000000009</v>
      </c>
      <c r="M625" s="70">
        <v>28976.7</v>
      </c>
      <c r="N625" s="70"/>
      <c r="O625" s="70">
        <v>5795.34</v>
      </c>
      <c r="P625" s="70">
        <f t="shared" si="135"/>
        <v>-5795.34</v>
      </c>
      <c r="Q625" s="70">
        <f t="shared" si="112"/>
        <v>28976.7</v>
      </c>
      <c r="R625" s="276">
        <v>15825.6</v>
      </c>
      <c r="S625" s="276">
        <v>1289.75</v>
      </c>
      <c r="T625" s="276">
        <v>2579.5</v>
      </c>
      <c r="U625" s="276">
        <v>3869.25</v>
      </c>
      <c r="V625" s="276">
        <f>R625-S625-T625-U625</f>
        <v>8087.1</v>
      </c>
      <c r="W625" s="40">
        <v>15762</v>
      </c>
      <c r="X625" s="40">
        <v>14781.6</v>
      </c>
      <c r="Y625" s="879"/>
      <c r="Z625" s="906"/>
      <c r="AA625" s="280"/>
    </row>
    <row r="626" spans="1:27" ht="20.45" customHeight="1">
      <c r="A626" s="883"/>
      <c r="B626" s="535" t="s">
        <v>469</v>
      </c>
      <c r="C626" s="808"/>
      <c r="D626" s="294"/>
      <c r="E626" s="294"/>
      <c r="F626" s="808"/>
      <c r="G626" s="808"/>
      <c r="H626" s="18"/>
      <c r="I626" s="19"/>
      <c r="J626" s="18"/>
      <c r="K626" s="18"/>
      <c r="L626" s="18"/>
      <c r="M626" s="70"/>
      <c r="N626" s="70"/>
      <c r="O626" s="70"/>
      <c r="P626" s="70"/>
      <c r="Q626" s="70"/>
      <c r="R626" s="276">
        <f>R625/0.95*0.05</f>
        <v>832.92631578947373</v>
      </c>
      <c r="S626" s="276">
        <f t="shared" ref="S626:X626" si="139">S625/0.95*0.05</f>
        <v>67.881578947368425</v>
      </c>
      <c r="T626" s="276">
        <f t="shared" si="139"/>
        <v>135.76315789473685</v>
      </c>
      <c r="U626" s="276">
        <f t="shared" si="139"/>
        <v>203.64473684210529</v>
      </c>
      <c r="V626" s="276">
        <f t="shared" si="139"/>
        <v>425.63684210526321</v>
      </c>
      <c r="W626" s="276">
        <f t="shared" si="139"/>
        <v>829.57894736842127</v>
      </c>
      <c r="X626" s="276">
        <f t="shared" si="139"/>
        <v>777.97894736842113</v>
      </c>
      <c r="Y626" s="879"/>
      <c r="Z626" s="906"/>
      <c r="AA626" s="280"/>
    </row>
    <row r="627" spans="1:27">
      <c r="A627" s="881" t="s">
        <v>68</v>
      </c>
      <c r="B627" s="535" t="s">
        <v>10</v>
      </c>
      <c r="C627" s="808">
        <v>176</v>
      </c>
      <c r="D627" s="294" t="s">
        <v>487</v>
      </c>
      <c r="E627" s="294" t="s">
        <v>488</v>
      </c>
      <c r="F627" s="808">
        <v>6100470760</v>
      </c>
      <c r="G627" s="808" t="s">
        <v>457</v>
      </c>
      <c r="H627" s="18">
        <v>24594</v>
      </c>
      <c r="I627" s="19">
        <v>2473.1266999999998</v>
      </c>
      <c r="J627" s="18">
        <v>7106.9</v>
      </c>
      <c r="K627" s="18">
        <f>10095.17+0.0033</f>
        <v>10095.1733</v>
      </c>
      <c r="L627" s="18">
        <f t="shared" si="111"/>
        <v>4918.7999999999993</v>
      </c>
      <c r="M627" s="70">
        <v>30829.200000000001</v>
      </c>
      <c r="N627" s="70">
        <v>1323.0650000000001</v>
      </c>
      <c r="O627" s="70">
        <v>6165.8050000000003</v>
      </c>
      <c r="P627" s="70">
        <f t="shared" si="135"/>
        <v>-7488.8700000000008</v>
      </c>
      <c r="Q627" s="70">
        <f t="shared" si="112"/>
        <v>30829.200000000004</v>
      </c>
      <c r="R627" s="276">
        <v>27792.5</v>
      </c>
      <c r="S627" s="276">
        <v>5506.08</v>
      </c>
      <c r="T627" s="276">
        <v>11012.16</v>
      </c>
      <c r="U627" s="276">
        <v>5500</v>
      </c>
      <c r="V627" s="276">
        <f>R627-S627-T627-U627</f>
        <v>5774.2599999999984</v>
      </c>
      <c r="W627" s="40">
        <v>27650.7</v>
      </c>
      <c r="X627" s="40">
        <v>23319.8</v>
      </c>
      <c r="Y627" s="879"/>
      <c r="Z627" s="906"/>
      <c r="AA627" s="280"/>
    </row>
    <row r="628" spans="1:27" ht="19.149999999999999" customHeight="1">
      <c r="A628" s="883"/>
      <c r="B628" s="535" t="s">
        <v>469</v>
      </c>
      <c r="C628" s="808"/>
      <c r="D628" s="294"/>
      <c r="E628" s="294"/>
      <c r="F628" s="808"/>
      <c r="G628" s="808"/>
      <c r="H628" s="18"/>
      <c r="I628" s="19"/>
      <c r="J628" s="18"/>
      <c r="K628" s="18"/>
      <c r="L628" s="18"/>
      <c r="M628" s="70"/>
      <c r="N628" s="70"/>
      <c r="O628" s="70"/>
      <c r="P628" s="70"/>
      <c r="Q628" s="70"/>
      <c r="R628" s="276">
        <f>R627/0.95*0.05</f>
        <v>1462.7631578947369</v>
      </c>
      <c r="S628" s="276">
        <f t="shared" ref="S628:X628" si="140">S627/0.95*0.05</f>
        <v>289.79368421052635</v>
      </c>
      <c r="T628" s="276">
        <f t="shared" si="140"/>
        <v>579.5873684210527</v>
      </c>
      <c r="U628" s="276">
        <f t="shared" si="140"/>
        <v>289.47368421052636</v>
      </c>
      <c r="V628" s="276">
        <f t="shared" si="140"/>
        <v>303.90842105263152</v>
      </c>
      <c r="W628" s="276">
        <f t="shared" si="140"/>
        <v>1455.3000000000002</v>
      </c>
      <c r="X628" s="276">
        <f t="shared" si="140"/>
        <v>1227.3578947368421</v>
      </c>
      <c r="Y628" s="879"/>
      <c r="Z628" s="906"/>
      <c r="AA628" s="280"/>
    </row>
    <row r="629" spans="1:27" ht="19.899999999999999" customHeight="1">
      <c r="A629" s="881" t="s">
        <v>69</v>
      </c>
      <c r="B629" s="535" t="s">
        <v>10</v>
      </c>
      <c r="C629" s="808">
        <v>176</v>
      </c>
      <c r="D629" s="294" t="s">
        <v>487</v>
      </c>
      <c r="E629" s="294" t="s">
        <v>488</v>
      </c>
      <c r="F629" s="808">
        <v>6100470760</v>
      </c>
      <c r="G629" s="808" t="s">
        <v>453</v>
      </c>
      <c r="H629" s="18">
        <f>24109.4</f>
        <v>24109.4</v>
      </c>
      <c r="I629" s="19">
        <v>10199.791999999999</v>
      </c>
      <c r="J629" s="18">
        <v>962.09900000000005</v>
      </c>
      <c r="K629" s="18">
        <v>8125.7089999999998</v>
      </c>
      <c r="L629" s="18">
        <f t="shared" si="111"/>
        <v>4821.800000000002</v>
      </c>
      <c r="M629" s="70">
        <f>53340.3+15000</f>
        <v>68340.3</v>
      </c>
      <c r="N629" s="70">
        <f>39255.8</f>
        <v>39255.800000000003</v>
      </c>
      <c r="O629" s="70">
        <v>13000</v>
      </c>
      <c r="P629" s="70">
        <f t="shared" si="135"/>
        <v>-52255.8</v>
      </c>
      <c r="Q629" s="70">
        <f t="shared" si="112"/>
        <v>68340.3</v>
      </c>
      <c r="R629" s="276">
        <v>35727.599999999999</v>
      </c>
      <c r="S629" s="276">
        <v>3020.46</v>
      </c>
      <c r="T629" s="276">
        <v>6040.92</v>
      </c>
      <c r="U629" s="276">
        <v>9061.3799999999992</v>
      </c>
      <c r="V629" s="276">
        <f>R629-S629-T629-U629</f>
        <v>17604.840000000004</v>
      </c>
      <c r="W629" s="40">
        <v>35309.9</v>
      </c>
      <c r="X629" s="40">
        <v>27833</v>
      </c>
      <c r="Y629" s="879"/>
      <c r="Z629" s="906"/>
      <c r="AA629" s="280"/>
    </row>
    <row r="630" spans="1:27" ht="16.149999999999999" customHeight="1">
      <c r="A630" s="883"/>
      <c r="B630" s="535" t="s">
        <v>469</v>
      </c>
      <c r="C630" s="808"/>
      <c r="D630" s="294"/>
      <c r="E630" s="294"/>
      <c r="F630" s="808"/>
      <c r="G630" s="808"/>
      <c r="H630" s="18"/>
      <c r="I630" s="19"/>
      <c r="J630" s="18"/>
      <c r="K630" s="18"/>
      <c r="L630" s="18"/>
      <c r="M630" s="70"/>
      <c r="N630" s="70"/>
      <c r="O630" s="70"/>
      <c r="P630" s="70"/>
      <c r="Q630" s="70"/>
      <c r="R630" s="276">
        <f>R629/0.95*0.05</f>
        <v>1880.4</v>
      </c>
      <c r="S630" s="276">
        <f t="shared" ref="S630:X630" si="141">S629/0.95*0.05</f>
        <v>158.97157894736844</v>
      </c>
      <c r="T630" s="276">
        <f t="shared" si="141"/>
        <v>317.94315789473688</v>
      </c>
      <c r="U630" s="276">
        <f t="shared" si="141"/>
        <v>476.91473684210524</v>
      </c>
      <c r="V630" s="276">
        <f t="shared" si="141"/>
        <v>926.57052631578972</v>
      </c>
      <c r="W630" s="276">
        <f t="shared" si="141"/>
        <v>1858.4157894736845</v>
      </c>
      <c r="X630" s="276">
        <f t="shared" si="141"/>
        <v>1464.8947368421054</v>
      </c>
      <c r="Y630" s="879"/>
      <c r="Z630" s="906"/>
      <c r="AA630" s="280"/>
    </row>
    <row r="631" spans="1:27" ht="16.149999999999999" customHeight="1">
      <c r="A631" s="881" t="s">
        <v>70</v>
      </c>
      <c r="B631" s="535" t="s">
        <v>10</v>
      </c>
      <c r="C631" s="808">
        <v>176</v>
      </c>
      <c r="D631" s="294" t="s">
        <v>487</v>
      </c>
      <c r="E631" s="294" t="s">
        <v>488</v>
      </c>
      <c r="F631" s="808">
        <v>6100470760</v>
      </c>
      <c r="G631" s="808" t="s">
        <v>453</v>
      </c>
      <c r="H631" s="18">
        <v>22499.5</v>
      </c>
      <c r="I631" s="19">
        <v>3558.4654999999998</v>
      </c>
      <c r="J631" s="18">
        <v>0</v>
      </c>
      <c r="K631" s="18">
        <f>15941.53+0.0045</f>
        <v>15941.5345</v>
      </c>
      <c r="L631" s="18">
        <f t="shared" si="111"/>
        <v>2999.5000000000018</v>
      </c>
      <c r="M631" s="70">
        <v>28715.9</v>
      </c>
      <c r="N631" s="70">
        <v>2095.7579999999998</v>
      </c>
      <c r="O631" s="70">
        <v>9390.56</v>
      </c>
      <c r="P631" s="70">
        <f t="shared" si="135"/>
        <v>-11486.317999999999</v>
      </c>
      <c r="Q631" s="70">
        <f t="shared" si="112"/>
        <v>28715.9</v>
      </c>
      <c r="R631" s="276">
        <v>26629</v>
      </c>
      <c r="S631" s="276">
        <v>2088.2800000000002</v>
      </c>
      <c r="T631" s="276">
        <v>4176.5600000000004</v>
      </c>
      <c r="U631" s="276">
        <v>6264.84</v>
      </c>
      <c r="V631" s="276">
        <f>R631-S631-T631-U631</f>
        <v>14099.32</v>
      </c>
      <c r="W631" s="40">
        <v>26506.2</v>
      </c>
      <c r="X631" s="40">
        <v>21949.7</v>
      </c>
      <c r="Y631" s="879"/>
      <c r="Z631" s="906"/>
      <c r="AA631" s="280"/>
    </row>
    <row r="632" spans="1:27" ht="19.899999999999999" customHeight="1">
      <c r="A632" s="883"/>
      <c r="B632" s="535" t="s">
        <v>469</v>
      </c>
      <c r="C632" s="808"/>
      <c r="D632" s="294"/>
      <c r="E632" s="294"/>
      <c r="F632" s="808"/>
      <c r="G632" s="808"/>
      <c r="H632" s="18"/>
      <c r="I632" s="19"/>
      <c r="J632" s="18"/>
      <c r="K632" s="18"/>
      <c r="L632" s="18"/>
      <c r="M632" s="70"/>
      <c r="N632" s="70"/>
      <c r="O632" s="70"/>
      <c r="P632" s="70"/>
      <c r="Q632" s="70"/>
      <c r="R632" s="276">
        <f>R631/0.95*0.05</f>
        <v>1401.5263157894738</v>
      </c>
      <c r="S632" s="276">
        <f t="shared" ref="S632:X632" si="142">S631/0.95*0.05</f>
        <v>109.90947368421055</v>
      </c>
      <c r="T632" s="276">
        <f t="shared" si="142"/>
        <v>219.81894736842111</v>
      </c>
      <c r="U632" s="276">
        <f t="shared" si="142"/>
        <v>329.72842105263163</v>
      </c>
      <c r="V632" s="276">
        <f t="shared" si="142"/>
        <v>742.06947368421061</v>
      </c>
      <c r="W632" s="276">
        <f t="shared" si="142"/>
        <v>1395.0631578947371</v>
      </c>
      <c r="X632" s="276">
        <f t="shared" si="142"/>
        <v>1155.2473684210527</v>
      </c>
      <c r="Y632" s="879"/>
      <c r="Z632" s="906"/>
      <c r="AA632" s="280"/>
    </row>
    <row r="633" spans="1:27" ht="21.6" customHeight="1">
      <c r="A633" s="881" t="s">
        <v>71</v>
      </c>
      <c r="B633" s="535" t="s">
        <v>10</v>
      </c>
      <c r="C633" s="808">
        <v>176</v>
      </c>
      <c r="D633" s="294" t="s">
        <v>487</v>
      </c>
      <c r="E633" s="294" t="s">
        <v>488</v>
      </c>
      <c r="F633" s="808">
        <v>6100470760</v>
      </c>
      <c r="G633" s="808" t="s">
        <v>453</v>
      </c>
      <c r="H633" s="18">
        <v>27696.3</v>
      </c>
      <c r="I633" s="19">
        <v>823.37199999999996</v>
      </c>
      <c r="J633" s="18">
        <f>5207-0.002</f>
        <v>5206.9979999999996</v>
      </c>
      <c r="K633" s="18">
        <v>16969.63</v>
      </c>
      <c r="L633" s="18">
        <f t="shared" si="111"/>
        <v>4696.2999999999993</v>
      </c>
      <c r="M633" s="70">
        <f>31006.4+7000</f>
        <v>38006.400000000001</v>
      </c>
      <c r="N633" s="70">
        <v>8932.7455000000009</v>
      </c>
      <c r="O633" s="70">
        <v>3469.86</v>
      </c>
      <c r="P633" s="70">
        <f t="shared" si="135"/>
        <v>-12402.605500000001</v>
      </c>
      <c r="Q633" s="70">
        <f t="shared" si="112"/>
        <v>38006.400000000001</v>
      </c>
      <c r="R633" s="276">
        <v>87540.6</v>
      </c>
      <c r="S633" s="276">
        <v>2540.3100000000004</v>
      </c>
      <c r="T633" s="276">
        <v>5080.6200000000008</v>
      </c>
      <c r="U633" s="276">
        <v>7620.9300000000012</v>
      </c>
      <c r="V633" s="276">
        <f>R633-S633-T633-U633</f>
        <v>72298.740000000005</v>
      </c>
      <c r="W633" s="40">
        <v>36375.1</v>
      </c>
      <c r="X633" s="40">
        <v>26541.200000000001</v>
      </c>
      <c r="Y633" s="879"/>
      <c r="Z633" s="906"/>
      <c r="AA633" s="280"/>
    </row>
    <row r="634" spans="1:27" ht="25.15" customHeight="1">
      <c r="A634" s="883"/>
      <c r="B634" s="535" t="s">
        <v>469</v>
      </c>
      <c r="C634" s="808"/>
      <c r="D634" s="294"/>
      <c r="E634" s="294"/>
      <c r="F634" s="808"/>
      <c r="G634" s="808"/>
      <c r="H634" s="18"/>
      <c r="I634" s="19"/>
      <c r="J634" s="18"/>
      <c r="K634" s="18"/>
      <c r="L634" s="18"/>
      <c r="M634" s="70"/>
      <c r="N634" s="70"/>
      <c r="O634" s="70"/>
      <c r="P634" s="70"/>
      <c r="Q634" s="70"/>
      <c r="R634" s="276">
        <f>R633/0.95*0.05</f>
        <v>4607.4000000000005</v>
      </c>
      <c r="S634" s="276">
        <f t="shared" ref="S634:X634" si="143">S633/0.95*0.05</f>
        <v>133.70052631578952</v>
      </c>
      <c r="T634" s="276">
        <f t="shared" si="143"/>
        <v>267.40105263157903</v>
      </c>
      <c r="U634" s="276">
        <f t="shared" si="143"/>
        <v>401.10157894736852</v>
      </c>
      <c r="V634" s="276">
        <f t="shared" si="143"/>
        <v>3805.1968421052643</v>
      </c>
      <c r="W634" s="276">
        <f t="shared" si="143"/>
        <v>1914.4789473684211</v>
      </c>
      <c r="X634" s="276">
        <f t="shared" si="143"/>
        <v>1396.905263157895</v>
      </c>
      <c r="Y634" s="879"/>
      <c r="Z634" s="906"/>
      <c r="AA634" s="280"/>
    </row>
    <row r="635" spans="1:27" ht="32.450000000000003" customHeight="1">
      <c r="A635" s="881" t="s">
        <v>75</v>
      </c>
      <c r="B635" s="476" t="s">
        <v>25</v>
      </c>
      <c r="C635" s="808">
        <v>176</v>
      </c>
      <c r="D635" s="294" t="s">
        <v>487</v>
      </c>
      <c r="E635" s="294" t="s">
        <v>488</v>
      </c>
      <c r="F635" s="808" t="s">
        <v>263</v>
      </c>
      <c r="G635" s="808" t="s">
        <v>457</v>
      </c>
      <c r="H635" s="18">
        <v>78443</v>
      </c>
      <c r="I635" s="19">
        <v>18443</v>
      </c>
      <c r="J635" s="18"/>
      <c r="K635" s="18">
        <v>60000</v>
      </c>
      <c r="L635" s="18">
        <f t="shared" si="111"/>
        <v>0</v>
      </c>
      <c r="M635" s="70">
        <f>80000+50000</f>
        <v>130000</v>
      </c>
      <c r="N635" s="70">
        <v>24777</v>
      </c>
      <c r="O635" s="70">
        <v>24619.78</v>
      </c>
      <c r="P635" s="70">
        <f t="shared" si="135"/>
        <v>-49396.78</v>
      </c>
      <c r="Q635" s="70">
        <f t="shared" si="112"/>
        <v>130000</v>
      </c>
      <c r="R635" s="506">
        <f>R636+R637+R638</f>
        <v>47368.42105263158</v>
      </c>
      <c r="S635" s="506">
        <f t="shared" ref="S635:X635" si="144">S636+S637+S638</f>
        <v>0</v>
      </c>
      <c r="T635" s="506">
        <f t="shared" si="144"/>
        <v>0</v>
      </c>
      <c r="U635" s="506">
        <f t="shared" si="144"/>
        <v>0</v>
      </c>
      <c r="V635" s="506">
        <f t="shared" si="144"/>
        <v>47368.42105263158</v>
      </c>
      <c r="W635" s="506">
        <f t="shared" si="144"/>
        <v>8021.0526315789475</v>
      </c>
      <c r="X635" s="506">
        <f t="shared" si="144"/>
        <v>32737.894736842107</v>
      </c>
      <c r="Y635" s="879"/>
      <c r="Z635" s="906"/>
      <c r="AA635" s="280"/>
    </row>
    <row r="636" spans="1:27" ht="26.45" customHeight="1">
      <c r="A636" s="882"/>
      <c r="B636" s="535" t="s">
        <v>10</v>
      </c>
      <c r="C636" s="808">
        <v>176</v>
      </c>
      <c r="D636" s="294" t="s">
        <v>487</v>
      </c>
      <c r="E636" s="294" t="s">
        <v>488</v>
      </c>
      <c r="F636" s="808">
        <v>6100470760</v>
      </c>
      <c r="G636" s="808" t="s">
        <v>453</v>
      </c>
      <c r="H636" s="18">
        <v>78443</v>
      </c>
      <c r="I636" s="19">
        <v>18443</v>
      </c>
      <c r="J636" s="18"/>
      <c r="K636" s="18">
        <v>60000</v>
      </c>
      <c r="L636" s="18">
        <v>0</v>
      </c>
      <c r="M636" s="70">
        <v>130000</v>
      </c>
      <c r="N636" s="70">
        <v>24777</v>
      </c>
      <c r="O636" s="70">
        <v>24619.78</v>
      </c>
      <c r="P636" s="70">
        <v>-49396.78</v>
      </c>
      <c r="Q636" s="70">
        <v>130000</v>
      </c>
      <c r="R636" s="506">
        <v>45000</v>
      </c>
      <c r="S636" s="506">
        <v>0</v>
      </c>
      <c r="T636" s="506">
        <v>0</v>
      </c>
      <c r="U636" s="506">
        <v>0</v>
      </c>
      <c r="V636" s="276">
        <f>R636</f>
        <v>45000</v>
      </c>
      <c r="W636" s="281">
        <f>147920-140300</f>
        <v>7620</v>
      </c>
      <c r="X636" s="104">
        <f>171401-140300</f>
        <v>31101</v>
      </c>
      <c r="Y636" s="879"/>
      <c r="Z636" s="906"/>
      <c r="AA636" s="280"/>
    </row>
    <row r="637" spans="1:27" ht="26.45" hidden="1" customHeight="1">
      <c r="A637" s="882"/>
      <c r="B637" s="535" t="s">
        <v>341</v>
      </c>
      <c r="C637" s="808">
        <v>176</v>
      </c>
      <c r="D637" s="294" t="s">
        <v>487</v>
      </c>
      <c r="E637" s="294" t="s">
        <v>488</v>
      </c>
      <c r="F637" s="808">
        <v>6100053901</v>
      </c>
      <c r="G637" s="808">
        <v>521</v>
      </c>
      <c r="H637" s="18"/>
      <c r="I637" s="19"/>
      <c r="J637" s="18"/>
      <c r="K637" s="18"/>
      <c r="L637" s="18"/>
      <c r="M637" s="70"/>
      <c r="N637" s="70"/>
      <c r="O637" s="70"/>
      <c r="P637" s="70"/>
      <c r="Q637" s="70"/>
      <c r="R637" s="276"/>
      <c r="S637" s="276"/>
      <c r="T637" s="276"/>
      <c r="U637" s="276"/>
      <c r="V637" s="276"/>
      <c r="W637" s="40">
        <v>0</v>
      </c>
      <c r="X637" s="40"/>
      <c r="Y637" s="879"/>
      <c r="Z637" s="906"/>
      <c r="AA637" s="280"/>
    </row>
    <row r="638" spans="1:27" ht="19.899999999999999" customHeight="1">
      <c r="A638" s="883"/>
      <c r="B638" s="535" t="s">
        <v>469</v>
      </c>
      <c r="C638" s="808"/>
      <c r="D638" s="294"/>
      <c r="E638" s="294"/>
      <c r="F638" s="808"/>
      <c r="G638" s="808"/>
      <c r="H638" s="18"/>
      <c r="I638" s="19"/>
      <c r="J638" s="18"/>
      <c r="K638" s="18"/>
      <c r="L638" s="18"/>
      <c r="M638" s="70"/>
      <c r="N638" s="70"/>
      <c r="O638" s="70"/>
      <c r="P638" s="70"/>
      <c r="Q638" s="70"/>
      <c r="R638" s="276">
        <f>(R636+R637)/0.95*0.05</f>
        <v>2368.4210526315792</v>
      </c>
      <c r="S638" s="276">
        <f t="shared" ref="S638:X638" si="145">(S636+S637)/0.95*0.05</f>
        <v>0</v>
      </c>
      <c r="T638" s="276">
        <f t="shared" si="145"/>
        <v>0</v>
      </c>
      <c r="U638" s="276">
        <f t="shared" si="145"/>
        <v>0</v>
      </c>
      <c r="V638" s="276">
        <f t="shared" si="145"/>
        <v>2368.4210526315792</v>
      </c>
      <c r="W638" s="276">
        <f t="shared" si="145"/>
        <v>401.0526315789474</v>
      </c>
      <c r="X638" s="276">
        <f t="shared" si="145"/>
        <v>1636.8947368421054</v>
      </c>
      <c r="Y638" s="879"/>
      <c r="Z638" s="906"/>
      <c r="AA638" s="280"/>
    </row>
    <row r="639" spans="1:27" ht="19.899999999999999" customHeight="1">
      <c r="A639" s="881" t="s">
        <v>76</v>
      </c>
      <c r="B639" s="535" t="s">
        <v>25</v>
      </c>
      <c r="C639" s="808">
        <v>176</v>
      </c>
      <c r="D639" s="294" t="s">
        <v>487</v>
      </c>
      <c r="E639" s="294" t="s">
        <v>488</v>
      </c>
      <c r="F639" s="808" t="s">
        <v>263</v>
      </c>
      <c r="G639" s="808" t="s">
        <v>453</v>
      </c>
      <c r="H639" s="18">
        <f>72200.3</f>
        <v>72200.3</v>
      </c>
      <c r="I639" s="19">
        <f>40967.5287</f>
        <v>40967.528700000003</v>
      </c>
      <c r="J639" s="18">
        <f>21618.57+7500</f>
        <v>29118.57</v>
      </c>
      <c r="K639" s="18">
        <f>2114.2+0.0013</f>
        <v>2114.2012999999997</v>
      </c>
      <c r="L639" s="18">
        <f t="shared" si="111"/>
        <v>0</v>
      </c>
      <c r="M639" s="70">
        <f>96800+9301</f>
        <v>106101</v>
      </c>
      <c r="N639" s="70">
        <v>49488.398000000001</v>
      </c>
      <c r="O639" s="70">
        <v>2159.9899999999998</v>
      </c>
      <c r="P639" s="70">
        <f>AA639-O639-N639</f>
        <v>-51648.387999999999</v>
      </c>
      <c r="Q639" s="70">
        <f t="shared" si="112"/>
        <v>106101</v>
      </c>
      <c r="R639" s="276">
        <f>R640+R641+R642</f>
        <v>6312.4210526315792</v>
      </c>
      <c r="S639" s="276">
        <f t="shared" ref="S639:X639" si="146">S640+S641+S642</f>
        <v>2631.5789473684213</v>
      </c>
      <c r="T639" s="276">
        <f t="shared" si="146"/>
        <v>1578.9473684210527</v>
      </c>
      <c r="U639" s="276">
        <f t="shared" si="146"/>
        <v>1052.6315789473683</v>
      </c>
      <c r="V639" s="276">
        <f t="shared" si="146"/>
        <v>1049.2631578947371</v>
      </c>
      <c r="W639" s="276">
        <f t="shared" si="146"/>
        <v>7610.5263157894733</v>
      </c>
      <c r="X639" s="276">
        <f t="shared" si="146"/>
        <v>34203.684210526313</v>
      </c>
      <c r="Y639" s="879"/>
      <c r="Z639" s="906"/>
      <c r="AA639" s="280"/>
    </row>
    <row r="640" spans="1:27" ht="19.149999999999999" customHeight="1">
      <c r="A640" s="882"/>
      <c r="B640" s="535" t="s">
        <v>10</v>
      </c>
      <c r="C640" s="808">
        <v>176</v>
      </c>
      <c r="D640" s="294" t="s">
        <v>487</v>
      </c>
      <c r="E640" s="294" t="s">
        <v>488</v>
      </c>
      <c r="F640" s="808">
        <v>6100470760</v>
      </c>
      <c r="G640" s="808" t="s">
        <v>453</v>
      </c>
      <c r="H640" s="18">
        <v>72200.3</v>
      </c>
      <c r="I640" s="19">
        <v>40967.528700000003</v>
      </c>
      <c r="J640" s="18">
        <v>29118.57</v>
      </c>
      <c r="K640" s="18">
        <v>2114.2012999999997</v>
      </c>
      <c r="L640" s="18">
        <v>0</v>
      </c>
      <c r="M640" s="70">
        <v>106101</v>
      </c>
      <c r="N640" s="70">
        <v>49488.398000000001</v>
      </c>
      <c r="O640" s="70">
        <v>2159.9899999999998</v>
      </c>
      <c r="P640" s="70">
        <v>-51648.387999999999</v>
      </c>
      <c r="Q640" s="70">
        <v>106101</v>
      </c>
      <c r="R640" s="276">
        <v>5996.8</v>
      </c>
      <c r="S640" s="276">
        <v>2500</v>
      </c>
      <c r="T640" s="276">
        <v>1500</v>
      </c>
      <c r="U640" s="276">
        <v>1000</v>
      </c>
      <c r="V640" s="276">
        <f>R640-S640-T640-U640</f>
        <v>996.80000000000018</v>
      </c>
      <c r="W640" s="40">
        <f>102080-94850</f>
        <v>7230</v>
      </c>
      <c r="X640" s="40">
        <f>127343.5-94850</f>
        <v>32493.5</v>
      </c>
      <c r="Y640" s="879"/>
      <c r="Z640" s="906"/>
      <c r="AA640" s="280"/>
    </row>
    <row r="641" spans="1:27" ht="24.6" hidden="1" customHeight="1">
      <c r="A641" s="882"/>
      <c r="B641" s="535" t="s">
        <v>341</v>
      </c>
      <c r="C641" s="808">
        <v>176</v>
      </c>
      <c r="D641" s="294" t="s">
        <v>487</v>
      </c>
      <c r="E641" s="294" t="s">
        <v>488</v>
      </c>
      <c r="F641" s="808">
        <v>6100053901</v>
      </c>
      <c r="G641" s="808">
        <v>521</v>
      </c>
      <c r="H641" s="18"/>
      <c r="I641" s="19"/>
      <c r="J641" s="18"/>
      <c r="K641" s="18"/>
      <c r="L641" s="18"/>
      <c r="M641" s="70"/>
      <c r="N641" s="70"/>
      <c r="O641" s="70"/>
      <c r="P641" s="70"/>
      <c r="Q641" s="70"/>
      <c r="R641" s="276"/>
      <c r="S641" s="276"/>
      <c r="T641" s="276"/>
      <c r="U641" s="276"/>
      <c r="V641" s="276"/>
      <c r="W641" s="40">
        <v>0</v>
      </c>
      <c r="X641" s="40"/>
      <c r="Y641" s="879"/>
      <c r="Z641" s="906"/>
      <c r="AA641" s="280"/>
    </row>
    <row r="642" spans="1:27" ht="24.6" customHeight="1">
      <c r="A642" s="883"/>
      <c r="B642" s="535" t="s">
        <v>469</v>
      </c>
      <c r="C642" s="808"/>
      <c r="D642" s="294"/>
      <c r="E642" s="294"/>
      <c r="F642" s="808"/>
      <c r="G642" s="808"/>
      <c r="H642" s="18"/>
      <c r="I642" s="19"/>
      <c r="J642" s="18"/>
      <c r="K642" s="18"/>
      <c r="L642" s="18"/>
      <c r="M642" s="70"/>
      <c r="N642" s="70"/>
      <c r="O642" s="70"/>
      <c r="P642" s="70"/>
      <c r="Q642" s="70"/>
      <c r="R642" s="276">
        <f>(R640+R641)/0.95*0.05</f>
        <v>315.621052631579</v>
      </c>
      <c r="S642" s="276">
        <f t="shared" ref="S642:X642" si="147">(S640+S641)/0.95*0.05</f>
        <v>131.57894736842107</v>
      </c>
      <c r="T642" s="276">
        <f t="shared" si="147"/>
        <v>78.947368421052644</v>
      </c>
      <c r="U642" s="276">
        <f t="shared" si="147"/>
        <v>52.631578947368432</v>
      </c>
      <c r="V642" s="276">
        <f t="shared" si="147"/>
        <v>52.46315789473686</v>
      </c>
      <c r="W642" s="276">
        <f t="shared" si="147"/>
        <v>380.52631578947376</v>
      </c>
      <c r="X642" s="276">
        <f t="shared" si="147"/>
        <v>1710.1842105263161</v>
      </c>
      <c r="Y642" s="879"/>
      <c r="Z642" s="906"/>
      <c r="AA642" s="280"/>
    </row>
    <row r="643" spans="1:27" ht="25.9" customHeight="1">
      <c r="A643" s="881" t="s">
        <v>77</v>
      </c>
      <c r="B643" s="535" t="s">
        <v>25</v>
      </c>
      <c r="C643" s="808">
        <v>176</v>
      </c>
      <c r="D643" s="294" t="s">
        <v>487</v>
      </c>
      <c r="E643" s="294" t="s">
        <v>488</v>
      </c>
      <c r="F643" s="808" t="s">
        <v>263</v>
      </c>
      <c r="G643" s="808" t="s">
        <v>453</v>
      </c>
      <c r="H643" s="18">
        <f>4160.7</f>
        <v>4160.7</v>
      </c>
      <c r="I643" s="19">
        <v>0</v>
      </c>
      <c r="J643" s="18">
        <v>4160.7</v>
      </c>
      <c r="K643" s="18">
        <v>0</v>
      </c>
      <c r="L643" s="18">
        <f t="shared" si="111"/>
        <v>0</v>
      </c>
      <c r="M643" s="70">
        <f>17362.5+10400</f>
        <v>27762.5</v>
      </c>
      <c r="N643" s="70">
        <v>10362.5</v>
      </c>
      <c r="O643" s="70">
        <v>7000</v>
      </c>
      <c r="P643" s="70">
        <f>AA643-O643-N643</f>
        <v>-17362.5</v>
      </c>
      <c r="Q643" s="70">
        <f t="shared" si="112"/>
        <v>27762.5</v>
      </c>
      <c r="R643" s="276">
        <f>R644+R645+R646</f>
        <v>32997.894736842107</v>
      </c>
      <c r="S643" s="276">
        <f t="shared" ref="S643:X643" si="148">S644+S645+S646</f>
        <v>1052.6315789473683</v>
      </c>
      <c r="T643" s="276">
        <f t="shared" si="148"/>
        <v>1052.6315789473683</v>
      </c>
      <c r="U643" s="276">
        <f t="shared" si="148"/>
        <v>1052.6315789473683</v>
      </c>
      <c r="V643" s="276">
        <f t="shared" si="148"/>
        <v>29840</v>
      </c>
      <c r="W643" s="276">
        <f t="shared" si="148"/>
        <v>32997.894736842107</v>
      </c>
      <c r="X643" s="276">
        <f t="shared" si="148"/>
        <v>11844.631578947368</v>
      </c>
      <c r="Y643" s="879"/>
      <c r="Z643" s="906"/>
      <c r="AA643" s="280"/>
    </row>
    <row r="644" spans="1:27" ht="17.45" customHeight="1">
      <c r="A644" s="882"/>
      <c r="B644" s="535" t="s">
        <v>10</v>
      </c>
      <c r="C644" s="808">
        <v>176</v>
      </c>
      <c r="D644" s="294" t="s">
        <v>487</v>
      </c>
      <c r="E644" s="294" t="s">
        <v>488</v>
      </c>
      <c r="F644" s="808">
        <v>6100470760</v>
      </c>
      <c r="G644" s="808" t="s">
        <v>453</v>
      </c>
      <c r="H644" s="18">
        <v>4160.7</v>
      </c>
      <c r="I644" s="19">
        <v>0</v>
      </c>
      <c r="J644" s="18">
        <v>4160.7</v>
      </c>
      <c r="K644" s="18">
        <v>0</v>
      </c>
      <c r="L644" s="18">
        <v>0</v>
      </c>
      <c r="M644" s="70">
        <v>27762.5</v>
      </c>
      <c r="N644" s="70">
        <v>10362.5</v>
      </c>
      <c r="O644" s="70">
        <v>7000</v>
      </c>
      <c r="P644" s="70">
        <v>-17362.5</v>
      </c>
      <c r="Q644" s="70">
        <v>27762.5</v>
      </c>
      <c r="R644" s="276">
        <v>31348</v>
      </c>
      <c r="S644" s="276">
        <v>1000</v>
      </c>
      <c r="T644" s="276">
        <v>1000</v>
      </c>
      <c r="U644" s="276">
        <v>1000</v>
      </c>
      <c r="V644" s="276">
        <f>R644-S644-T644-U644</f>
        <v>28348</v>
      </c>
      <c r="W644" s="40">
        <v>31348</v>
      </c>
      <c r="X644" s="40">
        <v>11252.4</v>
      </c>
      <c r="Y644" s="879"/>
      <c r="Z644" s="906"/>
      <c r="AA644" s="280"/>
    </row>
    <row r="645" spans="1:27" ht="34.9" hidden="1" customHeight="1">
      <c r="A645" s="882"/>
      <c r="B645" s="535" t="s">
        <v>341</v>
      </c>
      <c r="C645" s="808">
        <v>176</v>
      </c>
      <c r="D645" s="294" t="s">
        <v>487</v>
      </c>
      <c r="E645" s="294" t="s">
        <v>488</v>
      </c>
      <c r="F645" s="808">
        <v>6100053901</v>
      </c>
      <c r="G645" s="808">
        <v>521</v>
      </c>
      <c r="H645" s="18"/>
      <c r="I645" s="19"/>
      <c r="J645" s="18"/>
      <c r="K645" s="18"/>
      <c r="L645" s="18"/>
      <c r="M645" s="70"/>
      <c r="N645" s="70"/>
      <c r="O645" s="70"/>
      <c r="P645" s="70"/>
      <c r="Q645" s="70"/>
      <c r="R645" s="276"/>
      <c r="S645" s="276"/>
      <c r="T645" s="276"/>
      <c r="U645" s="276"/>
      <c r="V645" s="276"/>
      <c r="W645" s="40">
        <v>0</v>
      </c>
      <c r="X645" s="40"/>
      <c r="Y645" s="879"/>
      <c r="Z645" s="906"/>
      <c r="AA645" s="280"/>
    </row>
    <row r="646" spans="1:27" ht="24.6" customHeight="1">
      <c r="A646" s="883"/>
      <c r="B646" s="535" t="s">
        <v>469</v>
      </c>
      <c r="C646" s="808"/>
      <c r="D646" s="294"/>
      <c r="E646" s="294"/>
      <c r="F646" s="808"/>
      <c r="G646" s="808"/>
      <c r="H646" s="18"/>
      <c r="I646" s="19"/>
      <c r="J646" s="18"/>
      <c r="K646" s="18"/>
      <c r="L646" s="18"/>
      <c r="M646" s="70"/>
      <c r="N646" s="70"/>
      <c r="O646" s="70"/>
      <c r="P646" s="70"/>
      <c r="Q646" s="70"/>
      <c r="R646" s="276">
        <f>(R644+R645)/0.95*0.05</f>
        <v>1649.8947368421054</v>
      </c>
      <c r="S646" s="276">
        <f t="shared" ref="S646:X646" si="149">(S644+S645)/0.95*0.05</f>
        <v>52.631578947368432</v>
      </c>
      <c r="T646" s="276">
        <f t="shared" si="149"/>
        <v>52.631578947368432</v>
      </c>
      <c r="U646" s="276">
        <f t="shared" si="149"/>
        <v>52.631578947368432</v>
      </c>
      <c r="V646" s="276">
        <f t="shared" si="149"/>
        <v>1492</v>
      </c>
      <c r="W646" s="276">
        <f t="shared" si="149"/>
        <v>1649.8947368421054</v>
      </c>
      <c r="X646" s="276">
        <f t="shared" si="149"/>
        <v>592.23157894736846</v>
      </c>
      <c r="Y646" s="879"/>
      <c r="Z646" s="906"/>
      <c r="AA646" s="280"/>
    </row>
    <row r="647" spans="1:27" ht="22.5" customHeight="1">
      <c r="A647" s="881" t="s">
        <v>78</v>
      </c>
      <c r="B647" s="535" t="s">
        <v>25</v>
      </c>
      <c r="C647" s="808">
        <v>176</v>
      </c>
      <c r="D647" s="294" t="s">
        <v>487</v>
      </c>
      <c r="E647" s="294" t="s">
        <v>488</v>
      </c>
      <c r="F647" s="808" t="s">
        <v>263</v>
      </c>
      <c r="G647" s="808" t="s">
        <v>453</v>
      </c>
      <c r="H647" s="18">
        <f>5768.7</f>
        <v>5768.7</v>
      </c>
      <c r="I647" s="19">
        <v>1776.1</v>
      </c>
      <c r="J647" s="18">
        <v>0</v>
      </c>
      <c r="K647" s="18">
        <v>3000</v>
      </c>
      <c r="L647" s="18">
        <f t="shared" si="111"/>
        <v>992.59999999999991</v>
      </c>
      <c r="M647" s="70">
        <v>11986.9</v>
      </c>
      <c r="N647" s="70">
        <v>955.71</v>
      </c>
      <c r="O647" s="70">
        <v>3839.06</v>
      </c>
      <c r="P647" s="70">
        <f>AA647-O647-N647</f>
        <v>-4794.7700000000004</v>
      </c>
      <c r="Q647" s="70">
        <f t="shared" si="112"/>
        <v>11986.9</v>
      </c>
      <c r="R647" s="276">
        <f>R648+R649+R650</f>
        <v>37285.052631578954</v>
      </c>
      <c r="S647" s="276">
        <f t="shared" ref="S647:W647" si="150">S648+S649+S650</f>
        <v>5491.652631578947</v>
      </c>
      <c r="T647" s="276">
        <f t="shared" si="150"/>
        <v>5720.1473684210532</v>
      </c>
      <c r="U647" s="276">
        <f t="shared" si="150"/>
        <v>5948.6421052631576</v>
      </c>
      <c r="V647" s="276">
        <f t="shared" si="150"/>
        <v>20124.610526315795</v>
      </c>
      <c r="W647" s="276">
        <f t="shared" si="150"/>
        <v>37285.052631578954</v>
      </c>
      <c r="X647" s="276">
        <f>X648+X649+X650</f>
        <v>15756.315789473685</v>
      </c>
      <c r="Y647" s="879"/>
      <c r="Z647" s="906"/>
      <c r="AA647" s="280"/>
    </row>
    <row r="648" spans="1:27" ht="21" customHeight="1">
      <c r="A648" s="882"/>
      <c r="B648" s="535" t="s">
        <v>10</v>
      </c>
      <c r="C648" s="808">
        <v>176</v>
      </c>
      <c r="D648" s="294" t="s">
        <v>487</v>
      </c>
      <c r="E648" s="294" t="s">
        <v>488</v>
      </c>
      <c r="F648" s="808">
        <v>6100470760</v>
      </c>
      <c r="G648" s="808" t="s">
        <v>453</v>
      </c>
      <c r="H648" s="18">
        <v>5768.7</v>
      </c>
      <c r="I648" s="19">
        <v>1776.1</v>
      </c>
      <c r="J648" s="18">
        <v>0</v>
      </c>
      <c r="K648" s="18">
        <v>3000</v>
      </c>
      <c r="L648" s="18">
        <v>992.59999999999991</v>
      </c>
      <c r="M648" s="70">
        <v>11986.9</v>
      </c>
      <c r="N648" s="70">
        <v>955.71</v>
      </c>
      <c r="O648" s="70">
        <v>3839.06</v>
      </c>
      <c r="P648" s="70">
        <v>-4794.7700000000004</v>
      </c>
      <c r="Q648" s="70">
        <v>11986.9</v>
      </c>
      <c r="R648" s="276">
        <v>35420.800000000003</v>
      </c>
      <c r="S648" s="276">
        <v>5217.07</v>
      </c>
      <c r="T648" s="276">
        <v>5434.14</v>
      </c>
      <c r="U648" s="276">
        <v>5651.21</v>
      </c>
      <c r="V648" s="276">
        <f>R648-S648-T648-U648</f>
        <v>19118.380000000005</v>
      </c>
      <c r="W648" s="40">
        <v>35420.800000000003</v>
      </c>
      <c r="X648" s="40">
        <v>14968.5</v>
      </c>
      <c r="Y648" s="879"/>
      <c r="Z648" s="906"/>
      <c r="AA648" s="280"/>
    </row>
    <row r="649" spans="1:27" ht="35.450000000000003" hidden="1" customHeight="1">
      <c r="A649" s="882"/>
      <c r="B649" s="535" t="s">
        <v>341</v>
      </c>
      <c r="C649" s="808">
        <v>176</v>
      </c>
      <c r="D649" s="294" t="s">
        <v>487</v>
      </c>
      <c r="E649" s="294" t="s">
        <v>488</v>
      </c>
      <c r="F649" s="808">
        <v>6100053901</v>
      </c>
      <c r="G649" s="808" t="s">
        <v>457</v>
      </c>
      <c r="H649" s="18"/>
      <c r="I649" s="19"/>
      <c r="J649" s="18"/>
      <c r="K649" s="18"/>
      <c r="L649" s="18"/>
      <c r="M649" s="70"/>
      <c r="N649" s="70"/>
      <c r="O649" s="70"/>
      <c r="P649" s="70"/>
      <c r="Q649" s="70"/>
      <c r="R649" s="276"/>
      <c r="S649" s="276"/>
      <c r="T649" s="276"/>
      <c r="U649" s="276"/>
      <c r="V649" s="276"/>
      <c r="W649" s="40">
        <v>0</v>
      </c>
      <c r="X649" s="40"/>
      <c r="Y649" s="879"/>
      <c r="Z649" s="906"/>
      <c r="AA649" s="280"/>
    </row>
    <row r="650" spans="1:27" ht="16.5" customHeight="1">
      <c r="A650" s="883"/>
      <c r="B650" s="535" t="s">
        <v>469</v>
      </c>
      <c r="C650" s="808"/>
      <c r="D650" s="294"/>
      <c r="E650" s="294"/>
      <c r="F650" s="808"/>
      <c r="G650" s="808"/>
      <c r="H650" s="18"/>
      <c r="I650" s="19"/>
      <c r="J650" s="18"/>
      <c r="K650" s="18"/>
      <c r="L650" s="18"/>
      <c r="M650" s="70"/>
      <c r="N650" s="70"/>
      <c r="O650" s="70"/>
      <c r="P650" s="70"/>
      <c r="Q650" s="70"/>
      <c r="R650" s="276">
        <f>(R648+R649)/0.95*0.05</f>
        <v>1864.2526315789478</v>
      </c>
      <c r="S650" s="276">
        <f t="shared" ref="S650:X650" si="151">(S648+S649)/0.95*0.05</f>
        <v>274.58263157894737</v>
      </c>
      <c r="T650" s="276">
        <f t="shared" si="151"/>
        <v>286.00736842105266</v>
      </c>
      <c r="U650" s="276">
        <f t="shared" si="151"/>
        <v>297.43210526315795</v>
      </c>
      <c r="V650" s="276">
        <f t="shared" si="151"/>
        <v>1006.2305263157898</v>
      </c>
      <c r="W650" s="276">
        <f t="shared" si="151"/>
        <v>1864.2526315789478</v>
      </c>
      <c r="X650" s="276">
        <f t="shared" si="151"/>
        <v>787.81578947368428</v>
      </c>
      <c r="Y650" s="879"/>
      <c r="Z650" s="906"/>
      <c r="AA650" s="280"/>
    </row>
    <row r="651" spans="1:27" ht="29.45" customHeight="1">
      <c r="A651" s="881" t="s">
        <v>79</v>
      </c>
      <c r="B651" s="535" t="s">
        <v>25</v>
      </c>
      <c r="C651" s="808">
        <v>176</v>
      </c>
      <c r="D651" s="294" t="s">
        <v>487</v>
      </c>
      <c r="E651" s="294" t="s">
        <v>488</v>
      </c>
      <c r="F651" s="808" t="s">
        <v>263</v>
      </c>
      <c r="G651" s="808" t="s">
        <v>453</v>
      </c>
      <c r="H651" s="18">
        <f>566000+52424.5</f>
        <v>618424.5</v>
      </c>
      <c r="I651" s="19">
        <v>190000</v>
      </c>
      <c r="J651" s="18">
        <v>140390.6</v>
      </c>
      <c r="K651" s="18">
        <f>H651-I651-J651</f>
        <v>288033.90000000002</v>
      </c>
      <c r="L651" s="18">
        <f t="shared" si="111"/>
        <v>0</v>
      </c>
      <c r="M651" s="70">
        <f>100000+100000+100000+20000+94452.3</f>
        <v>414452.3</v>
      </c>
      <c r="N651" s="70">
        <v>27239.88</v>
      </c>
      <c r="O651" s="70">
        <v>156696.76999999999</v>
      </c>
      <c r="P651" s="70">
        <f>AA651-O651-N651</f>
        <v>-183936.65</v>
      </c>
      <c r="Q651" s="70">
        <f t="shared" si="112"/>
        <v>414452.3</v>
      </c>
      <c r="R651" s="276">
        <f>SUM(R652:R655)</f>
        <v>147338.10526315792</v>
      </c>
      <c r="S651" s="276">
        <f t="shared" ref="S651:X651" si="152">SUM(S652:S655)</f>
        <v>21405.968421052628</v>
      </c>
      <c r="T651" s="276">
        <f t="shared" si="152"/>
        <v>21759.305263157894</v>
      </c>
      <c r="U651" s="276">
        <f t="shared" si="152"/>
        <v>0</v>
      </c>
      <c r="V651" s="276">
        <f t="shared" si="152"/>
        <v>104172.83157894739</v>
      </c>
      <c r="W651" s="276">
        <f t="shared" si="152"/>
        <v>1594027.6842105261</v>
      </c>
      <c r="X651" s="276">
        <f t="shared" si="152"/>
        <v>2251997.0526315793</v>
      </c>
      <c r="Y651" s="879"/>
      <c r="Z651" s="906"/>
      <c r="AA651" s="280"/>
    </row>
    <row r="652" spans="1:27" ht="25.5" customHeight="1">
      <c r="A652" s="882"/>
      <c r="B652" s="535" t="s">
        <v>10</v>
      </c>
      <c r="C652" s="808">
        <v>176</v>
      </c>
      <c r="D652" s="294" t="s">
        <v>487</v>
      </c>
      <c r="E652" s="294" t="s">
        <v>488</v>
      </c>
      <c r="F652" s="808">
        <v>6100470760</v>
      </c>
      <c r="G652" s="808">
        <v>522</v>
      </c>
      <c r="H652" s="18"/>
      <c r="I652" s="19"/>
      <c r="J652" s="18"/>
      <c r="K652" s="18"/>
      <c r="L652" s="18"/>
      <c r="M652" s="70"/>
      <c r="N652" s="70"/>
      <c r="O652" s="70"/>
      <c r="P652" s="70"/>
      <c r="Q652" s="70"/>
      <c r="R652" s="276"/>
      <c r="S652" s="276"/>
      <c r="T652" s="276"/>
      <c r="U652" s="276"/>
      <c r="V652" s="276">
        <f>R652</f>
        <v>0</v>
      </c>
      <c r="W652" s="276">
        <f>162812+846243.2</f>
        <v>1009055.2</v>
      </c>
      <c r="X652" s="276">
        <f>661000+978920.7</f>
        <v>1639920.7</v>
      </c>
      <c r="Y652" s="879"/>
      <c r="Z652" s="906"/>
      <c r="AA652" s="280"/>
    </row>
    <row r="653" spans="1:27" ht="20.45" customHeight="1">
      <c r="A653" s="882"/>
      <c r="B653" s="535" t="s">
        <v>10</v>
      </c>
      <c r="C653" s="808">
        <v>176</v>
      </c>
      <c r="D653" s="294" t="s">
        <v>487</v>
      </c>
      <c r="E653" s="294" t="s">
        <v>488</v>
      </c>
      <c r="F653" s="808">
        <v>6100470760</v>
      </c>
      <c r="G653" s="808">
        <v>521</v>
      </c>
      <c r="H653" s="18">
        <v>618424.5</v>
      </c>
      <c r="I653" s="19">
        <v>190000</v>
      </c>
      <c r="J653" s="18">
        <v>140390.6</v>
      </c>
      <c r="K653" s="18">
        <v>288033.90000000002</v>
      </c>
      <c r="L653" s="18">
        <v>0</v>
      </c>
      <c r="M653" s="70">
        <v>414452.3</v>
      </c>
      <c r="N653" s="70">
        <v>27239.88</v>
      </c>
      <c r="O653" s="70">
        <v>156696.76999999999</v>
      </c>
      <c r="P653" s="70">
        <v>-183936.65</v>
      </c>
      <c r="Q653" s="70">
        <v>414452.3</v>
      </c>
      <c r="R653" s="276">
        <f>65971.2+74000</f>
        <v>139971.20000000001</v>
      </c>
      <c r="S653" s="276">
        <v>20335.669999999998</v>
      </c>
      <c r="T653" s="276">
        <v>20671.34</v>
      </c>
      <c r="U653" s="276"/>
      <c r="V653" s="276">
        <f>R653-S653-T653-U653</f>
        <v>98964.190000000017</v>
      </c>
      <c r="W653" s="40">
        <v>505271.1</v>
      </c>
      <c r="X653" s="40">
        <v>499476.5</v>
      </c>
      <c r="Y653" s="879"/>
      <c r="Z653" s="906"/>
      <c r="AA653" s="280"/>
    </row>
    <row r="654" spans="1:27" ht="28.15" hidden="1" customHeight="1">
      <c r="A654" s="882"/>
      <c r="B654" s="535" t="s">
        <v>341</v>
      </c>
      <c r="C654" s="808">
        <v>176</v>
      </c>
      <c r="D654" s="294" t="s">
        <v>487</v>
      </c>
      <c r="E654" s="294" t="s">
        <v>488</v>
      </c>
      <c r="F654" s="808">
        <v>6100053901</v>
      </c>
      <c r="G654" s="808">
        <v>521</v>
      </c>
      <c r="H654" s="18"/>
      <c r="I654" s="19"/>
      <c r="J654" s="18"/>
      <c r="K654" s="18"/>
      <c r="L654" s="18"/>
      <c r="M654" s="70"/>
      <c r="N654" s="70"/>
      <c r="O654" s="70"/>
      <c r="P654" s="70"/>
      <c r="Q654" s="70"/>
      <c r="R654" s="276"/>
      <c r="S654" s="276"/>
      <c r="T654" s="276"/>
      <c r="U654" s="276"/>
      <c r="V654" s="276"/>
      <c r="W654" s="104">
        <v>0</v>
      </c>
      <c r="X654" s="40"/>
      <c r="Y654" s="879"/>
      <c r="Z654" s="906"/>
      <c r="AA654" s="280"/>
    </row>
    <row r="655" spans="1:27" ht="28.15" customHeight="1">
      <c r="A655" s="883"/>
      <c r="B655" s="535" t="s">
        <v>469</v>
      </c>
      <c r="C655" s="808"/>
      <c r="D655" s="294"/>
      <c r="E655" s="294"/>
      <c r="F655" s="808"/>
      <c r="G655" s="808"/>
      <c r="H655" s="18"/>
      <c r="I655" s="19"/>
      <c r="J655" s="18"/>
      <c r="K655" s="18"/>
      <c r="L655" s="18"/>
      <c r="M655" s="70"/>
      <c r="N655" s="70"/>
      <c r="O655" s="70"/>
      <c r="P655" s="70"/>
      <c r="Q655" s="70"/>
      <c r="R655" s="276">
        <f>(R652+R653+R654)/0.95*0.05</f>
        <v>7366.9052631578961</v>
      </c>
      <c r="S655" s="276">
        <f>(S653+S654)/0.95*0.05</f>
        <v>1070.2984210526317</v>
      </c>
      <c r="T655" s="276">
        <f t="shared" ref="T655:U655" si="153">(T653+T654)/0.95*0.05</f>
        <v>1087.9652631578949</v>
      </c>
      <c r="U655" s="276">
        <f t="shared" si="153"/>
        <v>0</v>
      </c>
      <c r="V655" s="276">
        <f>(V652+V653+V654)/0.95*0.05</f>
        <v>5208.6415789473695</v>
      </c>
      <c r="W655" s="276">
        <f>(W652+W653+W654)/0.95*0.05</f>
        <v>79701.384210526317</v>
      </c>
      <c r="X655" s="276">
        <f>(X652+X653+X654)/0.95*0.05</f>
        <v>112599.85263157898</v>
      </c>
      <c r="Y655" s="880"/>
      <c r="Z655" s="868"/>
      <c r="AA655" s="280"/>
    </row>
    <row r="656" spans="1:27" ht="37.5" customHeight="1">
      <c r="A656" s="898" t="s">
        <v>259</v>
      </c>
      <c r="B656" s="826" t="s">
        <v>746</v>
      </c>
      <c r="C656" s="659"/>
      <c r="D656" s="102"/>
      <c r="E656" s="102"/>
      <c r="F656" s="659"/>
      <c r="G656" s="659"/>
      <c r="H656" s="6">
        <v>0</v>
      </c>
      <c r="I656" s="6">
        <v>0</v>
      </c>
      <c r="J656" s="6">
        <v>0</v>
      </c>
      <c r="K656" s="6">
        <v>0</v>
      </c>
      <c r="L656" s="6">
        <v>0</v>
      </c>
      <c r="M656" s="63" t="s">
        <v>276</v>
      </c>
      <c r="N656" s="63"/>
      <c r="O656" s="63"/>
      <c r="P656" s="63"/>
      <c r="Q656" s="63"/>
      <c r="R656" s="63" t="s">
        <v>276</v>
      </c>
      <c r="S656" s="63"/>
      <c r="T656" s="63"/>
      <c r="U656" s="63"/>
      <c r="V656" s="63"/>
      <c r="W656" s="63" t="s">
        <v>276</v>
      </c>
      <c r="X656" s="63"/>
      <c r="Y656" s="878" t="s">
        <v>187</v>
      </c>
      <c r="Z656" s="878" t="s">
        <v>258</v>
      </c>
    </row>
    <row r="657" spans="1:29" ht="33" customHeight="1">
      <c r="A657" s="899"/>
      <c r="B657" s="826" t="s">
        <v>24</v>
      </c>
      <c r="C657" s="659"/>
      <c r="D657" s="102"/>
      <c r="E657" s="102"/>
      <c r="F657" s="659"/>
      <c r="G657" s="659"/>
      <c r="H657" s="6"/>
      <c r="I657" s="6"/>
      <c r="J657" s="6"/>
      <c r="K657" s="6"/>
      <c r="L657" s="6"/>
      <c r="M657" s="63"/>
      <c r="N657" s="63"/>
      <c r="O657" s="63"/>
      <c r="P657" s="63"/>
      <c r="Q657" s="63"/>
      <c r="R657" s="48"/>
      <c r="S657" s="48" t="s">
        <v>489</v>
      </c>
      <c r="T657" s="48" t="s">
        <v>489</v>
      </c>
      <c r="U657" s="48" t="s">
        <v>489</v>
      </c>
      <c r="V657" s="48" t="s">
        <v>489</v>
      </c>
      <c r="W657" s="48"/>
      <c r="X657" s="48"/>
      <c r="Y657" s="879"/>
      <c r="Z657" s="879"/>
    </row>
    <row r="658" spans="1:29" ht="32.25" customHeight="1">
      <c r="A658" s="13"/>
      <c r="B658" s="840" t="s">
        <v>1143</v>
      </c>
      <c r="C658" s="659">
        <v>176</v>
      </c>
      <c r="D658" s="102" t="s">
        <v>487</v>
      </c>
      <c r="E658" s="102" t="s">
        <v>488</v>
      </c>
      <c r="F658" s="659">
        <v>6100502830</v>
      </c>
      <c r="G658" s="659">
        <v>244</v>
      </c>
      <c r="H658" s="6">
        <f t="shared" ref="H658:X658" si="154">H659</f>
        <v>9500</v>
      </c>
      <c r="I658" s="6">
        <f t="shared" si="154"/>
        <v>0</v>
      </c>
      <c r="J658" s="6">
        <f t="shared" si="154"/>
        <v>0</v>
      </c>
      <c r="K658" s="6">
        <f t="shared" si="154"/>
        <v>5000</v>
      </c>
      <c r="L658" s="6">
        <f t="shared" si="154"/>
        <v>4500</v>
      </c>
      <c r="M658" s="63">
        <f t="shared" si="154"/>
        <v>10000</v>
      </c>
      <c r="N658" s="63"/>
      <c r="O658" s="63">
        <f t="shared" si="154"/>
        <v>5000</v>
      </c>
      <c r="P658" s="63"/>
      <c r="Q658" s="63">
        <f t="shared" si="154"/>
        <v>5000</v>
      </c>
      <c r="R658" s="63">
        <f t="shared" si="154"/>
        <v>20000</v>
      </c>
      <c r="S658" s="63">
        <f t="shared" si="154"/>
        <v>0</v>
      </c>
      <c r="T658" s="63">
        <f t="shared" si="154"/>
        <v>8000</v>
      </c>
      <c r="U658" s="63">
        <f t="shared" si="154"/>
        <v>6000</v>
      </c>
      <c r="V658" s="63">
        <f t="shared" si="154"/>
        <v>6000</v>
      </c>
      <c r="W658" s="63">
        <f t="shared" si="154"/>
        <v>20000</v>
      </c>
      <c r="X658" s="63">
        <f t="shared" si="154"/>
        <v>20000</v>
      </c>
      <c r="Y658" s="34"/>
      <c r="Z658" s="879"/>
    </row>
    <row r="659" spans="1:29" ht="27.75" customHeight="1">
      <c r="A659" s="13"/>
      <c r="B659" s="826" t="s">
        <v>10</v>
      </c>
      <c r="C659" s="659">
        <v>176</v>
      </c>
      <c r="D659" s="102" t="s">
        <v>487</v>
      </c>
      <c r="E659" s="102" t="s">
        <v>488</v>
      </c>
      <c r="F659" s="659">
        <v>6100502830</v>
      </c>
      <c r="G659" s="659">
        <v>244</v>
      </c>
      <c r="H659" s="6">
        <f>SUM(I659:L659)</f>
        <v>9500</v>
      </c>
      <c r="I659" s="6">
        <v>0</v>
      </c>
      <c r="J659" s="6">
        <v>0</v>
      </c>
      <c r="K659" s="6">
        <v>5000</v>
      </c>
      <c r="L659" s="6">
        <f>5000-500</f>
        <v>4500</v>
      </c>
      <c r="M659" s="63">
        <v>10000</v>
      </c>
      <c r="N659" s="63"/>
      <c r="O659" s="63">
        <v>5000</v>
      </c>
      <c r="P659" s="63"/>
      <c r="Q659" s="63">
        <v>5000</v>
      </c>
      <c r="R659" s="48">
        <v>20000</v>
      </c>
      <c r="S659" s="48">
        <v>0</v>
      </c>
      <c r="T659" s="48">
        <v>8000</v>
      </c>
      <c r="U659" s="48">
        <v>6000</v>
      </c>
      <c r="V659" s="48">
        <v>6000</v>
      </c>
      <c r="W659" s="48">
        <v>20000</v>
      </c>
      <c r="X659" s="48">
        <v>20000</v>
      </c>
      <c r="Y659" s="34"/>
      <c r="Z659" s="879"/>
    </row>
    <row r="660" spans="1:29" ht="28.5" customHeight="1">
      <c r="A660" s="13"/>
      <c r="B660" s="826" t="s">
        <v>436</v>
      </c>
      <c r="C660" s="33">
        <v>0</v>
      </c>
      <c r="D660" s="33">
        <v>0</v>
      </c>
      <c r="E660" s="33">
        <v>0</v>
      </c>
      <c r="F660" s="33">
        <v>0</v>
      </c>
      <c r="G660" s="33">
        <v>0</v>
      </c>
      <c r="H660" s="6">
        <v>0</v>
      </c>
      <c r="I660" s="6">
        <v>0</v>
      </c>
      <c r="J660" s="6">
        <v>0</v>
      </c>
      <c r="K660" s="6">
        <v>0</v>
      </c>
      <c r="L660" s="6">
        <v>0</v>
      </c>
      <c r="M660" s="63"/>
      <c r="N660" s="63"/>
      <c r="O660" s="63"/>
      <c r="P660" s="63"/>
      <c r="Q660" s="63"/>
      <c r="R660" s="48"/>
      <c r="S660" s="48"/>
      <c r="T660" s="48"/>
      <c r="U660" s="48"/>
      <c r="V660" s="48"/>
      <c r="W660" s="48"/>
      <c r="X660" s="48"/>
      <c r="Y660" s="34"/>
      <c r="Z660" s="879"/>
    </row>
    <row r="661" spans="1:29" ht="24" customHeight="1">
      <c r="A661" s="13"/>
      <c r="B661" s="826" t="s">
        <v>11</v>
      </c>
      <c r="C661" s="33">
        <v>0</v>
      </c>
      <c r="D661" s="33">
        <v>0</v>
      </c>
      <c r="E661" s="33">
        <v>0</v>
      </c>
      <c r="F661" s="33">
        <v>0</v>
      </c>
      <c r="G661" s="33">
        <v>0</v>
      </c>
      <c r="H661" s="6">
        <v>0</v>
      </c>
      <c r="I661" s="6">
        <v>0</v>
      </c>
      <c r="J661" s="6">
        <v>0</v>
      </c>
      <c r="K661" s="6">
        <v>0</v>
      </c>
      <c r="L661" s="6">
        <v>0</v>
      </c>
      <c r="M661" s="63"/>
      <c r="N661" s="63"/>
      <c r="O661" s="63"/>
      <c r="P661" s="63"/>
      <c r="Q661" s="63"/>
      <c r="R661" s="48"/>
      <c r="S661" s="48"/>
      <c r="T661" s="48"/>
      <c r="U661" s="48"/>
      <c r="V661" s="48"/>
      <c r="W661" s="48"/>
      <c r="X661" s="48"/>
      <c r="Y661" s="34"/>
      <c r="Z661" s="879"/>
    </row>
    <row r="662" spans="1:29" ht="24" customHeight="1">
      <c r="A662" s="13"/>
      <c r="B662" s="826" t="s">
        <v>447</v>
      </c>
      <c r="C662" s="33"/>
      <c r="D662" s="33"/>
      <c r="E662" s="33"/>
      <c r="F662" s="33"/>
      <c r="G662" s="33"/>
      <c r="H662" s="6"/>
      <c r="I662" s="6"/>
      <c r="J662" s="6"/>
      <c r="K662" s="6"/>
      <c r="L662" s="6"/>
      <c r="M662" s="63"/>
      <c r="N662" s="63"/>
      <c r="O662" s="63"/>
      <c r="P662" s="63"/>
      <c r="Q662" s="63"/>
      <c r="R662" s="48"/>
      <c r="S662" s="48"/>
      <c r="T662" s="48"/>
      <c r="U662" s="48"/>
      <c r="V662" s="48"/>
      <c r="W662" s="48"/>
      <c r="X662" s="48"/>
      <c r="Y662" s="34"/>
      <c r="Z662" s="879"/>
    </row>
    <row r="663" spans="1:29" ht="19.5" customHeight="1">
      <c r="A663" s="14"/>
      <c r="B663" s="826" t="s">
        <v>1010</v>
      </c>
      <c r="C663" s="33">
        <v>0</v>
      </c>
      <c r="D663" s="33">
        <v>0</v>
      </c>
      <c r="E663" s="33">
        <v>0</v>
      </c>
      <c r="F663" s="33">
        <v>0</v>
      </c>
      <c r="G663" s="33">
        <v>0</v>
      </c>
      <c r="H663" s="6">
        <v>0</v>
      </c>
      <c r="I663" s="6">
        <v>0</v>
      </c>
      <c r="J663" s="6">
        <v>0</v>
      </c>
      <c r="K663" s="6">
        <v>0</v>
      </c>
      <c r="L663" s="6">
        <v>0</v>
      </c>
      <c r="M663" s="63"/>
      <c r="N663" s="63"/>
      <c r="O663" s="63"/>
      <c r="P663" s="63"/>
      <c r="Q663" s="63"/>
      <c r="R663" s="48"/>
      <c r="S663" s="48"/>
      <c r="T663" s="48"/>
      <c r="U663" s="48"/>
      <c r="V663" s="48"/>
      <c r="W663" s="48"/>
      <c r="X663" s="48"/>
      <c r="Y663" s="35"/>
      <c r="Z663" s="880"/>
    </row>
    <row r="664" spans="1:29" ht="33.75" customHeight="1">
      <c r="A664" s="898" t="s">
        <v>1038</v>
      </c>
      <c r="B664" s="826" t="s">
        <v>1144</v>
      </c>
      <c r="C664" s="659">
        <v>176</v>
      </c>
      <c r="D664" s="102" t="s">
        <v>487</v>
      </c>
      <c r="E664" s="102" t="s">
        <v>488</v>
      </c>
      <c r="F664" s="659" t="s">
        <v>539</v>
      </c>
      <c r="G664" s="659" t="s">
        <v>28</v>
      </c>
      <c r="H664" s="6" t="e">
        <f t="shared" ref="H664:Q664" si="155">SUM(H665:H677)</f>
        <v>#REF!</v>
      </c>
      <c r="I664" s="6" t="e">
        <f t="shared" si="155"/>
        <v>#REF!</v>
      </c>
      <c r="J664" s="6" t="e">
        <f t="shared" si="155"/>
        <v>#REF!</v>
      </c>
      <c r="K664" s="6" t="e">
        <f t="shared" si="155"/>
        <v>#REF!</v>
      </c>
      <c r="L664" s="6" t="e">
        <f t="shared" si="155"/>
        <v>#REF!</v>
      </c>
      <c r="M664" s="63" t="e">
        <f t="shared" si="155"/>
        <v>#REF!</v>
      </c>
      <c r="N664" s="63" t="e">
        <f t="shared" si="155"/>
        <v>#REF!</v>
      </c>
      <c r="O664" s="63" t="e">
        <f t="shared" si="155"/>
        <v>#REF!</v>
      </c>
      <c r="P664" s="63" t="e">
        <f t="shared" si="155"/>
        <v>#REF!</v>
      </c>
      <c r="Q664" s="63" t="e">
        <f t="shared" si="155"/>
        <v>#REF!</v>
      </c>
      <c r="R664" s="63">
        <f>R665+R671+R675+R677</f>
        <v>7405781.3315789485</v>
      </c>
      <c r="S664" s="63">
        <f t="shared" ref="S664:X664" si="156">S665+S671+S675+S677</f>
        <v>1121572.8809863159</v>
      </c>
      <c r="T664" s="63">
        <f t="shared" si="156"/>
        <v>1215677.5754236842</v>
      </c>
      <c r="U664" s="63">
        <f t="shared" si="156"/>
        <v>1245739.980046842</v>
      </c>
      <c r="V664" s="63">
        <f t="shared" si="156"/>
        <v>3822790.8951221057</v>
      </c>
      <c r="W664" s="63">
        <f t="shared" si="156"/>
        <v>7317144.1736842105</v>
      </c>
      <c r="X664" s="63">
        <f t="shared" si="156"/>
        <v>10294481.052631577</v>
      </c>
      <c r="Y664" s="808"/>
      <c r="Z664" s="808"/>
    </row>
    <row r="665" spans="1:29" ht="36.75" customHeight="1">
      <c r="A665" s="899"/>
      <c r="B665" s="826" t="s">
        <v>554</v>
      </c>
      <c r="C665" s="659">
        <v>176</v>
      </c>
      <c r="D665" s="102" t="s">
        <v>487</v>
      </c>
      <c r="E665" s="102" t="s">
        <v>488</v>
      </c>
      <c r="F665" s="659" t="s">
        <v>539</v>
      </c>
      <c r="G665" s="659" t="s">
        <v>28</v>
      </c>
      <c r="H665" s="6" t="e">
        <f>H260+#REF!+H659</f>
        <v>#REF!</v>
      </c>
      <c r="I665" s="6" t="e">
        <f>I260+#REF!+I659</f>
        <v>#REF!</v>
      </c>
      <c r="J665" s="6" t="e">
        <f>J260+#REF!+J659</f>
        <v>#REF!</v>
      </c>
      <c r="K665" s="6" t="e">
        <f>K260+#REF!+K659</f>
        <v>#REF!</v>
      </c>
      <c r="L665" s="6" t="e">
        <f>L260+#REF!+L659</f>
        <v>#REF!</v>
      </c>
      <c r="M665" s="63" t="e">
        <f>M260+#REF!+M659</f>
        <v>#REF!</v>
      </c>
      <c r="N665" s="63" t="e">
        <f>N260+#REF!+N659</f>
        <v>#REF!</v>
      </c>
      <c r="O665" s="63" t="e">
        <f>O260+#REF!+O659</f>
        <v>#REF!</v>
      </c>
      <c r="P665" s="63" t="e">
        <f>P260+#REF!+P659</f>
        <v>#REF!</v>
      </c>
      <c r="Q665" s="63" t="e">
        <f>Q260+#REF!+Q659</f>
        <v>#REF!</v>
      </c>
      <c r="R665" s="63">
        <f>R666+R667+R668+R669+R670</f>
        <v>7322412.5000000009</v>
      </c>
      <c r="S665" s="63">
        <f t="shared" ref="S665:X665" si="157">S666+S667+S668+S669+S670</f>
        <v>1115430.54046</v>
      </c>
      <c r="T665" s="63">
        <f t="shared" si="157"/>
        <v>1204945.5259499999</v>
      </c>
      <c r="U665" s="63">
        <f t="shared" si="157"/>
        <v>1232077.4453099999</v>
      </c>
      <c r="V665" s="63">
        <f t="shared" si="157"/>
        <v>3769958.9882800006</v>
      </c>
      <c r="W665" s="63">
        <f t="shared" si="157"/>
        <v>7176053.2000000002</v>
      </c>
      <c r="X665" s="63">
        <f t="shared" si="157"/>
        <v>10136192.199999999</v>
      </c>
      <c r="Y665" s="808"/>
      <c r="Z665" s="808"/>
      <c r="AA665" s="278"/>
      <c r="AB665" s="71"/>
      <c r="AC665" s="71">
        <f>X665-3000</f>
        <v>10133192.199999999</v>
      </c>
    </row>
    <row r="666" spans="1:29" ht="30" hidden="1" customHeight="1">
      <c r="A666" s="899"/>
      <c r="B666" s="826" t="s">
        <v>641</v>
      </c>
      <c r="C666" s="659">
        <v>176</v>
      </c>
      <c r="D666" s="102" t="s">
        <v>487</v>
      </c>
      <c r="E666" s="102" t="s">
        <v>488</v>
      </c>
      <c r="F666" s="659" t="s">
        <v>640</v>
      </c>
      <c r="G666" s="659" t="s">
        <v>638</v>
      </c>
      <c r="H666" s="6"/>
      <c r="I666" s="6"/>
      <c r="J666" s="6"/>
      <c r="K666" s="6"/>
      <c r="L666" s="6"/>
      <c r="M666" s="63"/>
      <c r="N666" s="63"/>
      <c r="O666" s="63"/>
      <c r="P666" s="63"/>
      <c r="Q666" s="63"/>
      <c r="R666" s="63">
        <v>0</v>
      </c>
      <c r="S666" s="63">
        <v>0</v>
      </c>
      <c r="T666" s="63">
        <f>'Подробный перечень(БКАД)'!$I$774+'Подробный перечень(БКАД)'!$I$449</f>
        <v>0</v>
      </c>
      <c r="U666" s="63">
        <v>0</v>
      </c>
      <c r="V666" s="63">
        <v>0</v>
      </c>
      <c r="W666" s="63">
        <v>0</v>
      </c>
      <c r="X666" s="63">
        <v>0</v>
      </c>
      <c r="Y666" s="808"/>
      <c r="Z666" s="808"/>
      <c r="AA666" s="278"/>
      <c r="AB666" s="71"/>
      <c r="AC666" s="71"/>
    </row>
    <row r="667" spans="1:29" ht="30" hidden="1" customHeight="1">
      <c r="A667" s="899"/>
      <c r="B667" s="826" t="s">
        <v>650</v>
      </c>
      <c r="C667" s="659">
        <v>176</v>
      </c>
      <c r="D667" s="102" t="s">
        <v>487</v>
      </c>
      <c r="E667" s="102" t="s">
        <v>488</v>
      </c>
      <c r="F667" s="659" t="s">
        <v>639</v>
      </c>
      <c r="G667" s="659" t="s">
        <v>453</v>
      </c>
      <c r="H667" s="6"/>
      <c r="I667" s="6"/>
      <c r="J667" s="6"/>
      <c r="K667" s="6"/>
      <c r="L667" s="6"/>
      <c r="M667" s="63"/>
      <c r="N667" s="63"/>
      <c r="O667" s="63"/>
      <c r="P667" s="63"/>
      <c r="Q667" s="63"/>
      <c r="R667" s="63">
        <v>0</v>
      </c>
      <c r="S667" s="63">
        <f>'Подробный перечень(БКАД)'!$H$1164</f>
        <v>0</v>
      </c>
      <c r="T667" s="63">
        <f>'Подробный перечень(БКАД)'!$I$1169</f>
        <v>0</v>
      </c>
      <c r="U667" s="63">
        <f>'Подробный перечень(БКАД)'!$J$1164</f>
        <v>0</v>
      </c>
      <c r="V667" s="63">
        <v>0</v>
      </c>
      <c r="W667" s="63">
        <v>0</v>
      </c>
      <c r="X667" s="63">
        <v>0</v>
      </c>
      <c r="Y667" s="808"/>
      <c r="Z667" s="808"/>
      <c r="AA667" s="278"/>
      <c r="AB667" s="71"/>
      <c r="AC667" s="71"/>
    </row>
    <row r="668" spans="1:29" ht="30" customHeight="1">
      <c r="A668" s="899"/>
      <c r="B668" s="826" t="s">
        <v>10</v>
      </c>
      <c r="C668" s="659">
        <v>176</v>
      </c>
      <c r="D668" s="102" t="s">
        <v>487</v>
      </c>
      <c r="E668" s="102" t="s">
        <v>488</v>
      </c>
      <c r="F668" s="659">
        <v>6100470760</v>
      </c>
      <c r="G668" s="659" t="s">
        <v>453</v>
      </c>
      <c r="H668" s="6"/>
      <c r="I668" s="6"/>
      <c r="J668" s="6"/>
      <c r="K668" s="6"/>
      <c r="L668" s="6"/>
      <c r="M668" s="63"/>
      <c r="N668" s="63"/>
      <c r="O668" s="63"/>
      <c r="P668" s="63"/>
      <c r="Q668" s="63"/>
      <c r="R668" s="63">
        <f t="shared" ref="R668:X668" si="158">R569</f>
        <v>1584007.8000000005</v>
      </c>
      <c r="S668" s="63">
        <f t="shared" si="158"/>
        <v>116704.47</v>
      </c>
      <c r="T668" s="63">
        <f t="shared" si="158"/>
        <v>203908.94000000003</v>
      </c>
      <c r="U668" s="63">
        <f t="shared" si="158"/>
        <v>259588.15999999995</v>
      </c>
      <c r="V668" s="63">
        <f t="shared" si="158"/>
        <v>1003806.23</v>
      </c>
      <c r="W668" s="63">
        <f t="shared" si="158"/>
        <v>2680728.5</v>
      </c>
      <c r="X668" s="63">
        <f t="shared" si="158"/>
        <v>3007488.1999999997</v>
      </c>
      <c r="Y668" s="808"/>
      <c r="Z668" s="808"/>
      <c r="AA668" s="278"/>
      <c r="AB668" s="71"/>
      <c r="AC668" s="71"/>
    </row>
    <row r="669" spans="1:29" ht="30" customHeight="1">
      <c r="A669" s="899"/>
      <c r="B669" s="826" t="s">
        <v>10</v>
      </c>
      <c r="C669" s="659">
        <v>176</v>
      </c>
      <c r="D669" s="102" t="s">
        <v>487</v>
      </c>
      <c r="E669" s="102" t="s">
        <v>488</v>
      </c>
      <c r="F669" s="659">
        <v>6100502830</v>
      </c>
      <c r="G669" s="659">
        <v>244</v>
      </c>
      <c r="H669" s="6"/>
      <c r="I669" s="6"/>
      <c r="J669" s="6"/>
      <c r="K669" s="6"/>
      <c r="L669" s="6"/>
      <c r="M669" s="63"/>
      <c r="N669" s="63"/>
      <c r="O669" s="63"/>
      <c r="P669" s="63"/>
      <c r="Q669" s="63"/>
      <c r="R669" s="63">
        <f t="shared" ref="R669:X669" si="159">R659</f>
        <v>20000</v>
      </c>
      <c r="S669" s="63">
        <f t="shared" si="159"/>
        <v>0</v>
      </c>
      <c r="T669" s="63">
        <f t="shared" si="159"/>
        <v>8000</v>
      </c>
      <c r="U669" s="63">
        <f t="shared" si="159"/>
        <v>6000</v>
      </c>
      <c r="V669" s="63">
        <f t="shared" si="159"/>
        <v>6000</v>
      </c>
      <c r="W669" s="63">
        <f t="shared" si="159"/>
        <v>20000</v>
      </c>
      <c r="X669" s="63">
        <f t="shared" si="159"/>
        <v>20000</v>
      </c>
      <c r="Y669" s="808"/>
      <c r="Z669" s="808"/>
      <c r="AA669" s="278"/>
      <c r="AB669" s="71"/>
      <c r="AC669" s="71"/>
    </row>
    <row r="670" spans="1:29" ht="30" customHeight="1">
      <c r="A670" s="899"/>
      <c r="B670" s="826" t="s">
        <v>10</v>
      </c>
      <c r="C670" s="659">
        <v>176</v>
      </c>
      <c r="D670" s="102" t="s">
        <v>487</v>
      </c>
      <c r="E670" s="102" t="s">
        <v>488</v>
      </c>
      <c r="F670" s="659">
        <v>6100302810</v>
      </c>
      <c r="G670" s="659" t="s">
        <v>638</v>
      </c>
      <c r="H670" s="6"/>
      <c r="I670" s="6"/>
      <c r="J670" s="6"/>
      <c r="K670" s="6"/>
      <c r="L670" s="6"/>
      <c r="M670" s="63"/>
      <c r="N670" s="63"/>
      <c r="O670" s="63"/>
      <c r="P670" s="63"/>
      <c r="Q670" s="63"/>
      <c r="R670" s="63">
        <f t="shared" ref="R670:X671" si="160">R260</f>
        <v>5718404.7000000002</v>
      </c>
      <c r="S670" s="63">
        <f t="shared" si="160"/>
        <v>998726.07045999996</v>
      </c>
      <c r="T670" s="63">
        <f t="shared" si="160"/>
        <v>993036.58594999998</v>
      </c>
      <c r="U670" s="63">
        <f t="shared" si="160"/>
        <v>966489.28530999995</v>
      </c>
      <c r="V670" s="63">
        <f t="shared" si="160"/>
        <v>2760152.7582800006</v>
      </c>
      <c r="W670" s="63">
        <f t="shared" si="160"/>
        <v>4475324.7</v>
      </c>
      <c r="X670" s="63">
        <f t="shared" si="160"/>
        <v>7108704</v>
      </c>
      <c r="Y670" s="808"/>
      <c r="Z670" s="808"/>
      <c r="AA670" s="278"/>
      <c r="AB670" s="71"/>
      <c r="AC670" s="71"/>
    </row>
    <row r="671" spans="1:29" ht="34.5" customHeight="1">
      <c r="A671" s="899"/>
      <c r="B671" s="473" t="s">
        <v>495</v>
      </c>
      <c r="C671" s="659">
        <v>176</v>
      </c>
      <c r="D671" s="102" t="s">
        <v>487</v>
      </c>
      <c r="E671" s="102" t="s">
        <v>488</v>
      </c>
      <c r="F671" s="659">
        <v>6100353902</v>
      </c>
      <c r="G671" s="659" t="s">
        <v>638</v>
      </c>
      <c r="H671" s="6">
        <f>H261</f>
        <v>45736.5</v>
      </c>
      <c r="I671" s="6">
        <f>I261</f>
        <v>0</v>
      </c>
      <c r="J671" s="6" t="e">
        <f>J261</f>
        <v>#REF!</v>
      </c>
      <c r="K671" s="6" t="e">
        <f>K261</f>
        <v>#REF!</v>
      </c>
      <c r="L671" s="6">
        <f>L261</f>
        <v>0</v>
      </c>
      <c r="M671" s="63"/>
      <c r="N671" s="63"/>
      <c r="O671" s="63"/>
      <c r="P671" s="63"/>
      <c r="Q671" s="63"/>
      <c r="R671" s="63">
        <f t="shared" si="160"/>
        <v>0</v>
      </c>
      <c r="S671" s="63">
        <f t="shared" si="160"/>
        <v>0</v>
      </c>
      <c r="T671" s="63">
        <f t="shared" si="160"/>
        <v>0</v>
      </c>
      <c r="U671" s="63">
        <f t="shared" si="160"/>
        <v>0</v>
      </c>
      <c r="V671" s="63">
        <f t="shared" si="160"/>
        <v>0</v>
      </c>
      <c r="W671" s="63">
        <f t="shared" si="160"/>
        <v>0</v>
      </c>
      <c r="X671" s="63">
        <f t="shared" si="160"/>
        <v>0</v>
      </c>
      <c r="Y671" s="808"/>
      <c r="Z671" s="808"/>
    </row>
    <row r="672" spans="1:29" ht="34.5" hidden="1" customHeight="1">
      <c r="A672" s="899"/>
      <c r="B672" s="826" t="s">
        <v>649</v>
      </c>
      <c r="C672" s="659">
        <v>176</v>
      </c>
      <c r="D672" s="102" t="s">
        <v>487</v>
      </c>
      <c r="E672" s="102" t="s">
        <v>488</v>
      </c>
      <c r="F672" s="659" t="s">
        <v>640</v>
      </c>
      <c r="G672" s="659" t="s">
        <v>638</v>
      </c>
      <c r="H672" s="6"/>
      <c r="I672" s="6"/>
      <c r="J672" s="6"/>
      <c r="K672" s="6"/>
      <c r="L672" s="6"/>
      <c r="M672" s="63"/>
      <c r="N672" s="63"/>
      <c r="O672" s="63"/>
      <c r="P672" s="63"/>
      <c r="Q672" s="63"/>
      <c r="R672" s="63">
        <v>0</v>
      </c>
      <c r="S672" s="63">
        <f>'Подробный перечень(БКАД)'!$H$775+'Подробный перечень(БКАД)'!$H$450</f>
        <v>0</v>
      </c>
      <c r="T672" s="63">
        <f>'Подробный перечень(БКАД)'!$I$450+'Подробный перечень(БКАД)'!$I$775</f>
        <v>0</v>
      </c>
      <c r="U672" s="63">
        <v>0</v>
      </c>
      <c r="V672" s="63">
        <v>0</v>
      </c>
      <c r="W672" s="63">
        <v>0</v>
      </c>
      <c r="X672" s="63">
        <v>0</v>
      </c>
      <c r="Y672" s="808"/>
      <c r="Z672" s="808"/>
    </row>
    <row r="673" spans="1:26" ht="34.5" hidden="1" customHeight="1">
      <c r="A673" s="899"/>
      <c r="B673" s="826" t="s">
        <v>642</v>
      </c>
      <c r="C673" s="659">
        <v>176</v>
      </c>
      <c r="D673" s="102" t="s">
        <v>487</v>
      </c>
      <c r="E673" s="102" t="s">
        <v>488</v>
      </c>
      <c r="F673" s="659" t="s">
        <v>639</v>
      </c>
      <c r="G673" s="659" t="s">
        <v>453</v>
      </c>
      <c r="H673" s="6"/>
      <c r="I673" s="6"/>
      <c r="J673" s="6"/>
      <c r="K673" s="6"/>
      <c r="L673" s="6"/>
      <c r="M673" s="63"/>
      <c r="N673" s="63"/>
      <c r="O673" s="63"/>
      <c r="P673" s="63"/>
      <c r="Q673" s="63"/>
      <c r="R673" s="336">
        <v>0</v>
      </c>
      <c r="S673" s="336">
        <f>'Подробный перечень(БКАД)'!$H$1165</f>
        <v>0</v>
      </c>
      <c r="T673" s="336">
        <f>'Подробный перечень(БКАД)'!$I$1165</f>
        <v>0</v>
      </c>
      <c r="U673" s="336">
        <f>'Подробный перечень(БКАД)'!$J$1165</f>
        <v>0</v>
      </c>
      <c r="V673" s="336">
        <v>0</v>
      </c>
      <c r="W673" s="336">
        <v>0</v>
      </c>
      <c r="X673" s="336">
        <v>0</v>
      </c>
      <c r="Y673" s="808"/>
      <c r="Z673" s="808"/>
    </row>
    <row r="674" spans="1:26" ht="34.5" hidden="1" customHeight="1">
      <c r="A674" s="899"/>
      <c r="B674" s="826" t="s">
        <v>436</v>
      </c>
      <c r="C674" s="659">
        <v>176</v>
      </c>
      <c r="D674" s="102" t="s">
        <v>487</v>
      </c>
      <c r="E674" s="102" t="s">
        <v>488</v>
      </c>
      <c r="F674" s="659">
        <v>6100102770</v>
      </c>
      <c r="G674" s="659" t="s">
        <v>28</v>
      </c>
      <c r="H674" s="6"/>
      <c r="I674" s="6"/>
      <c r="J674" s="6"/>
      <c r="K674" s="6"/>
      <c r="L674" s="6"/>
      <c r="M674" s="63"/>
      <c r="N674" s="63"/>
      <c r="O674" s="63"/>
      <c r="P674" s="63"/>
      <c r="Q674" s="63"/>
      <c r="R674" s="63"/>
      <c r="S674" s="63"/>
      <c r="T674" s="63"/>
      <c r="U674" s="63"/>
      <c r="V674" s="63"/>
      <c r="W674" s="63"/>
      <c r="X674" s="63"/>
      <c r="Y674" s="808"/>
      <c r="Z674" s="808"/>
    </row>
    <row r="675" spans="1:26" ht="27.75" customHeight="1">
      <c r="A675" s="899"/>
      <c r="B675" s="826" t="s">
        <v>11</v>
      </c>
      <c r="C675" s="659"/>
      <c r="D675" s="659"/>
      <c r="E675" s="102"/>
      <c r="F675" s="659"/>
      <c r="G675" s="659"/>
      <c r="H675" s="6">
        <f t="shared" ref="H675:X675" si="161">H571</f>
        <v>338311.1</v>
      </c>
      <c r="I675" s="6">
        <f t="shared" si="161"/>
        <v>23511.642</v>
      </c>
      <c r="J675" s="6">
        <f t="shared" si="161"/>
        <v>50374.6</v>
      </c>
      <c r="K675" s="6">
        <f t="shared" si="161"/>
        <v>50374.6</v>
      </c>
      <c r="L675" s="6">
        <f t="shared" si="161"/>
        <v>214050.258</v>
      </c>
      <c r="M675" s="63" t="e">
        <f t="shared" si="161"/>
        <v>#REF!</v>
      </c>
      <c r="N675" s="63" t="e">
        <f t="shared" si="161"/>
        <v>#REF!</v>
      </c>
      <c r="O675" s="63" t="e">
        <f t="shared" si="161"/>
        <v>#REF!</v>
      </c>
      <c r="P675" s="63" t="e">
        <f t="shared" si="161"/>
        <v>#REF!</v>
      </c>
      <c r="Q675" s="63" t="e">
        <f t="shared" si="161"/>
        <v>#REF!</v>
      </c>
      <c r="R675" s="63">
        <f t="shared" si="161"/>
        <v>83368.8315789474</v>
      </c>
      <c r="S675" s="63">
        <f t="shared" si="161"/>
        <v>6142.3405263157902</v>
      </c>
      <c r="T675" s="63">
        <f t="shared" si="161"/>
        <v>10732.049473684214</v>
      </c>
      <c r="U675" s="63">
        <f t="shared" si="161"/>
        <v>13662.534736842104</v>
      </c>
      <c r="V675" s="63">
        <f t="shared" si="161"/>
        <v>52831.906842105265</v>
      </c>
      <c r="W675" s="63">
        <f t="shared" si="161"/>
        <v>141090.97368421053</v>
      </c>
      <c r="X675" s="63">
        <f t="shared" si="161"/>
        <v>158288.85263157895</v>
      </c>
      <c r="Y675" s="808"/>
      <c r="Z675" s="808"/>
    </row>
    <row r="676" spans="1:26" ht="36.75" customHeight="1">
      <c r="A676" s="899"/>
      <c r="B676" s="826" t="s">
        <v>447</v>
      </c>
      <c r="C676" s="659"/>
      <c r="D676" s="659"/>
      <c r="E676" s="102"/>
      <c r="F676" s="659"/>
      <c r="G676" s="659"/>
      <c r="H676" s="6"/>
      <c r="I676" s="6"/>
      <c r="J676" s="6"/>
      <c r="K676" s="6"/>
      <c r="L676" s="6"/>
      <c r="M676" s="63"/>
      <c r="N676" s="63"/>
      <c r="O676" s="63"/>
      <c r="P676" s="63"/>
      <c r="Q676" s="63"/>
      <c r="R676" s="63"/>
      <c r="S676" s="63"/>
      <c r="T676" s="63"/>
      <c r="U676" s="63"/>
      <c r="V676" s="63"/>
      <c r="W676" s="63"/>
      <c r="X676" s="63"/>
      <c r="Y676" s="808"/>
      <c r="Z676" s="808"/>
    </row>
    <row r="677" spans="1:26" ht="24" customHeight="1">
      <c r="A677" s="905"/>
      <c r="B677" s="826" t="s">
        <v>1010</v>
      </c>
      <c r="C677" s="659"/>
      <c r="D677" s="659"/>
      <c r="E677" s="102"/>
      <c r="F677" s="659"/>
      <c r="G677" s="659"/>
      <c r="H677" s="6">
        <v>0</v>
      </c>
      <c r="I677" s="6">
        <v>0</v>
      </c>
      <c r="J677" s="6">
        <v>0</v>
      </c>
      <c r="K677" s="6">
        <v>0</v>
      </c>
      <c r="L677" s="6">
        <v>0</v>
      </c>
      <c r="M677" s="56">
        <v>0</v>
      </c>
      <c r="N677" s="56"/>
      <c r="O677" s="56"/>
      <c r="P677" s="56"/>
      <c r="Q677" s="56"/>
      <c r="R677" s="55">
        <v>0</v>
      </c>
      <c r="S677" s="55"/>
      <c r="T677" s="55"/>
      <c r="U677" s="55"/>
      <c r="V677" s="55"/>
      <c r="W677" s="55"/>
      <c r="X677" s="55"/>
      <c r="Y677" s="808"/>
      <c r="Z677" s="808"/>
    </row>
    <row r="678" spans="1:26" hidden="1">
      <c r="A678" s="15"/>
      <c r="B678" s="535"/>
      <c r="C678" s="808"/>
      <c r="D678" s="808"/>
      <c r="E678" s="808"/>
      <c r="F678" s="808"/>
      <c r="G678" s="808"/>
      <c r="H678" s="1"/>
      <c r="I678" s="1"/>
      <c r="J678" s="1"/>
      <c r="K678" s="1"/>
      <c r="L678" s="1"/>
      <c r="M678" s="1"/>
      <c r="N678" s="1"/>
      <c r="O678" s="1"/>
      <c r="P678" s="1"/>
      <c r="Q678" s="1"/>
      <c r="R678" s="24"/>
      <c r="S678" s="24"/>
      <c r="T678" s="24"/>
      <c r="U678" s="24"/>
      <c r="V678" s="24"/>
      <c r="W678" s="24"/>
      <c r="X678" s="24"/>
      <c r="Y678" s="808"/>
      <c r="Z678" s="808"/>
    </row>
    <row r="679" spans="1:26" ht="28.15" hidden="1" customHeight="1">
      <c r="A679" s="900" t="s">
        <v>81</v>
      </c>
      <c r="B679" s="901"/>
      <c r="C679" s="901"/>
      <c r="D679" s="901"/>
      <c r="E679" s="901"/>
      <c r="F679" s="901"/>
      <c r="G679" s="901"/>
      <c r="H679" s="901"/>
      <c r="I679" s="901"/>
      <c r="J679" s="901"/>
      <c r="K679" s="901"/>
      <c r="L679" s="901"/>
      <c r="M679" s="901"/>
      <c r="N679" s="901"/>
      <c r="O679" s="901"/>
      <c r="P679" s="901"/>
      <c r="Q679" s="901"/>
      <c r="R679" s="901"/>
      <c r="S679" s="901"/>
      <c r="T679" s="901"/>
      <c r="U679" s="901"/>
      <c r="V679" s="901"/>
      <c r="W679" s="901"/>
      <c r="X679" s="901"/>
      <c r="Y679" s="901"/>
      <c r="Z679" s="902"/>
    </row>
    <row r="680" spans="1:26" ht="75.599999999999994" hidden="1" customHeight="1">
      <c r="A680" s="39" t="s">
        <v>82</v>
      </c>
      <c r="B680" s="535"/>
      <c r="C680" s="808"/>
      <c r="D680" s="808"/>
      <c r="E680" s="808"/>
      <c r="F680" s="808"/>
      <c r="G680" s="808"/>
      <c r="H680" s="1"/>
      <c r="I680" s="1"/>
      <c r="J680" s="1"/>
      <c r="K680" s="1"/>
      <c r="L680" s="1"/>
      <c r="M680" s="1"/>
      <c r="N680" s="1"/>
      <c r="O680" s="1"/>
      <c r="P680" s="1"/>
      <c r="Q680" s="1"/>
      <c r="R680" s="24"/>
      <c r="S680" s="24"/>
      <c r="T680" s="24"/>
      <c r="U680" s="24"/>
      <c r="V680" s="24"/>
      <c r="W680" s="24"/>
      <c r="X680" s="24"/>
      <c r="Y680" s="808" t="s">
        <v>88</v>
      </c>
      <c r="Z680" s="808"/>
    </row>
    <row r="681" spans="1:26" ht="26.45" hidden="1" customHeight="1">
      <c r="A681" s="895" t="s">
        <v>83</v>
      </c>
      <c r="B681" s="535" t="s">
        <v>89</v>
      </c>
      <c r="C681" s="808"/>
      <c r="D681" s="808"/>
      <c r="E681" s="808"/>
      <c r="F681" s="808"/>
      <c r="G681" s="808"/>
      <c r="H681" s="1"/>
      <c r="I681" s="1"/>
      <c r="J681" s="1"/>
      <c r="K681" s="1"/>
      <c r="L681" s="1"/>
      <c r="M681" s="1"/>
      <c r="N681" s="1"/>
      <c r="O681" s="1"/>
      <c r="P681" s="1"/>
      <c r="Q681" s="1"/>
      <c r="R681" s="24">
        <v>18</v>
      </c>
      <c r="S681" s="24"/>
      <c r="T681" s="24"/>
      <c r="U681" s="24"/>
      <c r="V681" s="24"/>
      <c r="W681" s="24"/>
      <c r="X681" s="24"/>
      <c r="Y681" s="808"/>
      <c r="Z681" s="896" t="s">
        <v>84</v>
      </c>
    </row>
    <row r="682" spans="1:26" ht="25.5" hidden="1">
      <c r="A682" s="895"/>
      <c r="B682" s="535" t="s">
        <v>24</v>
      </c>
      <c r="C682" s="808"/>
      <c r="D682" s="808"/>
      <c r="E682" s="808"/>
      <c r="F682" s="808"/>
      <c r="G682" s="808"/>
      <c r="H682" s="1"/>
      <c r="I682" s="1"/>
      <c r="J682" s="1"/>
      <c r="K682" s="1"/>
      <c r="L682" s="1"/>
      <c r="M682" s="1"/>
      <c r="N682" s="1"/>
      <c r="O682" s="1"/>
      <c r="P682" s="1"/>
      <c r="Q682" s="1"/>
      <c r="R682" s="24"/>
      <c r="S682" s="24"/>
      <c r="T682" s="24"/>
      <c r="U682" s="24"/>
      <c r="V682" s="24"/>
      <c r="W682" s="24"/>
      <c r="X682" s="24"/>
      <c r="Y682" s="808"/>
      <c r="Z682" s="896"/>
    </row>
    <row r="683" spans="1:26" hidden="1">
      <c r="A683" s="895"/>
      <c r="B683" s="535" t="s">
        <v>25</v>
      </c>
      <c r="C683" s="808">
        <v>176</v>
      </c>
      <c r="D683" s="808" t="s">
        <v>15</v>
      </c>
      <c r="E683" s="808" t="s">
        <v>15</v>
      </c>
      <c r="F683" s="808">
        <v>6100404</v>
      </c>
      <c r="G683" s="808">
        <v>414</v>
      </c>
      <c r="H683" s="2">
        <f>SUM(H685:H688)</f>
        <v>8282000</v>
      </c>
      <c r="I683" s="2"/>
      <c r="J683" s="2"/>
      <c r="K683" s="2"/>
      <c r="L683" s="2"/>
      <c r="M683" s="2">
        <f>SUM(M685:M688)</f>
        <v>8282000</v>
      </c>
      <c r="N683" s="2"/>
      <c r="O683" s="2"/>
      <c r="P683" s="2"/>
      <c r="Q683" s="2"/>
      <c r="R683" s="2">
        <f>SUM(R685:R688)</f>
        <v>8282000</v>
      </c>
      <c r="S683" s="2"/>
      <c r="T683" s="2"/>
      <c r="U683" s="2"/>
      <c r="V683" s="2"/>
      <c r="W683" s="2"/>
      <c r="X683" s="2"/>
      <c r="Y683" s="808"/>
      <c r="Z683" s="896"/>
    </row>
    <row r="684" spans="1:26" hidden="1">
      <c r="A684" s="895"/>
      <c r="B684" s="535" t="s">
        <v>9</v>
      </c>
      <c r="C684" s="808"/>
      <c r="D684" s="808"/>
      <c r="E684" s="808"/>
      <c r="F684" s="808"/>
      <c r="G684" s="808"/>
      <c r="H684" s="2"/>
      <c r="I684" s="2"/>
      <c r="J684" s="2"/>
      <c r="K684" s="2"/>
      <c r="L684" s="2"/>
      <c r="M684" s="2"/>
      <c r="N684" s="2"/>
      <c r="O684" s="2"/>
      <c r="P684" s="2"/>
      <c r="Q684" s="2"/>
      <c r="R684" s="24"/>
      <c r="S684" s="24"/>
      <c r="T684" s="24"/>
      <c r="U684" s="24"/>
      <c r="V684" s="24"/>
      <c r="W684" s="24"/>
      <c r="X684" s="24"/>
      <c r="Y684" s="808"/>
      <c r="Z684" s="896"/>
    </row>
    <row r="685" spans="1:26" hidden="1">
      <c r="A685" s="895"/>
      <c r="B685" s="535" t="s">
        <v>10</v>
      </c>
      <c r="C685" s="808">
        <v>176</v>
      </c>
      <c r="D685" s="808" t="s">
        <v>15</v>
      </c>
      <c r="E685" s="808" t="s">
        <v>15</v>
      </c>
      <c r="F685" s="808">
        <v>6100404</v>
      </c>
      <c r="G685" s="808">
        <v>414</v>
      </c>
      <c r="H685" s="2"/>
      <c r="I685" s="2"/>
      <c r="J685" s="2"/>
      <c r="K685" s="2"/>
      <c r="L685" s="2"/>
      <c r="M685" s="2"/>
      <c r="N685" s="2"/>
      <c r="O685" s="2"/>
      <c r="P685" s="2"/>
      <c r="Q685" s="2"/>
      <c r="R685" s="24"/>
      <c r="S685" s="24"/>
      <c r="T685" s="24"/>
      <c r="U685" s="24"/>
      <c r="V685" s="24"/>
      <c r="W685" s="24"/>
      <c r="X685" s="24"/>
      <c r="Y685" s="808"/>
      <c r="Z685" s="896"/>
    </row>
    <row r="686" spans="1:26" hidden="1">
      <c r="A686" s="895"/>
      <c r="B686" s="535" t="s">
        <v>34</v>
      </c>
      <c r="C686" s="808"/>
      <c r="D686" s="808"/>
      <c r="E686" s="808"/>
      <c r="F686" s="808"/>
      <c r="G686" s="808"/>
      <c r="H686" s="2"/>
      <c r="I686" s="2"/>
      <c r="J686" s="2"/>
      <c r="K686" s="2"/>
      <c r="L686" s="2"/>
      <c r="M686" s="2"/>
      <c r="N686" s="2"/>
      <c r="O686" s="2"/>
      <c r="P686" s="2"/>
      <c r="Q686" s="2"/>
      <c r="R686" s="24"/>
      <c r="S686" s="24"/>
      <c r="T686" s="24"/>
      <c r="U686" s="24"/>
      <c r="V686" s="24"/>
      <c r="W686" s="24"/>
      <c r="X686" s="24"/>
      <c r="Y686" s="808"/>
      <c r="Z686" s="896"/>
    </row>
    <row r="687" spans="1:26" hidden="1">
      <c r="A687" s="895"/>
      <c r="B687" s="535" t="s">
        <v>90</v>
      </c>
      <c r="C687" s="808"/>
      <c r="D687" s="808"/>
      <c r="E687" s="808"/>
      <c r="F687" s="808"/>
      <c r="G687" s="808"/>
      <c r="H687" s="2"/>
      <c r="I687" s="2"/>
      <c r="J687" s="2"/>
      <c r="K687" s="2"/>
      <c r="L687" s="2"/>
      <c r="M687" s="2"/>
      <c r="N687" s="2"/>
      <c r="O687" s="2"/>
      <c r="P687" s="2"/>
      <c r="Q687" s="2"/>
      <c r="R687" s="24"/>
      <c r="S687" s="24"/>
      <c r="T687" s="24"/>
      <c r="U687" s="24"/>
      <c r="V687" s="24"/>
      <c r="W687" s="24"/>
      <c r="X687" s="24"/>
      <c r="Y687" s="808"/>
      <c r="Z687" s="896"/>
    </row>
    <row r="688" spans="1:26" ht="25.5" hidden="1">
      <c r="A688" s="895"/>
      <c r="B688" s="535" t="s">
        <v>80</v>
      </c>
      <c r="C688" s="808"/>
      <c r="D688" s="808"/>
      <c r="E688" s="808"/>
      <c r="F688" s="808"/>
      <c r="G688" s="808"/>
      <c r="H688" s="2">
        <v>8282000</v>
      </c>
      <c r="I688" s="2"/>
      <c r="J688" s="2"/>
      <c r="K688" s="2"/>
      <c r="L688" s="2"/>
      <c r="M688" s="2">
        <v>8282000</v>
      </c>
      <c r="N688" s="2"/>
      <c r="O688" s="2"/>
      <c r="P688" s="2"/>
      <c r="Q688" s="2"/>
      <c r="R688" s="2">
        <v>8282000</v>
      </c>
      <c r="S688" s="2"/>
      <c r="T688" s="2"/>
      <c r="U688" s="2"/>
      <c r="V688" s="2"/>
      <c r="W688" s="2"/>
      <c r="X688" s="2"/>
      <c r="Y688" s="808"/>
      <c r="Z688" s="896"/>
    </row>
    <row r="689" spans="1:26" ht="8.4499999999999993" hidden="1" customHeight="1">
      <c r="A689" s="15"/>
      <c r="B689" s="535"/>
      <c r="C689" s="808"/>
      <c r="D689" s="808"/>
      <c r="E689" s="808"/>
      <c r="F689" s="808"/>
      <c r="G689" s="808"/>
      <c r="H689" s="3"/>
      <c r="I689" s="3"/>
      <c r="J689" s="3"/>
      <c r="K689" s="3"/>
      <c r="L689" s="3"/>
      <c r="M689" s="3"/>
      <c r="N689" s="3"/>
      <c r="O689" s="3"/>
      <c r="P689" s="3"/>
      <c r="Q689" s="3"/>
      <c r="R689" s="24"/>
      <c r="S689" s="24"/>
      <c r="T689" s="24"/>
      <c r="U689" s="24"/>
      <c r="V689" s="24"/>
      <c r="W689" s="24"/>
      <c r="X689" s="24"/>
      <c r="Y689" s="808"/>
      <c r="Z689" s="808"/>
    </row>
    <row r="690" spans="1:26" ht="30" hidden="1" customHeight="1">
      <c r="A690" s="895" t="s">
        <v>85</v>
      </c>
      <c r="B690" s="535" t="s">
        <v>89</v>
      </c>
      <c r="C690" s="808"/>
      <c r="D690" s="808"/>
      <c r="E690" s="808"/>
      <c r="F690" s="808"/>
      <c r="G690" s="808"/>
      <c r="H690" s="3"/>
      <c r="I690" s="3"/>
      <c r="J690" s="3"/>
      <c r="K690" s="3"/>
      <c r="L690" s="3"/>
      <c r="M690" s="3"/>
      <c r="N690" s="3"/>
      <c r="O690" s="3"/>
      <c r="P690" s="3"/>
      <c r="Q690" s="3"/>
      <c r="R690" s="24"/>
      <c r="S690" s="24"/>
      <c r="T690" s="24"/>
      <c r="U690" s="24"/>
      <c r="V690" s="24"/>
      <c r="W690" s="24"/>
      <c r="X690" s="24"/>
      <c r="Y690" s="808" t="s">
        <v>26</v>
      </c>
      <c r="Z690" s="896" t="s">
        <v>87</v>
      </c>
    </row>
    <row r="691" spans="1:26" ht="25.5" hidden="1">
      <c r="A691" s="895"/>
      <c r="B691" s="535" t="s">
        <v>24</v>
      </c>
      <c r="C691" s="808"/>
      <c r="D691" s="808"/>
      <c r="E691" s="808"/>
      <c r="F691" s="808"/>
      <c r="G691" s="808"/>
      <c r="H691" s="3"/>
      <c r="I691" s="3"/>
      <c r="J691" s="3"/>
      <c r="K691" s="3"/>
      <c r="L691" s="3"/>
      <c r="M691" s="3"/>
      <c r="N691" s="3"/>
      <c r="O691" s="3"/>
      <c r="P691" s="3"/>
      <c r="Q691" s="3"/>
      <c r="R691" s="24"/>
      <c r="S691" s="24"/>
      <c r="T691" s="24"/>
      <c r="U691" s="24"/>
      <c r="V691" s="24"/>
      <c r="W691" s="24"/>
      <c r="X691" s="24"/>
      <c r="Y691" s="808"/>
      <c r="Z691" s="896"/>
    </row>
    <row r="692" spans="1:26" hidden="1">
      <c r="A692" s="895"/>
      <c r="B692" s="535" t="s">
        <v>25</v>
      </c>
      <c r="C692" s="808">
        <v>176</v>
      </c>
      <c r="D692" s="808" t="s">
        <v>15</v>
      </c>
      <c r="E692" s="808" t="s">
        <v>15</v>
      </c>
      <c r="F692" s="808">
        <v>6100404</v>
      </c>
      <c r="G692" s="808">
        <v>414</v>
      </c>
      <c r="H692" s="3">
        <f>SUM(H694:H697)</f>
        <v>0</v>
      </c>
      <c r="I692" s="3"/>
      <c r="J692" s="3"/>
      <c r="K692" s="3"/>
      <c r="L692" s="3"/>
      <c r="M692" s="3">
        <f>SUM(M694:M697)</f>
        <v>0</v>
      </c>
      <c r="N692" s="3"/>
      <c r="O692" s="3"/>
      <c r="P692" s="3"/>
      <c r="Q692" s="3"/>
      <c r="R692" s="2">
        <f>SUM(R694:R697)</f>
        <v>41000</v>
      </c>
      <c r="S692" s="2"/>
      <c r="T692" s="2"/>
      <c r="U692" s="2"/>
      <c r="V692" s="2"/>
      <c r="W692" s="2"/>
      <c r="X692" s="2"/>
      <c r="Y692" s="808"/>
      <c r="Z692" s="896"/>
    </row>
    <row r="693" spans="1:26" hidden="1">
      <c r="A693" s="895"/>
      <c r="B693" s="535" t="s">
        <v>9</v>
      </c>
      <c r="C693" s="808"/>
      <c r="D693" s="808"/>
      <c r="E693" s="808"/>
      <c r="F693" s="808"/>
      <c r="G693" s="808"/>
      <c r="H693" s="3"/>
      <c r="I693" s="3"/>
      <c r="J693" s="3"/>
      <c r="K693" s="3"/>
      <c r="L693" s="3"/>
      <c r="M693" s="3"/>
      <c r="N693" s="3"/>
      <c r="O693" s="3"/>
      <c r="P693" s="3"/>
      <c r="Q693" s="3"/>
      <c r="R693" s="24"/>
      <c r="S693" s="24"/>
      <c r="T693" s="24"/>
      <c r="U693" s="24"/>
      <c r="V693" s="24"/>
      <c r="W693" s="24"/>
      <c r="X693" s="24"/>
      <c r="Y693" s="808"/>
      <c r="Z693" s="896"/>
    </row>
    <row r="694" spans="1:26" hidden="1">
      <c r="A694" s="895"/>
      <c r="B694" s="535" t="s">
        <v>10</v>
      </c>
      <c r="C694" s="808">
        <v>176</v>
      </c>
      <c r="D694" s="808" t="s">
        <v>15</v>
      </c>
      <c r="E694" s="808" t="s">
        <v>15</v>
      </c>
      <c r="F694" s="808">
        <v>6100404</v>
      </c>
      <c r="G694" s="808">
        <v>414</v>
      </c>
      <c r="H694" s="3"/>
      <c r="I694" s="3"/>
      <c r="J694" s="3"/>
      <c r="K694" s="3"/>
      <c r="L694" s="3"/>
      <c r="M694" s="3"/>
      <c r="N694" s="3"/>
      <c r="O694" s="3"/>
      <c r="P694" s="3"/>
      <c r="Q694" s="3"/>
      <c r="R694" s="24">
        <v>41000</v>
      </c>
      <c r="S694" s="24"/>
      <c r="T694" s="24"/>
      <c r="U694" s="24"/>
      <c r="V694" s="24"/>
      <c r="W694" s="24"/>
      <c r="X694" s="24"/>
      <c r="Y694" s="808"/>
      <c r="Z694" s="896"/>
    </row>
    <row r="695" spans="1:26" hidden="1">
      <c r="A695" s="895"/>
      <c r="B695" s="535" t="s">
        <v>34</v>
      </c>
      <c r="C695" s="808"/>
      <c r="D695" s="808"/>
      <c r="E695" s="808"/>
      <c r="F695" s="808"/>
      <c r="G695" s="808"/>
      <c r="H695" s="3"/>
      <c r="I695" s="3"/>
      <c r="J695" s="3"/>
      <c r="K695" s="3"/>
      <c r="L695" s="3"/>
      <c r="M695" s="3"/>
      <c r="N695" s="3"/>
      <c r="O695" s="3"/>
      <c r="P695" s="3"/>
      <c r="Q695" s="3"/>
      <c r="R695" s="24"/>
      <c r="S695" s="24"/>
      <c r="T695" s="24"/>
      <c r="U695" s="24"/>
      <c r="V695" s="24"/>
      <c r="W695" s="24"/>
      <c r="X695" s="24"/>
      <c r="Y695" s="808"/>
      <c r="Z695" s="896"/>
    </row>
    <row r="696" spans="1:26" hidden="1">
      <c r="A696" s="895"/>
      <c r="B696" s="535" t="s">
        <v>11</v>
      </c>
      <c r="C696" s="808"/>
      <c r="D696" s="808"/>
      <c r="E696" s="808"/>
      <c r="F696" s="808"/>
      <c r="G696" s="808"/>
      <c r="H696" s="3"/>
      <c r="I696" s="3"/>
      <c r="J696" s="3"/>
      <c r="K696" s="3"/>
      <c r="L696" s="3"/>
      <c r="M696" s="3"/>
      <c r="N696" s="3"/>
      <c r="O696" s="3"/>
      <c r="P696" s="3"/>
      <c r="Q696" s="3"/>
      <c r="R696" s="24"/>
      <c r="S696" s="24"/>
      <c r="T696" s="24"/>
      <c r="U696" s="24"/>
      <c r="V696" s="24"/>
      <c r="W696" s="24"/>
      <c r="X696" s="24"/>
      <c r="Y696" s="808"/>
      <c r="Z696" s="896"/>
    </row>
    <row r="697" spans="1:26" ht="25.5" hidden="1">
      <c r="A697" s="895"/>
      <c r="B697" s="535" t="s">
        <v>80</v>
      </c>
      <c r="C697" s="808"/>
      <c r="D697" s="808"/>
      <c r="E697" s="808"/>
      <c r="F697" s="808"/>
      <c r="G697" s="808"/>
      <c r="H697" s="3"/>
      <c r="I697" s="3"/>
      <c r="J697" s="3"/>
      <c r="K697" s="3"/>
      <c r="L697" s="3"/>
      <c r="M697" s="3"/>
      <c r="N697" s="3"/>
      <c r="O697" s="3"/>
      <c r="P697" s="3"/>
      <c r="Q697" s="3"/>
      <c r="R697" s="24"/>
      <c r="S697" s="24"/>
      <c r="T697" s="24"/>
      <c r="U697" s="24"/>
      <c r="V697" s="24"/>
      <c r="W697" s="24"/>
      <c r="X697" s="24"/>
      <c r="Y697" s="808"/>
      <c r="Z697" s="896"/>
    </row>
    <row r="698" spans="1:26" ht="10.15" hidden="1" customHeight="1">
      <c r="A698" s="15"/>
      <c r="B698" s="535"/>
      <c r="C698" s="808"/>
      <c r="D698" s="808"/>
      <c r="E698" s="808"/>
      <c r="F698" s="808"/>
      <c r="G698" s="808"/>
      <c r="H698" s="1"/>
      <c r="I698" s="1"/>
      <c r="J698" s="1"/>
      <c r="K698" s="1"/>
      <c r="L698" s="1"/>
      <c r="M698" s="1"/>
      <c r="N698" s="1"/>
      <c r="O698" s="1"/>
      <c r="P698" s="1"/>
      <c r="Q698" s="1"/>
      <c r="R698" s="24"/>
      <c r="S698" s="24"/>
      <c r="T698" s="24"/>
      <c r="U698" s="24"/>
      <c r="V698" s="24"/>
      <c r="W698" s="24"/>
      <c r="X698" s="24"/>
      <c r="Y698" s="808"/>
      <c r="Z698" s="808"/>
    </row>
    <row r="699" spans="1:26" hidden="1">
      <c r="A699" s="897" t="s">
        <v>86</v>
      </c>
      <c r="B699" s="535" t="s">
        <v>25</v>
      </c>
      <c r="C699" s="808">
        <v>176</v>
      </c>
      <c r="D699" s="808" t="s">
        <v>15</v>
      </c>
      <c r="E699" s="808" t="s">
        <v>15</v>
      </c>
      <c r="F699" s="808" t="s">
        <v>16</v>
      </c>
      <c r="G699" s="808" t="s">
        <v>28</v>
      </c>
      <c r="H699" s="4">
        <f>H683+H692</f>
        <v>8282000</v>
      </c>
      <c r="I699" s="4"/>
      <c r="J699" s="4"/>
      <c r="K699" s="4"/>
      <c r="L699" s="4"/>
      <c r="M699" s="4">
        <f>M683+M692</f>
        <v>8282000</v>
      </c>
      <c r="N699" s="4"/>
      <c r="O699" s="4"/>
      <c r="P699" s="4"/>
      <c r="Q699" s="4"/>
      <c r="R699" s="4">
        <f>R683+R692</f>
        <v>8323000</v>
      </c>
      <c r="S699" s="4"/>
      <c r="T699" s="4"/>
      <c r="U699" s="4"/>
      <c r="V699" s="4"/>
      <c r="W699" s="4"/>
      <c r="X699" s="4"/>
      <c r="Y699" s="808"/>
      <c r="Z699" s="808"/>
    </row>
    <row r="700" spans="1:26" hidden="1">
      <c r="A700" s="897"/>
      <c r="B700" s="535" t="s">
        <v>9</v>
      </c>
      <c r="C700" s="808"/>
      <c r="D700" s="808"/>
      <c r="E700" s="808"/>
      <c r="F700" s="808"/>
      <c r="G700" s="808"/>
      <c r="H700" s="1"/>
      <c r="I700" s="1"/>
      <c r="J700" s="1"/>
      <c r="K700" s="1"/>
      <c r="L700" s="1"/>
      <c r="M700" s="1"/>
      <c r="N700" s="1"/>
      <c r="O700" s="1"/>
      <c r="P700" s="1"/>
      <c r="Q700" s="1"/>
      <c r="R700" s="24"/>
      <c r="S700" s="24"/>
      <c r="T700" s="24"/>
      <c r="U700" s="24"/>
      <c r="V700" s="24"/>
      <c r="W700" s="24"/>
      <c r="X700" s="24"/>
      <c r="Y700" s="808"/>
      <c r="Z700" s="808"/>
    </row>
    <row r="701" spans="1:26" hidden="1">
      <c r="A701" s="897"/>
      <c r="B701" s="535" t="s">
        <v>10</v>
      </c>
      <c r="C701" s="808">
        <v>176</v>
      </c>
      <c r="D701" s="808" t="s">
        <v>15</v>
      </c>
      <c r="E701" s="808" t="s">
        <v>15</v>
      </c>
      <c r="F701" s="808" t="s">
        <v>16</v>
      </c>
      <c r="G701" s="808" t="s">
        <v>28</v>
      </c>
      <c r="H701" s="1">
        <f>H694</f>
        <v>0</v>
      </c>
      <c r="I701" s="1"/>
      <c r="J701" s="1"/>
      <c r="K701" s="1"/>
      <c r="L701" s="1"/>
      <c r="M701" s="1">
        <f>M694</f>
        <v>0</v>
      </c>
      <c r="N701" s="1"/>
      <c r="O701" s="1"/>
      <c r="P701" s="1"/>
      <c r="Q701" s="1"/>
      <c r="R701" s="1">
        <f>R694</f>
        <v>41000</v>
      </c>
      <c r="S701" s="1"/>
      <c r="T701" s="1"/>
      <c r="U701" s="1"/>
      <c r="V701" s="1"/>
      <c r="W701" s="1"/>
      <c r="X701" s="1"/>
      <c r="Y701" s="808"/>
      <c r="Z701" s="808"/>
    </row>
    <row r="702" spans="1:26" hidden="1">
      <c r="A702" s="897"/>
      <c r="B702" s="535" t="s">
        <v>34</v>
      </c>
      <c r="C702" s="808">
        <v>176</v>
      </c>
      <c r="D702" s="808" t="s">
        <v>15</v>
      </c>
      <c r="E702" s="808" t="s">
        <v>15</v>
      </c>
      <c r="F702" s="808" t="s">
        <v>27</v>
      </c>
      <c r="G702" s="808" t="s">
        <v>28</v>
      </c>
      <c r="H702" s="4"/>
      <c r="I702" s="4"/>
      <c r="J702" s="4"/>
      <c r="K702" s="4"/>
      <c r="L702" s="4"/>
      <c r="M702" s="4"/>
      <c r="N702" s="4"/>
      <c r="O702" s="4"/>
      <c r="P702" s="4"/>
      <c r="Q702" s="4"/>
      <c r="R702" s="24"/>
      <c r="S702" s="24"/>
      <c r="T702" s="24"/>
      <c r="U702" s="24"/>
      <c r="V702" s="24"/>
      <c r="W702" s="24"/>
      <c r="X702" s="24"/>
      <c r="Y702" s="808"/>
      <c r="Z702" s="808"/>
    </row>
    <row r="703" spans="1:26" hidden="1">
      <c r="A703" s="897"/>
      <c r="B703" s="535" t="s">
        <v>90</v>
      </c>
      <c r="C703" s="808"/>
      <c r="D703" s="808"/>
      <c r="E703" s="808"/>
      <c r="F703" s="808"/>
      <c r="G703" s="808"/>
      <c r="H703" s="4"/>
      <c r="I703" s="4"/>
      <c r="J703" s="4"/>
      <c r="K703" s="4"/>
      <c r="L703" s="4"/>
      <c r="M703" s="4"/>
      <c r="N703" s="4"/>
      <c r="O703" s="4"/>
      <c r="P703" s="4"/>
      <c r="Q703" s="4"/>
      <c r="R703" s="24"/>
      <c r="S703" s="24"/>
      <c r="T703" s="24"/>
      <c r="U703" s="24"/>
      <c r="V703" s="24"/>
      <c r="W703" s="24"/>
      <c r="X703" s="24"/>
      <c r="Y703" s="808"/>
      <c r="Z703" s="808"/>
    </row>
    <row r="704" spans="1:26" ht="25.5" hidden="1">
      <c r="A704" s="897"/>
      <c r="B704" s="535" t="s">
        <v>80</v>
      </c>
      <c r="C704" s="808"/>
      <c r="D704" s="808"/>
      <c r="E704" s="808"/>
      <c r="F704" s="808"/>
      <c r="G704" s="808"/>
      <c r="H704" s="4">
        <f>H688</f>
        <v>8282000</v>
      </c>
      <c r="I704" s="4"/>
      <c r="J704" s="4"/>
      <c r="K704" s="4"/>
      <c r="L704" s="4"/>
      <c r="M704" s="4">
        <f>M688</f>
        <v>8282000</v>
      </c>
      <c r="N704" s="4"/>
      <c r="O704" s="4"/>
      <c r="P704" s="4"/>
      <c r="Q704" s="4"/>
      <c r="R704" s="4">
        <f>R688</f>
        <v>8282000</v>
      </c>
      <c r="S704" s="4"/>
      <c r="T704" s="4"/>
      <c r="U704" s="4"/>
      <c r="V704" s="4"/>
      <c r="W704" s="4"/>
      <c r="X704" s="4"/>
      <c r="Y704" s="808"/>
      <c r="Z704" s="808"/>
    </row>
    <row r="705" spans="1:34" ht="28.5" customHeight="1">
      <c r="A705" s="898" t="s">
        <v>1040</v>
      </c>
      <c r="B705" s="841" t="s">
        <v>490</v>
      </c>
      <c r="C705" s="659"/>
      <c r="D705" s="102" t="s">
        <v>487</v>
      </c>
      <c r="E705" s="102" t="s">
        <v>488</v>
      </c>
      <c r="F705" s="659" t="s">
        <v>539</v>
      </c>
      <c r="G705" s="659" t="s">
        <v>28</v>
      </c>
      <c r="H705" s="6" t="e">
        <f>SUM(H706:H709)</f>
        <v>#REF!</v>
      </c>
      <c r="I705" s="6" t="e">
        <f>SUM(I706:I709)</f>
        <v>#REF!</v>
      </c>
      <c r="J705" s="6" t="e">
        <f>SUM(J706:J709)</f>
        <v>#REF!</v>
      </c>
      <c r="K705" s="6" t="e">
        <f>SUM(K706:K709)</f>
        <v>#REF!</v>
      </c>
      <c r="L705" s="6" t="e">
        <f>SUM(L706:L709)</f>
        <v>#REF!</v>
      </c>
      <c r="M705" s="63" t="e">
        <f>M706+#REF!+M708+M709</f>
        <v>#REF!</v>
      </c>
      <c r="N705" s="63" t="e">
        <f>N706+#REF!+N708+N709</f>
        <v>#REF!</v>
      </c>
      <c r="O705" s="63" t="e">
        <f>O706+#REF!+O708+O709</f>
        <v>#REF!</v>
      </c>
      <c r="P705" s="63" t="e">
        <f>P706+#REF!+P708+P709</f>
        <v>#REF!</v>
      </c>
      <c r="Q705" s="63" t="e">
        <f>Q706+#REF!+Q708+Q709</f>
        <v>#REF!</v>
      </c>
      <c r="R705" s="63">
        <f>R706+R707+R708+R709</f>
        <v>19417086.531578951</v>
      </c>
      <c r="S705" s="63">
        <f t="shared" ref="S705:X705" si="162">S706+S707+S708+S709</f>
        <v>1366862.0809863159</v>
      </c>
      <c r="T705" s="63">
        <f t="shared" si="162"/>
        <v>2103763.4754236843</v>
      </c>
      <c r="U705" s="63">
        <f t="shared" si="162"/>
        <v>1683086.7800468421</v>
      </c>
      <c r="V705" s="63">
        <f t="shared" si="162"/>
        <v>14263374.195122106</v>
      </c>
      <c r="W705" s="63">
        <f t="shared" si="162"/>
        <v>27839657.073684212</v>
      </c>
      <c r="X705" s="63">
        <f t="shared" si="162"/>
        <v>26807908.952631578</v>
      </c>
      <c r="Y705" s="119"/>
      <c r="Z705" s="119"/>
      <c r="AA705" s="278"/>
    </row>
    <row r="706" spans="1:34" ht="36.75" customHeight="1">
      <c r="A706" s="899"/>
      <c r="B706" s="826" t="s">
        <v>10</v>
      </c>
      <c r="C706" s="659"/>
      <c r="D706" s="102" t="s">
        <v>487</v>
      </c>
      <c r="E706" s="102" t="s">
        <v>488</v>
      </c>
      <c r="F706" s="659" t="s">
        <v>539</v>
      </c>
      <c r="G706" s="659" t="s">
        <v>28</v>
      </c>
      <c r="H706" s="6" t="e">
        <f t="shared" ref="H706:Q706" si="163">H240+H665</f>
        <v>#REF!</v>
      </c>
      <c r="I706" s="6" t="e">
        <f t="shared" si="163"/>
        <v>#REF!</v>
      </c>
      <c r="J706" s="6" t="e">
        <f t="shared" si="163"/>
        <v>#REF!</v>
      </c>
      <c r="K706" s="6" t="e">
        <f t="shared" si="163"/>
        <v>#REF!</v>
      </c>
      <c r="L706" s="6" t="e">
        <f t="shared" si="163"/>
        <v>#REF!</v>
      </c>
      <c r="M706" s="63" t="e">
        <f t="shared" si="163"/>
        <v>#REF!</v>
      </c>
      <c r="N706" s="63" t="e">
        <f t="shared" si="163"/>
        <v>#REF!</v>
      </c>
      <c r="O706" s="63" t="e">
        <f t="shared" si="163"/>
        <v>#REF!</v>
      </c>
      <c r="P706" s="63" t="e">
        <f t="shared" si="163"/>
        <v>#REF!</v>
      </c>
      <c r="Q706" s="63" t="e">
        <f t="shared" si="163"/>
        <v>#REF!</v>
      </c>
      <c r="R706" s="63">
        <f t="shared" ref="R706:X706" si="164">R665+R238+R16</f>
        <v>11790331.400000002</v>
      </c>
      <c r="S706" s="63">
        <f t="shared" si="164"/>
        <v>1360719.74046</v>
      </c>
      <c r="T706" s="63">
        <f t="shared" si="164"/>
        <v>1593031.4259500001</v>
      </c>
      <c r="U706" s="63">
        <f t="shared" si="164"/>
        <v>1669424.2453099999</v>
      </c>
      <c r="V706" s="63">
        <f t="shared" si="164"/>
        <v>7167155.9882800002</v>
      </c>
      <c r="W706" s="63">
        <f t="shared" si="164"/>
        <v>15379154</v>
      </c>
      <c r="X706" s="63">
        <f t="shared" si="164"/>
        <v>16034081.1</v>
      </c>
      <c r="Y706" s="119"/>
      <c r="Z706" s="63"/>
      <c r="AA706" s="278"/>
      <c r="AG706" s="71"/>
      <c r="AH706" s="71"/>
    </row>
    <row r="707" spans="1:34" ht="36.75" customHeight="1">
      <c r="A707" s="899"/>
      <c r="B707" s="826" t="s">
        <v>436</v>
      </c>
      <c r="C707" s="659"/>
      <c r="D707" s="102" t="s">
        <v>487</v>
      </c>
      <c r="E707" s="102" t="s">
        <v>488</v>
      </c>
      <c r="F707" s="659" t="s">
        <v>539</v>
      </c>
      <c r="G707" s="659" t="s">
        <v>28</v>
      </c>
      <c r="H707" s="6"/>
      <c r="I707" s="6"/>
      <c r="J707" s="6"/>
      <c r="K707" s="6"/>
      <c r="L707" s="6"/>
      <c r="M707" s="63"/>
      <c r="N707" s="63"/>
      <c r="O707" s="63"/>
      <c r="P707" s="63"/>
      <c r="Q707" s="63"/>
      <c r="R707" s="63">
        <f t="shared" ref="R707:X707" si="165">R671+R244+R17+R112+R18</f>
        <v>2539815.2999999998</v>
      </c>
      <c r="S707" s="63">
        <f t="shared" si="165"/>
        <v>0</v>
      </c>
      <c r="T707" s="63">
        <f t="shared" si="165"/>
        <v>500000</v>
      </c>
      <c r="U707" s="63">
        <f t="shared" si="165"/>
        <v>0</v>
      </c>
      <c r="V707" s="63">
        <f t="shared" si="165"/>
        <v>2039815.3</v>
      </c>
      <c r="W707" s="63">
        <f t="shared" si="165"/>
        <v>9516790.0999999996</v>
      </c>
      <c r="X707" s="63">
        <f t="shared" si="165"/>
        <v>9678188.0999999996</v>
      </c>
      <c r="Y707" s="119"/>
      <c r="Z707" s="63"/>
      <c r="AA707" s="278"/>
      <c r="AG707" s="71"/>
    </row>
    <row r="708" spans="1:34" ht="34.5" customHeight="1">
      <c r="A708" s="899"/>
      <c r="B708" s="826" t="s">
        <v>11</v>
      </c>
      <c r="C708" s="659"/>
      <c r="D708" s="102"/>
      <c r="E708" s="659"/>
      <c r="F708" s="659"/>
      <c r="G708" s="659"/>
      <c r="H708" s="6">
        <f t="shared" ref="H708:Q708" si="166">H675</f>
        <v>338311.1</v>
      </c>
      <c r="I708" s="6">
        <f t="shared" si="166"/>
        <v>23511.642</v>
      </c>
      <c r="J708" s="6">
        <f t="shared" si="166"/>
        <v>50374.6</v>
      </c>
      <c r="K708" s="6">
        <f t="shared" si="166"/>
        <v>50374.6</v>
      </c>
      <c r="L708" s="6">
        <f t="shared" si="166"/>
        <v>214050.258</v>
      </c>
      <c r="M708" s="63" t="e">
        <f t="shared" si="166"/>
        <v>#REF!</v>
      </c>
      <c r="N708" s="63" t="e">
        <f t="shared" si="166"/>
        <v>#REF!</v>
      </c>
      <c r="O708" s="63" t="e">
        <f t="shared" si="166"/>
        <v>#REF!</v>
      </c>
      <c r="P708" s="63" t="e">
        <f t="shared" si="166"/>
        <v>#REF!</v>
      </c>
      <c r="Q708" s="63" t="e">
        <f t="shared" si="166"/>
        <v>#REF!</v>
      </c>
      <c r="R708" s="63">
        <f t="shared" ref="R708:X708" si="167">R19+R675</f>
        <v>861662.83157894737</v>
      </c>
      <c r="S708" s="63">
        <f t="shared" si="167"/>
        <v>6142.3405263157902</v>
      </c>
      <c r="T708" s="63">
        <f t="shared" si="167"/>
        <v>10732.049473684214</v>
      </c>
      <c r="U708" s="63">
        <f t="shared" si="167"/>
        <v>13662.534736842104</v>
      </c>
      <c r="V708" s="63">
        <f t="shared" si="167"/>
        <v>831125.90684210532</v>
      </c>
      <c r="W708" s="63">
        <f t="shared" si="167"/>
        <v>512971.97368421056</v>
      </c>
      <c r="X708" s="63">
        <f t="shared" si="167"/>
        <v>427484.75263157894</v>
      </c>
      <c r="Y708" s="119"/>
      <c r="Z708" s="63"/>
      <c r="AA708" s="278"/>
      <c r="AF708" s="71"/>
      <c r="AG708" s="71"/>
    </row>
    <row r="709" spans="1:34" ht="39" customHeight="1">
      <c r="A709" s="899"/>
      <c r="B709" s="826" t="s">
        <v>447</v>
      </c>
      <c r="C709" s="659"/>
      <c r="D709" s="102"/>
      <c r="E709" s="659"/>
      <c r="F709" s="659"/>
      <c r="G709" s="659"/>
      <c r="H709" s="6">
        <f>H130+H249</f>
        <v>0</v>
      </c>
      <c r="I709" s="6">
        <f>I130+I249</f>
        <v>0</v>
      </c>
      <c r="J709" s="6">
        <f>J130+J249</f>
        <v>0</v>
      </c>
      <c r="K709" s="6">
        <f>K130+K249</f>
        <v>0</v>
      </c>
      <c r="L709" s="6">
        <f>L130+L249</f>
        <v>0</v>
      </c>
      <c r="M709" s="63"/>
      <c r="N709" s="63"/>
      <c r="O709" s="63"/>
      <c r="P709" s="63"/>
      <c r="Q709" s="63"/>
      <c r="R709" s="63">
        <f>R249</f>
        <v>4225277</v>
      </c>
      <c r="S709" s="63">
        <f>S249</f>
        <v>0</v>
      </c>
      <c r="T709" s="63">
        <f>T249</f>
        <v>0</v>
      </c>
      <c r="U709" s="63">
        <f>U249</f>
        <v>0</v>
      </c>
      <c r="V709" s="63">
        <f>V249</f>
        <v>4225277</v>
      </c>
      <c r="W709" s="63">
        <f>W130+W249+W677</f>
        <v>2430741</v>
      </c>
      <c r="X709" s="63">
        <f>X130+X249+X677</f>
        <v>668155</v>
      </c>
      <c r="Y709" s="119"/>
      <c r="Z709" s="63"/>
      <c r="AA709" s="278"/>
    </row>
    <row r="710" spans="1:34" ht="27.75" customHeight="1">
      <c r="A710" s="905"/>
      <c r="B710" s="826" t="s">
        <v>1010</v>
      </c>
      <c r="C710" s="659"/>
      <c r="D710" s="102"/>
      <c r="E710" s="659"/>
      <c r="F710" s="659"/>
      <c r="G710" s="659"/>
      <c r="H710" s="6"/>
      <c r="I710" s="6"/>
      <c r="J710" s="6"/>
      <c r="K710" s="6"/>
      <c r="L710" s="6"/>
      <c r="M710" s="63"/>
      <c r="N710" s="63"/>
      <c r="O710" s="63"/>
      <c r="P710" s="63"/>
      <c r="Q710" s="63"/>
      <c r="R710" s="63"/>
      <c r="S710" s="63"/>
      <c r="T710" s="63"/>
      <c r="U710" s="63"/>
      <c r="V710" s="63"/>
      <c r="W710" s="63"/>
      <c r="X710" s="63"/>
      <c r="Y710" s="119"/>
      <c r="Z710" s="808"/>
    </row>
    <row r="711" spans="1:34" ht="33.75" customHeight="1">
      <c r="A711" s="904"/>
      <c r="B711" s="904"/>
      <c r="C711" s="904"/>
      <c r="D711" s="904"/>
      <c r="E711" s="904"/>
      <c r="F711" s="904"/>
      <c r="G711" s="904"/>
      <c r="H711" s="904"/>
      <c r="I711" s="904"/>
      <c r="J711" s="904"/>
      <c r="K711" s="904"/>
      <c r="L711" s="904"/>
      <c r="M711" s="904"/>
      <c r="N711" s="904"/>
      <c r="O711" s="904"/>
      <c r="P711" s="904"/>
      <c r="Q711" s="904"/>
      <c r="R711" s="904"/>
      <c r="S711" s="904"/>
      <c r="T711" s="904"/>
      <c r="U711" s="904"/>
      <c r="V711" s="904"/>
      <c r="W711" s="904"/>
      <c r="X711" s="904"/>
      <c r="Y711" s="904"/>
      <c r="Z711" s="904"/>
    </row>
    <row r="712" spans="1:34" ht="37.5" customHeight="1">
      <c r="A712" s="903" t="s">
        <v>781</v>
      </c>
      <c r="B712" s="903"/>
      <c r="C712" s="903"/>
      <c r="D712" s="903"/>
      <c r="E712" s="903"/>
      <c r="F712" s="903"/>
      <c r="G712" s="903"/>
      <c r="H712" s="903"/>
      <c r="I712" s="903"/>
      <c r="J712" s="903"/>
      <c r="K712" s="903"/>
      <c r="L712" s="903"/>
      <c r="M712" s="903"/>
      <c r="N712" s="903"/>
      <c r="O712" s="903"/>
      <c r="P712" s="903"/>
      <c r="Q712" s="903"/>
      <c r="R712" s="903"/>
      <c r="S712" s="903"/>
      <c r="T712" s="903"/>
      <c r="U712" s="903"/>
      <c r="V712" s="903"/>
      <c r="W712" s="903"/>
      <c r="X712" s="903"/>
      <c r="Y712" s="903"/>
      <c r="Z712" s="903"/>
    </row>
    <row r="713" spans="1:34" ht="26.25" customHeight="1">
      <c r="A713" s="903" t="s">
        <v>751</v>
      </c>
      <c r="B713" s="903"/>
      <c r="C713" s="903"/>
      <c r="D713" s="903"/>
      <c r="E713" s="903"/>
      <c r="F713" s="903"/>
      <c r="G713" s="903"/>
      <c r="H713" s="903"/>
      <c r="I713" s="903"/>
      <c r="J713" s="903"/>
      <c r="K713" s="903"/>
      <c r="L713" s="903"/>
      <c r="M713" s="903"/>
      <c r="N713" s="903"/>
      <c r="O713" s="903"/>
      <c r="P713" s="903"/>
      <c r="Q713" s="903"/>
      <c r="R713" s="903"/>
      <c r="S713" s="903"/>
      <c r="T713" s="903"/>
      <c r="U713" s="903"/>
      <c r="V713" s="903"/>
      <c r="W713" s="903"/>
      <c r="X713" s="903"/>
      <c r="Y713" s="903"/>
      <c r="Z713" s="903"/>
    </row>
    <row r="714" spans="1:34" ht="53.25" customHeight="1">
      <c r="A714" s="894" t="s">
        <v>747</v>
      </c>
      <c r="B714" s="894"/>
      <c r="C714" s="894"/>
      <c r="D714" s="894"/>
      <c r="E714" s="894"/>
      <c r="F714" s="894"/>
      <c r="G714" s="894"/>
      <c r="H714" s="894"/>
      <c r="I714" s="894"/>
      <c r="J714" s="894"/>
      <c r="K714" s="894"/>
      <c r="L714" s="894"/>
      <c r="M714" s="894"/>
      <c r="N714" s="894"/>
      <c r="O714" s="894"/>
      <c r="P714" s="894"/>
      <c r="Q714" s="894"/>
      <c r="R714" s="894"/>
      <c r="S714" s="894"/>
      <c r="T714" s="894"/>
      <c r="U714" s="894"/>
      <c r="V714" s="894"/>
      <c r="W714" s="894"/>
      <c r="X714" s="894"/>
      <c r="Y714" s="894"/>
      <c r="Z714" s="894"/>
    </row>
    <row r="715" spans="1:34" ht="34.5" customHeight="1">
      <c r="A715" s="894" t="s">
        <v>748</v>
      </c>
      <c r="B715" s="894"/>
      <c r="C715" s="894"/>
      <c r="D715" s="894"/>
      <c r="E715" s="894"/>
      <c r="F715" s="894"/>
      <c r="G715" s="894"/>
      <c r="H715" s="894"/>
      <c r="I715" s="894"/>
      <c r="J715" s="894"/>
      <c r="K715" s="894"/>
      <c r="L715" s="894"/>
      <c r="M715" s="894"/>
      <c r="N715" s="894"/>
      <c r="O715" s="894"/>
      <c r="P715" s="894"/>
      <c r="Q715" s="894"/>
      <c r="R715" s="894"/>
      <c r="S715" s="894"/>
      <c r="T715" s="894"/>
      <c r="U715" s="894"/>
      <c r="V715" s="894"/>
      <c r="W715" s="894"/>
      <c r="X715" s="894"/>
      <c r="Y715" s="894"/>
      <c r="Z715" s="894"/>
    </row>
    <row r="716" spans="1:34" ht="31.5" customHeight="1">
      <c r="A716" s="894" t="s">
        <v>864</v>
      </c>
      <c r="B716" s="894"/>
      <c r="C716" s="894"/>
      <c r="D716" s="894"/>
      <c r="E716" s="894"/>
      <c r="F716" s="894"/>
      <c r="G716" s="894"/>
      <c r="H716" s="894"/>
      <c r="I716" s="894"/>
      <c r="J716" s="894"/>
      <c r="K716" s="894"/>
      <c r="L716" s="894"/>
      <c r="M716" s="894"/>
      <c r="N716" s="894"/>
      <c r="O716" s="894"/>
      <c r="P716" s="894"/>
      <c r="Q716" s="894"/>
      <c r="R716" s="894"/>
      <c r="S716" s="894"/>
      <c r="T716" s="894"/>
      <c r="U716" s="894"/>
      <c r="V716" s="894"/>
      <c r="W716" s="894"/>
      <c r="X716" s="894"/>
      <c r="Y716" s="894"/>
      <c r="Z716" s="894"/>
    </row>
    <row r="717" spans="1:34" ht="28.5" customHeight="1">
      <c r="A717" s="894"/>
      <c r="B717" s="894"/>
      <c r="C717" s="894"/>
      <c r="D717" s="894"/>
      <c r="E717" s="894"/>
      <c r="F717" s="894"/>
      <c r="G717" s="894"/>
      <c r="H717" s="894"/>
      <c r="I717" s="894"/>
      <c r="J717" s="894"/>
      <c r="K717" s="894"/>
      <c r="L717" s="894"/>
      <c r="M717" s="894"/>
      <c r="N717" s="894"/>
      <c r="O717" s="894"/>
      <c r="P717" s="894"/>
      <c r="Q717" s="894"/>
      <c r="R717" s="894"/>
      <c r="S717" s="894"/>
      <c r="T717" s="894"/>
      <c r="U717" s="894"/>
      <c r="V717" s="894"/>
      <c r="W717" s="894"/>
      <c r="X717" s="894"/>
      <c r="Y717" s="894"/>
      <c r="Z717" s="894"/>
    </row>
    <row r="718" spans="1:34" s="74" customFormat="1" ht="18" hidden="1" customHeight="1">
      <c r="A718" s="903"/>
      <c r="B718" s="903"/>
      <c r="C718" s="903"/>
      <c r="D718" s="903"/>
      <c r="E718" s="903"/>
      <c r="F718" s="903"/>
      <c r="G718" s="903"/>
      <c r="H718" s="903"/>
      <c r="I718" s="903"/>
      <c r="J718" s="903"/>
      <c r="K718" s="903"/>
      <c r="L718" s="903"/>
      <c r="M718" s="903"/>
      <c r="N718" s="903"/>
      <c r="O718" s="903"/>
      <c r="P718" s="903"/>
      <c r="Q718" s="903"/>
      <c r="R718" s="903"/>
      <c r="S718" s="903"/>
      <c r="T718" s="903"/>
      <c r="U718" s="903"/>
      <c r="V718" s="903"/>
      <c r="W718" s="903"/>
      <c r="X718" s="903"/>
      <c r="Y718" s="903"/>
      <c r="Z718" s="903"/>
      <c r="AA718" s="472"/>
    </row>
    <row r="719" spans="1:34" s="74" customFormat="1" ht="22.15" hidden="1" customHeight="1">
      <c r="A719" s="903" t="s">
        <v>343</v>
      </c>
      <c r="B719" s="903"/>
      <c r="C719" s="903"/>
      <c r="D719" s="903"/>
      <c r="E719" s="903"/>
      <c r="F719" s="903"/>
      <c r="G719" s="903"/>
      <c r="H719" s="903"/>
      <c r="I719" s="903"/>
      <c r="J719" s="903"/>
      <c r="K719" s="903"/>
      <c r="L719" s="903"/>
      <c r="M719" s="903"/>
      <c r="N719" s="903"/>
      <c r="O719" s="903"/>
      <c r="P719" s="903"/>
      <c r="Q719" s="903"/>
      <c r="R719" s="903"/>
      <c r="S719" s="903"/>
      <c r="T719" s="903"/>
      <c r="U719" s="903"/>
      <c r="V719" s="903"/>
      <c r="W719" s="903"/>
      <c r="X719" s="903"/>
      <c r="Y719" s="903"/>
      <c r="Z719" s="903"/>
      <c r="AA719" s="472"/>
    </row>
    <row r="720" spans="1:34" s="74" customFormat="1" ht="27.6" hidden="1" customHeight="1">
      <c r="A720" s="903" t="s">
        <v>514</v>
      </c>
      <c r="B720" s="903"/>
      <c r="C720" s="903"/>
      <c r="D720" s="903"/>
      <c r="E720" s="903"/>
      <c r="F720" s="903"/>
      <c r="G720" s="903"/>
      <c r="H720" s="903"/>
      <c r="I720" s="903"/>
      <c r="J720" s="903"/>
      <c r="K720" s="903"/>
      <c r="L720" s="903"/>
      <c r="M720" s="903"/>
      <c r="N720" s="903"/>
      <c r="O720" s="903"/>
      <c r="P720" s="903"/>
      <c r="Q720" s="903"/>
      <c r="R720" s="903"/>
      <c r="S720" s="903"/>
      <c r="T720" s="903"/>
      <c r="U720" s="903"/>
      <c r="V720" s="903"/>
      <c r="W720" s="903"/>
      <c r="X720" s="903"/>
      <c r="Y720" s="903"/>
      <c r="Z720" s="298"/>
      <c r="AA720" s="472"/>
    </row>
    <row r="721" spans="1:26" ht="198.75" customHeight="1">
      <c r="A721" s="894" t="s">
        <v>767</v>
      </c>
      <c r="B721" s="894"/>
      <c r="C721" s="894"/>
      <c r="D721" s="894"/>
      <c r="E721" s="894"/>
      <c r="F721" s="894"/>
      <c r="G721" s="894"/>
      <c r="H721" s="894"/>
      <c r="I721" s="894"/>
      <c r="J721" s="894"/>
      <c r="K721" s="894"/>
      <c r="L721" s="894"/>
      <c r="M721" s="894"/>
      <c r="N721" s="894"/>
      <c r="O721" s="894"/>
      <c r="P721" s="894"/>
      <c r="Q721" s="894"/>
      <c r="R721" s="894"/>
      <c r="S721" s="894"/>
      <c r="T721" s="894"/>
      <c r="U721" s="894"/>
      <c r="V721" s="894"/>
      <c r="W721" s="894"/>
      <c r="X721" s="894"/>
      <c r="Y721" s="894"/>
      <c r="Z721" s="894"/>
    </row>
    <row r="722" spans="1:26" hidden="1">
      <c r="A722" s="284"/>
      <c r="B722" s="829"/>
      <c r="C722" s="284"/>
      <c r="D722" s="284"/>
      <c r="E722" s="284"/>
      <c r="F722" s="284"/>
      <c r="G722" s="284"/>
      <c r="H722" s="284"/>
      <c r="I722" s="284"/>
      <c r="J722" s="284"/>
      <c r="K722" s="284"/>
      <c r="L722" s="284"/>
      <c r="M722" s="284"/>
      <c r="N722" s="284"/>
      <c r="O722" s="284"/>
      <c r="P722" s="284"/>
      <c r="Q722" s="284"/>
      <c r="R722" s="284"/>
      <c r="S722" s="284"/>
      <c r="T722" s="284"/>
      <c r="U722" s="284"/>
      <c r="V722" s="284"/>
      <c r="W722" s="284"/>
      <c r="X722" s="284"/>
      <c r="Y722" s="284"/>
      <c r="Z722" s="284"/>
    </row>
    <row r="723" spans="1:26" ht="7.15" customHeight="1">
      <c r="A723" s="284"/>
      <c r="B723" s="829"/>
      <c r="C723" s="284"/>
      <c r="D723" s="284"/>
      <c r="E723" s="284"/>
      <c r="F723" s="284"/>
      <c r="G723" s="284"/>
      <c r="H723" s="284"/>
      <c r="I723" s="284"/>
      <c r="J723" s="284"/>
      <c r="K723" s="284"/>
      <c r="L723" s="284"/>
      <c r="M723" s="284"/>
      <c r="N723" s="284"/>
      <c r="O723" s="284"/>
      <c r="P723" s="284"/>
      <c r="Q723" s="284"/>
      <c r="R723" s="284"/>
      <c r="S723" s="284"/>
      <c r="T723" s="284"/>
      <c r="U723" s="284"/>
      <c r="V723" s="284"/>
      <c r="W723" s="284"/>
      <c r="X723" s="284"/>
      <c r="Y723" s="284"/>
      <c r="Z723" s="284"/>
    </row>
    <row r="724" spans="1:26">
      <c r="A724" s="284"/>
      <c r="B724" s="829"/>
      <c r="C724" s="284"/>
      <c r="D724" s="284"/>
      <c r="E724" s="284"/>
      <c r="F724" s="284"/>
      <c r="G724" s="284"/>
      <c r="H724" s="284"/>
      <c r="I724" s="284"/>
      <c r="J724" s="284"/>
      <c r="K724" s="284"/>
      <c r="L724" s="284"/>
      <c r="M724" s="284"/>
      <c r="N724" s="284"/>
      <c r="O724" s="284"/>
      <c r="P724" s="284"/>
      <c r="Q724" s="284"/>
      <c r="R724" s="410"/>
      <c r="S724" s="410"/>
      <c r="T724" s="410"/>
      <c r="U724" s="410"/>
      <c r="V724" s="410"/>
      <c r="W724" s="410"/>
      <c r="X724" s="410"/>
      <c r="Y724" s="284"/>
      <c r="Z724" s="284"/>
    </row>
    <row r="725" spans="1:26">
      <c r="R725" s="71"/>
    </row>
    <row r="726" spans="1:26">
      <c r="R726" s="836"/>
      <c r="S726" s="836"/>
      <c r="T726" s="836"/>
      <c r="U726" s="836"/>
      <c r="V726" s="836"/>
      <c r="W726" s="836"/>
      <c r="X726" s="836"/>
    </row>
    <row r="727" spans="1:26">
      <c r="R727" s="71"/>
    </row>
    <row r="729" spans="1:26">
      <c r="R729" s="71"/>
      <c r="S729" s="71"/>
      <c r="T729" s="71"/>
      <c r="U729" s="71"/>
      <c r="V729" s="71"/>
      <c r="W729" s="71"/>
      <c r="X729" s="71"/>
      <c r="Y729" s="71"/>
    </row>
    <row r="730" spans="1:26" hidden="1">
      <c r="R730" s="71"/>
    </row>
    <row r="731" spans="1:26" hidden="1">
      <c r="R731" s="71"/>
      <c r="S731" s="71"/>
      <c r="T731" s="71"/>
      <c r="U731" s="71"/>
      <c r="V731" s="71"/>
      <c r="W731" s="71"/>
      <c r="X731" s="71"/>
      <c r="Y731" s="71"/>
    </row>
    <row r="732" spans="1:26" hidden="1"/>
    <row r="733" spans="1:26" hidden="1"/>
    <row r="734" spans="1:26" hidden="1"/>
    <row r="735" spans="1:26" hidden="1">
      <c r="R735" s="71">
        <f t="shared" ref="R735:Z735" si="168">R665+R659+R51+R73+R81</f>
        <v>9178075.9000000004</v>
      </c>
      <c r="S735" s="71">
        <f t="shared" si="168"/>
        <v>1119277.04046</v>
      </c>
      <c r="T735" s="71">
        <f t="shared" si="168"/>
        <v>1212945.5259499999</v>
      </c>
      <c r="U735" s="71">
        <f t="shared" si="168"/>
        <v>1238077.4453099999</v>
      </c>
      <c r="V735" s="71">
        <f t="shared" si="168"/>
        <v>5607775.8882800005</v>
      </c>
      <c r="W735" s="71">
        <f t="shared" si="168"/>
        <v>11391676.699999999</v>
      </c>
      <c r="X735" s="71">
        <f t="shared" si="168"/>
        <v>13405229.699999999</v>
      </c>
      <c r="Y735" s="71">
        <f t="shared" si="168"/>
        <v>0</v>
      </c>
      <c r="Z735" s="71">
        <f t="shared" si="168"/>
        <v>0</v>
      </c>
    </row>
    <row r="736" spans="1:26" hidden="1"/>
    <row r="737" spans="18:25" hidden="1">
      <c r="R737" s="71">
        <f t="shared" ref="R737:X737" si="169">R665+R51+R73+R81</f>
        <v>9158075.9000000004</v>
      </c>
      <c r="S737" s="71">
        <f t="shared" si="169"/>
        <v>1119277.04046</v>
      </c>
      <c r="T737" s="71">
        <f t="shared" si="169"/>
        <v>1204945.5259499999</v>
      </c>
      <c r="U737" s="71">
        <f t="shared" si="169"/>
        <v>1232077.4453099999</v>
      </c>
      <c r="V737" s="71">
        <f t="shared" si="169"/>
        <v>5601775.8882800005</v>
      </c>
      <c r="W737" s="71">
        <f t="shared" si="169"/>
        <v>11371676.699999999</v>
      </c>
      <c r="X737" s="71">
        <f t="shared" si="169"/>
        <v>13385229.699999999</v>
      </c>
      <c r="Y737" s="71">
        <f t="shared" ref="Y737" si="170">Y52+Y74+Y82</f>
        <v>0</v>
      </c>
    </row>
  </sheetData>
  <mergeCells count="203">
    <mergeCell ref="Z558:Z565"/>
    <mergeCell ref="Z506:Z512"/>
    <mergeCell ref="Y506:Y512"/>
    <mergeCell ref="Y558:Y565"/>
    <mergeCell ref="S8:V9"/>
    <mergeCell ref="Y22:Y47"/>
    <mergeCell ref="Z22:Z39"/>
    <mergeCell ref="Z40:Z47"/>
    <mergeCell ref="Z474:Z482"/>
    <mergeCell ref="Y13:Y19"/>
    <mergeCell ref="Z483:Z490"/>
    <mergeCell ref="Y483:Y490"/>
    <mergeCell ref="Y491:Y494"/>
    <mergeCell ref="Y499:Y505"/>
    <mergeCell ref="Z491:Z498"/>
    <mergeCell ref="Z499:Z505"/>
    <mergeCell ref="Z513:Z555"/>
    <mergeCell ref="Y513:Y555"/>
    <mergeCell ref="Z70:Z77"/>
    <mergeCell ref="Z119:Z181"/>
    <mergeCell ref="Z8:Z10"/>
    <mergeCell ref="Z64:Z69"/>
    <mergeCell ref="Y102:Y109"/>
    <mergeCell ref="A499:A505"/>
    <mergeCell ref="A491:A498"/>
    <mergeCell ref="A213:A219"/>
    <mergeCell ref="Z205:Z212"/>
    <mergeCell ref="A256:A264"/>
    <mergeCell ref="Y221:Y228"/>
    <mergeCell ref="Y229:Y236"/>
    <mergeCell ref="Z265:Z315"/>
    <mergeCell ref="Y265:Y315"/>
    <mergeCell ref="Y205:Y208"/>
    <mergeCell ref="Y466:Y482"/>
    <mergeCell ref="Z442:Z448"/>
    <mergeCell ref="Z399:Z437"/>
    <mergeCell ref="Z221:Z228"/>
    <mergeCell ref="Z229:Z236"/>
    <mergeCell ref="A383:A388"/>
    <mergeCell ref="A330:A337"/>
    <mergeCell ref="Y383:Y390"/>
    <mergeCell ref="Z383:Z390"/>
    <mergeCell ref="Y399:Y439"/>
    <mergeCell ref="A205:A212"/>
    <mergeCell ref="A347:A348"/>
    <mergeCell ref="Z466:Z473"/>
    <mergeCell ref="A237:A250"/>
    <mergeCell ref="C8:G9"/>
    <mergeCell ref="A603:A604"/>
    <mergeCell ref="A589:A590"/>
    <mergeCell ref="A575:A576"/>
    <mergeCell ref="A375:A382"/>
    <mergeCell ref="Y375:Y382"/>
    <mergeCell ref="Y566:Y655"/>
    <mergeCell ref="A597:A598"/>
    <mergeCell ref="A587:A588"/>
    <mergeCell ref="A635:A638"/>
    <mergeCell ref="A617:A618"/>
    <mergeCell ref="A631:A632"/>
    <mergeCell ref="A619:A620"/>
    <mergeCell ref="A605:A606"/>
    <mergeCell ref="A558:A565"/>
    <mergeCell ref="A615:A616"/>
    <mergeCell ref="A613:A614"/>
    <mergeCell ref="Y442:Y448"/>
    <mergeCell ref="A483:A490"/>
    <mergeCell ref="A513:A520"/>
    <mergeCell ref="A466:A473"/>
    <mergeCell ref="A474:A482"/>
    <mergeCell ref="A521:A524"/>
    <mergeCell ref="A506:A512"/>
    <mergeCell ref="A13:A21"/>
    <mergeCell ref="W1:Z1"/>
    <mergeCell ref="A450:A453"/>
    <mergeCell ref="Y450:Y453"/>
    <mergeCell ref="Z450:Z457"/>
    <mergeCell ref="A458:A459"/>
    <mergeCell ref="Y458:Y465"/>
    <mergeCell ref="Z458:Z465"/>
    <mergeCell ref="Z256:Z262"/>
    <mergeCell ref="Y256:Y260"/>
    <mergeCell ref="A3:Z3"/>
    <mergeCell ref="A4:Z4"/>
    <mergeCell ref="A5:Z5"/>
    <mergeCell ref="A6:Z6"/>
    <mergeCell ref="A8:A10"/>
    <mergeCell ref="X8:X10"/>
    <mergeCell ref="Y182:Y200"/>
    <mergeCell ref="A229:A236"/>
    <mergeCell ref="A300:A302"/>
    <mergeCell ref="R8:R10"/>
    <mergeCell ref="A265:A272"/>
    <mergeCell ref="A255:Z255"/>
    <mergeCell ref="A198:A204"/>
    <mergeCell ref="A175:A176"/>
    <mergeCell ref="A595:A596"/>
    <mergeCell ref="A609:A610"/>
    <mergeCell ref="A566:A573"/>
    <mergeCell ref="A601:A602"/>
    <mergeCell ref="A621:A622"/>
    <mergeCell ref="M8:M10"/>
    <mergeCell ref="A12:Z12"/>
    <mergeCell ref="W8:W10"/>
    <mergeCell ref="A221:A228"/>
    <mergeCell ref="A357:A359"/>
    <mergeCell ref="H8:H10"/>
    <mergeCell ref="B8:B10"/>
    <mergeCell ref="Z13:Z19"/>
    <mergeCell ref="N8:Q9"/>
    <mergeCell ref="Y8:Y10"/>
    <mergeCell ref="A134:A138"/>
    <mergeCell ref="I8:L9"/>
    <mergeCell ref="A22:A30"/>
    <mergeCell ref="A31:A39"/>
    <mergeCell ref="A40:A47"/>
    <mergeCell ref="A94:A101"/>
    <mergeCell ref="A110:A117"/>
    <mergeCell ref="Z94:Z101"/>
    <mergeCell ref="Z110:Z117"/>
    <mergeCell ref="A442:A449"/>
    <mergeCell ref="A712:Z712"/>
    <mergeCell ref="A664:A677"/>
    <mergeCell ref="A718:Z718"/>
    <mergeCell ref="A705:A710"/>
    <mergeCell ref="Z566:Z655"/>
    <mergeCell ref="A577:A578"/>
    <mergeCell ref="A639:A642"/>
    <mergeCell ref="A611:A612"/>
    <mergeCell ref="A629:A630"/>
    <mergeCell ref="A633:A634"/>
    <mergeCell ref="A607:A608"/>
    <mergeCell ref="A579:A580"/>
    <mergeCell ref="A651:A655"/>
    <mergeCell ref="A647:A650"/>
    <mergeCell ref="A585:A586"/>
    <mergeCell ref="A643:A646"/>
    <mergeCell ref="A591:A592"/>
    <mergeCell ref="A627:A628"/>
    <mergeCell ref="A593:A594"/>
    <mergeCell ref="A625:A626"/>
    <mergeCell ref="A623:A624"/>
    <mergeCell ref="A583:A584"/>
    <mergeCell ref="A599:A600"/>
    <mergeCell ref="A721:Z721"/>
    <mergeCell ref="A690:A697"/>
    <mergeCell ref="Z690:Z697"/>
    <mergeCell ref="A699:A704"/>
    <mergeCell ref="A714:Z714"/>
    <mergeCell ref="A716:Z716"/>
    <mergeCell ref="A656:A657"/>
    <mergeCell ref="Y656:Y657"/>
    <mergeCell ref="Z656:Z663"/>
    <mergeCell ref="A679:Z679"/>
    <mergeCell ref="A681:A688"/>
    <mergeCell ref="A720:Y720"/>
    <mergeCell ref="A719:Z719"/>
    <mergeCell ref="Z681:Z688"/>
    <mergeCell ref="A711:Z711"/>
    <mergeCell ref="A717:Z717"/>
    <mergeCell ref="A715:Z715"/>
    <mergeCell ref="A713:Z713"/>
    <mergeCell ref="A56:A63"/>
    <mergeCell ref="Y56:Y63"/>
    <mergeCell ref="Z56:Z63"/>
    <mergeCell ref="A48:A55"/>
    <mergeCell ref="Y48:Y55"/>
    <mergeCell ref="Z48:Z55"/>
    <mergeCell ref="Y70:Y77"/>
    <mergeCell ref="A78:A85"/>
    <mergeCell ref="A141:A145"/>
    <mergeCell ref="Y119:Y157"/>
    <mergeCell ref="Y64:Y66"/>
    <mergeCell ref="A153:A157"/>
    <mergeCell ref="A102:A109"/>
    <mergeCell ref="Z102:Z109"/>
    <mergeCell ref="Z86:Z93"/>
    <mergeCell ref="Y86:Y93"/>
    <mergeCell ref="A86:A93"/>
    <mergeCell ref="A119:A131"/>
    <mergeCell ref="Z78:Z85"/>
    <mergeCell ref="Y78:Y85"/>
    <mergeCell ref="A273:A280"/>
    <mergeCell ref="A399:A406"/>
    <mergeCell ref="Y94:Y101"/>
    <mergeCell ref="Y110:Y117"/>
    <mergeCell ref="A118:Z118"/>
    <mergeCell ref="A64:A66"/>
    <mergeCell ref="A70:A77"/>
    <mergeCell ref="Y322:Y374"/>
    <mergeCell ref="Z322:Z374"/>
    <mergeCell ref="A364:A366"/>
    <mergeCell ref="A190:A197"/>
    <mergeCell ref="Z182:Z197"/>
    <mergeCell ref="A316:A321"/>
    <mergeCell ref="Y316:Y321"/>
    <mergeCell ref="Z316:Z321"/>
    <mergeCell ref="Z375:Z382"/>
    <mergeCell ref="A391:A398"/>
    <mergeCell ref="Z198:Z204"/>
    <mergeCell ref="A182:A189"/>
    <mergeCell ref="Y213:Y220"/>
    <mergeCell ref="Z213:Z220"/>
    <mergeCell ref="A322:A329"/>
  </mergeCells>
  <conditionalFormatting sqref="R438">
    <cfRule type="cellIs" dxfId="6" priority="2" stopIfTrue="1" operator="equal">
      <formula>0</formula>
    </cfRule>
  </conditionalFormatting>
  <conditionalFormatting sqref="S446">
    <cfRule type="cellIs" dxfId="5" priority="1" stopIfTrue="1" operator="equal">
      <formula>0</formula>
    </cfRule>
  </conditionalFormatting>
  <printOptions horizontalCentered="1"/>
  <pageMargins left="0" right="0.39370078740157483" top="0.19685039370078741" bottom="0" header="0.31496062992125984" footer="0.31496062992125984"/>
  <pageSetup paperSize="9" scale="58" fitToHeight="20" orientation="landscape" r:id="rId1"/>
  <headerFooter differentFirst="1">
    <oddHeader>Страница &amp;P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O1197"/>
  <sheetViews>
    <sheetView showZeros="0" zoomScaleNormal="100" zoomScaleSheetLayoutView="90" workbookViewId="0">
      <pane xSplit="1" ySplit="10" topLeftCell="B11" activePane="bottomRight" state="frozen"/>
      <selection pane="topRight" activeCell="B1" sqref="B1"/>
      <selection pane="bottomLeft" activeCell="A11" sqref="A11"/>
      <selection pane="bottomRight" activeCell="K194" sqref="K194"/>
    </sheetView>
  </sheetViews>
  <sheetFormatPr defaultColWidth="8.85546875" defaultRowHeight="15"/>
  <cols>
    <col min="1" max="1" width="40.5703125" style="74" customWidth="1"/>
    <col min="2" max="2" width="21.85546875" style="548" customWidth="1"/>
    <col min="3" max="4" width="8.85546875" style="74" hidden="1" customWidth="1"/>
    <col min="5" max="5" width="9.7109375" style="74" hidden="1" customWidth="1"/>
    <col min="6" max="6" width="8.85546875" style="74" hidden="1" customWidth="1"/>
    <col min="7" max="7" width="12.85546875" style="304" customWidth="1"/>
    <col min="8" max="8" width="11.7109375" style="304" customWidth="1"/>
    <col min="9" max="9" width="11.28515625" style="304" customWidth="1"/>
    <col min="10" max="10" width="10.5703125" style="304" customWidth="1"/>
    <col min="11" max="11" width="11" style="304" customWidth="1"/>
    <col min="12" max="12" width="12.5703125" style="304" customWidth="1"/>
    <col min="13" max="13" width="13" style="304" customWidth="1"/>
    <col min="14" max="14" width="15.42578125" style="304" customWidth="1"/>
    <col min="15" max="15" width="26.140625" style="304" customWidth="1"/>
    <col min="16" max="18" width="9" style="43" hidden="1" customWidth="1"/>
    <col min="19" max="19" width="10.85546875" style="43" hidden="1" customWidth="1"/>
    <col min="20" max="20" width="15.140625" style="43" hidden="1" customWidth="1"/>
    <col min="21" max="21" width="12.140625" style="43" hidden="1" customWidth="1"/>
    <col min="22" max="22" width="12.28515625" style="43" hidden="1" customWidth="1"/>
    <col min="23" max="23" width="14.85546875" style="43" hidden="1" customWidth="1"/>
    <col min="24" max="24" width="12.85546875" style="43" hidden="1" customWidth="1"/>
    <col min="25" max="25" width="11.42578125" style="43" hidden="1" customWidth="1"/>
    <col min="26" max="26" width="8.85546875" style="43" hidden="1" customWidth="1"/>
    <col min="27" max="27" width="15.85546875" style="43" hidden="1" customWidth="1"/>
    <col min="28" max="28" width="8.85546875" style="43" hidden="1" customWidth="1"/>
    <col min="29" max="29" width="15.28515625" style="43" hidden="1" customWidth="1"/>
    <col min="30" max="33" width="0" style="43" hidden="1" customWidth="1"/>
    <col min="34" max="35" width="8.85546875" style="43"/>
    <col min="36" max="61" width="8.85546875" style="267"/>
    <col min="62" max="16384" width="8.85546875" style="43"/>
  </cols>
  <sheetData>
    <row r="1" spans="1:25" ht="12.6" customHeight="1">
      <c r="B1" s="548">
        <v>7</v>
      </c>
    </row>
    <row r="2" spans="1:25" ht="26.45" customHeight="1">
      <c r="N2" s="304" t="s">
        <v>474</v>
      </c>
      <c r="O2" s="77"/>
    </row>
    <row r="3" spans="1:25" ht="21" customHeight="1">
      <c r="A3" s="976" t="s">
        <v>779</v>
      </c>
      <c r="B3" s="976"/>
      <c r="C3" s="976"/>
      <c r="D3" s="976"/>
      <c r="E3" s="976"/>
      <c r="F3" s="976"/>
      <c r="G3" s="976"/>
      <c r="H3" s="976"/>
      <c r="I3" s="976"/>
      <c r="J3" s="976"/>
      <c r="K3" s="976"/>
      <c r="L3" s="976"/>
      <c r="M3" s="976"/>
      <c r="N3" s="976"/>
      <c r="O3" s="976"/>
    </row>
    <row r="4" spans="1:25" ht="43.9" customHeight="1">
      <c r="A4" s="976" t="s">
        <v>778</v>
      </c>
      <c r="B4" s="976"/>
      <c r="C4" s="976"/>
      <c r="D4" s="976"/>
      <c r="E4" s="976"/>
      <c r="F4" s="976"/>
      <c r="G4" s="976"/>
      <c r="H4" s="976"/>
      <c r="I4" s="976"/>
      <c r="J4" s="976"/>
      <c r="K4" s="976"/>
      <c r="L4" s="976"/>
      <c r="M4" s="976"/>
      <c r="N4" s="976"/>
      <c r="O4" s="976"/>
    </row>
    <row r="5" spans="1:25" ht="3" customHeight="1">
      <c r="A5" s="75"/>
    </row>
    <row r="6" spans="1:25" ht="21" customHeight="1">
      <c r="A6" s="977" t="s">
        <v>0</v>
      </c>
      <c r="B6" s="977" t="s">
        <v>1</v>
      </c>
      <c r="C6" s="977" t="s">
        <v>143</v>
      </c>
      <c r="D6" s="977"/>
      <c r="E6" s="977"/>
      <c r="F6" s="977"/>
      <c r="G6" s="944" t="s">
        <v>458</v>
      </c>
      <c r="H6" s="991" t="s">
        <v>895</v>
      </c>
      <c r="I6" s="992"/>
      <c r="J6" s="992"/>
      <c r="K6" s="993"/>
      <c r="L6" s="944" t="s">
        <v>518</v>
      </c>
      <c r="M6" s="933" t="s">
        <v>896</v>
      </c>
      <c r="N6" s="944" t="s">
        <v>2</v>
      </c>
      <c r="O6" s="944" t="s">
        <v>3</v>
      </c>
      <c r="T6" s="989" t="s">
        <v>715</v>
      </c>
      <c r="U6" s="989"/>
      <c r="V6" s="989"/>
      <c r="W6" s="989"/>
      <c r="X6" s="989"/>
    </row>
    <row r="7" spans="1:25" ht="20.45" customHeight="1">
      <c r="A7" s="977"/>
      <c r="B7" s="977"/>
      <c r="C7" s="977"/>
      <c r="D7" s="977"/>
      <c r="E7" s="977"/>
      <c r="F7" s="977"/>
      <c r="G7" s="944"/>
      <c r="H7" s="604" t="s">
        <v>146</v>
      </c>
      <c r="I7" s="604" t="s">
        <v>147</v>
      </c>
      <c r="J7" s="604" t="s">
        <v>148</v>
      </c>
      <c r="K7" s="641" t="s">
        <v>149</v>
      </c>
      <c r="L7" s="944"/>
      <c r="M7" s="934"/>
      <c r="N7" s="944"/>
      <c r="O7" s="944"/>
    </row>
    <row r="8" spans="1:25" ht="4.9000000000000004" hidden="1" customHeight="1">
      <c r="A8" s="977"/>
      <c r="B8" s="977"/>
      <c r="C8" s="550" t="s">
        <v>4</v>
      </c>
      <c r="D8" s="550" t="s">
        <v>5</v>
      </c>
      <c r="E8" s="550" t="s">
        <v>6</v>
      </c>
      <c r="F8" s="550" t="s">
        <v>7</v>
      </c>
      <c r="G8" s="944"/>
      <c r="H8" s="604"/>
      <c r="I8" s="604"/>
      <c r="J8" s="604"/>
      <c r="K8" s="641"/>
      <c r="L8" s="944"/>
      <c r="M8" s="604"/>
      <c r="N8" s="944"/>
      <c r="O8" s="944"/>
    </row>
    <row r="9" spans="1:25">
      <c r="A9" s="550">
        <v>1</v>
      </c>
      <c r="B9" s="550">
        <v>2</v>
      </c>
      <c r="C9" s="550">
        <v>3</v>
      </c>
      <c r="D9" s="550">
        <v>4</v>
      </c>
      <c r="E9" s="550">
        <v>5</v>
      </c>
      <c r="F9" s="550">
        <v>6</v>
      </c>
      <c r="G9" s="604">
        <v>3</v>
      </c>
      <c r="H9" s="604">
        <v>4</v>
      </c>
      <c r="I9" s="604">
        <v>5</v>
      </c>
      <c r="J9" s="604">
        <v>6</v>
      </c>
      <c r="K9" s="641">
        <v>7</v>
      </c>
      <c r="L9" s="604">
        <v>8</v>
      </c>
      <c r="M9" s="604">
        <v>9</v>
      </c>
      <c r="N9" s="604">
        <v>10</v>
      </c>
      <c r="O9" s="604">
        <v>11</v>
      </c>
      <c r="Q9" s="1024">
        <v>2020</v>
      </c>
      <c r="R9" s="1024"/>
      <c r="S9" s="1024"/>
      <c r="T9" s="1024">
        <v>2021</v>
      </c>
      <c r="U9" s="1024"/>
      <c r="V9" s="1024"/>
      <c r="W9" s="1024">
        <v>2022</v>
      </c>
      <c r="X9" s="1024"/>
      <c r="Y9" s="1024"/>
    </row>
    <row r="10" spans="1:25" ht="136.15" hidden="1" customHeight="1">
      <c r="A10" s="554" t="s">
        <v>12</v>
      </c>
      <c r="B10" s="550"/>
      <c r="C10" s="550">
        <v>176</v>
      </c>
      <c r="D10" s="550" t="s">
        <v>15</v>
      </c>
      <c r="E10" s="550" t="s">
        <v>16</v>
      </c>
      <c r="F10" s="550" t="s">
        <v>28</v>
      </c>
      <c r="G10" s="604"/>
      <c r="H10" s="604"/>
      <c r="I10" s="604"/>
      <c r="J10" s="604"/>
      <c r="K10" s="641"/>
      <c r="L10" s="604"/>
      <c r="M10" s="604"/>
      <c r="N10" s="604"/>
      <c r="O10" s="604"/>
      <c r="Q10" s="50"/>
      <c r="R10" s="50"/>
      <c r="S10" s="50"/>
      <c r="T10" s="50"/>
      <c r="U10" s="50"/>
      <c r="V10" s="50"/>
      <c r="W10" s="50"/>
      <c r="X10" s="50"/>
      <c r="Y10" s="50"/>
    </row>
    <row r="11" spans="1:25" ht="27" customHeight="1">
      <c r="A11" s="887" t="s">
        <v>783</v>
      </c>
      <c r="B11" s="57" t="s">
        <v>89</v>
      </c>
      <c r="C11" s="57"/>
      <c r="D11" s="57"/>
      <c r="E11" s="57"/>
      <c r="F11" s="57"/>
      <c r="G11" s="79">
        <f>K11</f>
        <v>17.859323092576776</v>
      </c>
      <c r="H11" s="79">
        <f>H45+H59+H110+H154+H165+H181+H245+H257+H265+H325+H338+H361+H373+H397</f>
        <v>0</v>
      </c>
      <c r="I11" s="79">
        <f>I45+I59+I110+I154+I165+I181+I245+I257+I265+I325+I338+I361+I373+I397</f>
        <v>0</v>
      </c>
      <c r="J11" s="79">
        <f>J45+J59+J110+J154+J165+J181+J245+J257+J265+J325+J338+J361+J373+J397</f>
        <v>0</v>
      </c>
      <c r="K11" s="79">
        <f>K45+K59+K110+K154+K165+K181+K245+K265+K325+K337+K361+K373+K397</f>
        <v>17.859323092576776</v>
      </c>
      <c r="L11" s="79">
        <f>L45+L59+L110+L154+L165+L181+L245+L265+L325+L337+L361+L373+L397+L49</f>
        <v>13.299999999999999</v>
      </c>
      <c r="M11" s="79">
        <f>M45+M138+M201+M265+M397</f>
        <v>19</v>
      </c>
      <c r="N11" s="994" t="s">
        <v>870</v>
      </c>
      <c r="O11" s="933" t="s">
        <v>1127</v>
      </c>
      <c r="Q11" s="50"/>
      <c r="R11" s="49" t="s">
        <v>271</v>
      </c>
      <c r="S11" s="49" t="s">
        <v>272</v>
      </c>
      <c r="T11" s="50"/>
      <c r="U11" s="49" t="s">
        <v>271</v>
      </c>
      <c r="V11" s="49" t="s">
        <v>272</v>
      </c>
      <c r="W11" s="50"/>
      <c r="X11" s="49" t="s">
        <v>271</v>
      </c>
      <c r="Y11" s="49" t="s">
        <v>272</v>
      </c>
    </row>
    <row r="12" spans="1:25" ht="27" customHeight="1">
      <c r="A12" s="888"/>
      <c r="B12" s="57" t="s">
        <v>24</v>
      </c>
      <c r="C12" s="57"/>
      <c r="D12" s="57"/>
      <c r="E12" s="57"/>
      <c r="F12" s="57"/>
      <c r="G12" s="638">
        <v>79349.899999999994</v>
      </c>
      <c r="H12" s="638"/>
      <c r="I12" s="638"/>
      <c r="J12" s="638"/>
      <c r="K12" s="638"/>
      <c r="L12" s="638">
        <f>L13/L11</f>
        <v>141406.01503759398</v>
      </c>
      <c r="M12" s="80">
        <f t="shared" ref="M12" si="0">M13/M11</f>
        <v>62132.889473684205</v>
      </c>
      <c r="N12" s="995"/>
      <c r="O12" s="946"/>
      <c r="Q12" s="50"/>
      <c r="R12" s="51"/>
      <c r="S12" s="51"/>
      <c r="T12" s="52"/>
      <c r="U12" s="51"/>
      <c r="V12" s="51"/>
      <c r="W12" s="52"/>
      <c r="X12" s="51"/>
      <c r="Y12" s="51"/>
    </row>
    <row r="13" spans="1:25" ht="27" customHeight="1">
      <c r="A13" s="888"/>
      <c r="B13" s="57" t="s">
        <v>25</v>
      </c>
      <c r="C13" s="57">
        <v>176</v>
      </c>
      <c r="D13" s="57" t="s">
        <v>15</v>
      </c>
      <c r="E13" s="57">
        <v>6100404</v>
      </c>
      <c r="F13" s="57">
        <v>414</v>
      </c>
      <c r="G13" s="638">
        <f>SUM(G15:G19)</f>
        <v>1430253</v>
      </c>
      <c r="H13" s="638">
        <f t="shared" ref="H13:K13" si="1">SUM(H15:H19)</f>
        <v>5736.3</v>
      </c>
      <c r="I13" s="638">
        <f t="shared" si="1"/>
        <v>0</v>
      </c>
      <c r="J13" s="638">
        <f t="shared" si="1"/>
        <v>0</v>
      </c>
      <c r="K13" s="638">
        <f t="shared" si="1"/>
        <v>1424516.7</v>
      </c>
      <c r="L13" s="638">
        <f>L15+L16+L18</f>
        <v>1880700</v>
      </c>
      <c r="M13" s="80">
        <f>M15+M16+M18</f>
        <v>1180524.8999999999</v>
      </c>
      <c r="N13" s="995"/>
      <c r="O13" s="946"/>
      <c r="Q13" s="49" t="s">
        <v>269</v>
      </c>
      <c r="R13" s="305">
        <f>K169+K194</f>
        <v>6.6593230925767743</v>
      </c>
      <c r="S13" s="305">
        <f>K169</f>
        <v>1.5</v>
      </c>
      <c r="T13" s="49" t="s">
        <v>269</v>
      </c>
      <c r="U13" s="306">
        <f>L126+L169+L194</f>
        <v>0</v>
      </c>
      <c r="V13" s="271">
        <f>L169</f>
        <v>0</v>
      </c>
      <c r="W13" s="49" t="s">
        <v>269</v>
      </c>
      <c r="X13" s="101">
        <f>M305</f>
        <v>1</v>
      </c>
      <c r="Y13" s="271">
        <f>M305</f>
        <v>1</v>
      </c>
    </row>
    <row r="14" spans="1:25" ht="27" customHeight="1">
      <c r="A14" s="888"/>
      <c r="B14" s="57" t="s">
        <v>9</v>
      </c>
      <c r="C14" s="57"/>
      <c r="D14" s="57"/>
      <c r="E14" s="57"/>
      <c r="F14" s="57"/>
      <c r="G14" s="80"/>
      <c r="H14" s="80"/>
      <c r="I14" s="80"/>
      <c r="J14" s="80"/>
      <c r="K14" s="80"/>
      <c r="L14" s="80"/>
      <c r="M14" s="80"/>
      <c r="N14" s="995"/>
      <c r="O14" s="946"/>
      <c r="Q14" s="49" t="s">
        <v>270</v>
      </c>
      <c r="R14" s="305">
        <f>K67+K297+K369+K377</f>
        <v>11.200000000000001</v>
      </c>
      <c r="S14" s="305">
        <f>K67+K297+K369+K377</f>
        <v>11.200000000000001</v>
      </c>
      <c r="T14" s="49" t="s">
        <v>270</v>
      </c>
      <c r="U14" s="306">
        <f>L49+L249+L271+L275+L377</f>
        <v>13.299999999999999</v>
      </c>
      <c r="V14" s="271">
        <f>L49+L249+L271+L275+L377</f>
        <v>13.299999999999999</v>
      </c>
      <c r="W14" s="49" t="s">
        <v>270</v>
      </c>
      <c r="X14" s="305">
        <f>Y14</f>
        <v>18</v>
      </c>
      <c r="Y14" s="271">
        <f>M49+M142+M205+M271+M309+M409</f>
        <v>18</v>
      </c>
    </row>
    <row r="15" spans="1:25" ht="27" customHeight="1">
      <c r="A15" s="888"/>
      <c r="B15" s="57" t="s">
        <v>10</v>
      </c>
      <c r="C15" s="57">
        <v>176</v>
      </c>
      <c r="D15" s="57" t="s">
        <v>15</v>
      </c>
      <c r="E15" s="57">
        <v>6100404</v>
      </c>
      <c r="F15" s="57">
        <v>414</v>
      </c>
      <c r="G15" s="80">
        <f>G31+G47+G61+G112+G140+G156+G167+G183+G247+G259+G267+G327+G339+G363+G375+G399+G434+G437</f>
        <v>568299.80000000005</v>
      </c>
      <c r="H15" s="80">
        <f>H31+H47+H61+H112+H140+H156+H167+H183+H247+H259+H267+H327+H339+H363+H375+H399+H434+H437</f>
        <v>5736.3</v>
      </c>
      <c r="I15" s="80">
        <f>I31+I47+I61+I112+I140+I156+I167+I183+I247+I259+I267+I327+I339+I363+I375+I399+I434+I437</f>
        <v>0</v>
      </c>
      <c r="J15" s="80">
        <f>J31+J47+J61+J112+J140+J156+J167+J183+J247+J259+J267+J327+J339+J363+J375+J399+J434+J437</f>
        <v>0</v>
      </c>
      <c r="K15" s="80">
        <f>K31+K47+K61+K112+K140+K156+K167+K183+K247+K259+K267+K327+K339+K363+K375+K399+K434+K437</f>
        <v>562563.5</v>
      </c>
      <c r="L15" s="80">
        <f>L47+L61+L140+L167+L183+L203+L247+L267+L363+L375+L387+L399</f>
        <v>910700</v>
      </c>
      <c r="M15" s="80">
        <f>M47+M61+M140+M167+M183+M203+M247+M267+M363+M375+M387+M399</f>
        <v>1180524.8999999999</v>
      </c>
      <c r="N15" s="995"/>
      <c r="O15" s="946"/>
      <c r="P15" s="98"/>
      <c r="Q15" s="47"/>
      <c r="R15" s="407"/>
      <c r="S15" s="407"/>
      <c r="T15" s="407"/>
      <c r="U15" s="407"/>
      <c r="V15" s="407"/>
      <c r="W15" s="407"/>
      <c r="X15" s="407"/>
      <c r="Y15" s="407"/>
    </row>
    <row r="16" spans="1:25" ht="27" customHeight="1">
      <c r="A16" s="888"/>
      <c r="B16" s="57" t="s">
        <v>436</v>
      </c>
      <c r="C16" s="57"/>
      <c r="D16" s="57"/>
      <c r="E16" s="57"/>
      <c r="F16" s="57"/>
      <c r="G16" s="80">
        <f>K16</f>
        <v>861953.2</v>
      </c>
      <c r="H16" s="80">
        <f t="shared" ref="H16:J16" si="2">H270</f>
        <v>0</v>
      </c>
      <c r="I16" s="80">
        <f t="shared" si="2"/>
        <v>0</v>
      </c>
      <c r="J16" s="80">
        <f t="shared" si="2"/>
        <v>0</v>
      </c>
      <c r="K16" s="80">
        <f>K48+K62+K113+K157+K168+K184+K248+K270+K328+K340+K364+K376+K400+K435</f>
        <v>861953.2</v>
      </c>
      <c r="L16" s="80">
        <f>L48+L62+L113+L157+L168+L184+L248+L270+L328+L340+L364+L376+L400+L435</f>
        <v>970000</v>
      </c>
      <c r="M16" s="80">
        <f t="shared" ref="M16" si="3">M270</f>
        <v>0</v>
      </c>
      <c r="N16" s="995"/>
      <c r="O16" s="946"/>
      <c r="P16" s="98"/>
      <c r="Q16" s="47"/>
      <c r="R16" s="464"/>
      <c r="V16" s="615"/>
      <c r="Y16" s="407"/>
    </row>
    <row r="17" spans="1:61" ht="27" customHeight="1">
      <c r="A17" s="888"/>
      <c r="B17" s="627" t="s">
        <v>436</v>
      </c>
      <c r="C17" s="627"/>
      <c r="D17" s="627"/>
      <c r="E17" s="627"/>
      <c r="F17" s="627"/>
      <c r="G17" s="80">
        <f>G25</f>
        <v>0</v>
      </c>
      <c r="H17" s="80"/>
      <c r="I17" s="80"/>
      <c r="J17" s="80"/>
      <c r="K17" s="80">
        <f>K25</f>
        <v>0</v>
      </c>
      <c r="L17" s="80"/>
      <c r="M17" s="80"/>
      <c r="N17" s="995"/>
      <c r="O17" s="946"/>
      <c r="P17" s="98"/>
      <c r="Q17" s="47"/>
      <c r="R17" s="464"/>
      <c r="V17" s="615"/>
      <c r="Y17" s="407"/>
    </row>
    <row r="18" spans="1:61" ht="27" customHeight="1">
      <c r="A18" s="888"/>
      <c r="B18" s="57" t="s">
        <v>435</v>
      </c>
      <c r="C18" s="57">
        <v>176</v>
      </c>
      <c r="D18" s="57" t="s">
        <v>15</v>
      </c>
      <c r="E18" s="57" t="s">
        <v>27</v>
      </c>
      <c r="F18" s="57" t="s">
        <v>28</v>
      </c>
      <c r="G18" s="80">
        <f>G32</f>
        <v>0</v>
      </c>
      <c r="H18" s="80">
        <f t="shared" ref="H18:K18" si="4">H32</f>
        <v>0</v>
      </c>
      <c r="I18" s="80">
        <f t="shared" si="4"/>
        <v>0</v>
      </c>
      <c r="J18" s="80">
        <f t="shared" si="4"/>
        <v>0</v>
      </c>
      <c r="K18" s="80">
        <f t="shared" si="4"/>
        <v>0</v>
      </c>
      <c r="L18" s="80"/>
      <c r="M18" s="80">
        <f>M32+M48+M62+M97+M113+M168+M184+M204+M215+M248+M260+M268+M328+M340+M348+M364+M376+M396+M400+M416+M435</f>
        <v>0</v>
      </c>
      <c r="N18" s="995"/>
      <c r="O18" s="946"/>
      <c r="Q18" s="47"/>
      <c r="R18" s="47"/>
      <c r="S18" s="47"/>
      <c r="T18" s="47"/>
      <c r="U18" s="47"/>
      <c r="V18" s="615"/>
      <c r="W18" s="47"/>
      <c r="X18" s="47"/>
      <c r="Y18" s="47"/>
    </row>
    <row r="19" spans="1:61" ht="27" customHeight="1">
      <c r="A19" s="889"/>
      <c r="B19" s="57" t="s">
        <v>447</v>
      </c>
      <c r="C19" s="57"/>
      <c r="D19" s="57"/>
      <c r="E19" s="57"/>
      <c r="F19" s="57"/>
      <c r="G19" s="80">
        <v>0</v>
      </c>
      <c r="H19" s="80">
        <f t="shared" ref="H19:I19" si="5">H84+H88</f>
        <v>0</v>
      </c>
      <c r="I19" s="80">
        <f t="shared" si="5"/>
        <v>0</v>
      </c>
      <c r="J19" s="80">
        <v>0</v>
      </c>
      <c r="K19" s="80">
        <v>0</v>
      </c>
      <c r="L19" s="80"/>
      <c r="M19" s="80"/>
      <c r="N19" s="996"/>
      <c r="O19" s="934"/>
      <c r="Q19" s="47"/>
      <c r="R19" s="47"/>
      <c r="S19" s="47"/>
      <c r="T19" s="47"/>
      <c r="U19" s="47"/>
      <c r="V19" s="47"/>
      <c r="W19" s="47"/>
      <c r="X19" s="47"/>
      <c r="Y19" s="47"/>
    </row>
    <row r="20" spans="1:61" ht="27" customHeight="1">
      <c r="A20" s="887" t="s">
        <v>784</v>
      </c>
      <c r="B20" s="57" t="s">
        <v>89</v>
      </c>
      <c r="C20" s="57"/>
      <c r="D20" s="57"/>
      <c r="E20" s="57"/>
      <c r="F20" s="57"/>
      <c r="G20" s="80">
        <f>G11</f>
        <v>17.859323092576776</v>
      </c>
      <c r="H20" s="80">
        <f t="shared" ref="H20:M20" si="6">H11</f>
        <v>0</v>
      </c>
      <c r="I20" s="80">
        <f t="shared" si="6"/>
        <v>0</v>
      </c>
      <c r="J20" s="80">
        <f t="shared" si="6"/>
        <v>0</v>
      </c>
      <c r="K20" s="80">
        <f>K45+K59+K138+K165+K181+K201+K245+K265+K361+K373</f>
        <v>17.859323092576776</v>
      </c>
      <c r="L20" s="80">
        <f t="shared" si="6"/>
        <v>13.299999999999999</v>
      </c>
      <c r="M20" s="80">
        <f t="shared" si="6"/>
        <v>19</v>
      </c>
      <c r="N20" s="994" t="s">
        <v>870</v>
      </c>
      <c r="O20" s="933" t="s">
        <v>1075</v>
      </c>
      <c r="S20" s="464"/>
      <c r="U20" s="407"/>
      <c r="X20" s="407"/>
    </row>
    <row r="21" spans="1:61" ht="27" customHeight="1">
      <c r="A21" s="888"/>
      <c r="B21" s="57" t="s">
        <v>24</v>
      </c>
      <c r="C21" s="57"/>
      <c r="D21" s="57"/>
      <c r="E21" s="57"/>
      <c r="F21" s="57"/>
      <c r="G21" s="638">
        <f>G12</f>
        <v>79349.899999999994</v>
      </c>
      <c r="H21" s="638">
        <f t="shared" ref="H21:M21" si="7">H12</f>
        <v>0</v>
      </c>
      <c r="I21" s="638">
        <f t="shared" si="7"/>
        <v>0</v>
      </c>
      <c r="J21" s="638">
        <f t="shared" si="7"/>
        <v>0</v>
      </c>
      <c r="K21" s="638">
        <f t="shared" si="7"/>
        <v>0</v>
      </c>
      <c r="L21" s="638">
        <f t="shared" si="7"/>
        <v>141406.01503759398</v>
      </c>
      <c r="M21" s="638">
        <f t="shared" si="7"/>
        <v>62132.889473684205</v>
      </c>
      <c r="N21" s="995"/>
      <c r="O21" s="946"/>
    </row>
    <row r="22" spans="1:61" ht="27" customHeight="1">
      <c r="A22" s="888"/>
      <c r="B22" s="57" t="s">
        <v>25</v>
      </c>
      <c r="C22" s="57"/>
      <c r="D22" s="57"/>
      <c r="E22" s="57"/>
      <c r="F22" s="57"/>
      <c r="G22" s="80">
        <f>G23+G24+G25</f>
        <v>1424516.7</v>
      </c>
      <c r="H22" s="80">
        <f t="shared" ref="H22:K22" si="8">H23+H24+H25</f>
        <v>0</v>
      </c>
      <c r="I22" s="80">
        <f t="shared" si="8"/>
        <v>0</v>
      </c>
      <c r="J22" s="80">
        <f t="shared" si="8"/>
        <v>0</v>
      </c>
      <c r="K22" s="80">
        <f t="shared" si="8"/>
        <v>1424516.7</v>
      </c>
      <c r="L22" s="80">
        <f t="shared" ref="L22:M22" si="9">L23+L24</f>
        <v>1880700</v>
      </c>
      <c r="M22" s="80">
        <f t="shared" si="9"/>
        <v>1180524.8999999999</v>
      </c>
      <c r="N22" s="995"/>
      <c r="O22" s="946"/>
    </row>
    <row r="23" spans="1:61" ht="27" customHeight="1">
      <c r="A23" s="888"/>
      <c r="B23" s="57" t="s">
        <v>10</v>
      </c>
      <c r="C23" s="57"/>
      <c r="D23" s="57"/>
      <c r="E23" s="57"/>
      <c r="F23" s="57"/>
      <c r="G23" s="80">
        <f>K23</f>
        <v>562563.5</v>
      </c>
      <c r="H23" s="80"/>
      <c r="I23" s="80"/>
      <c r="J23" s="80"/>
      <c r="K23" s="80">
        <f>K15</f>
        <v>562563.5</v>
      </c>
      <c r="L23" s="80">
        <f t="shared" ref="L23:M23" si="10">L15</f>
        <v>910700</v>
      </c>
      <c r="M23" s="80">
        <f t="shared" si="10"/>
        <v>1180524.8999999999</v>
      </c>
      <c r="N23" s="995"/>
      <c r="O23" s="946"/>
    </row>
    <row r="24" spans="1:61" ht="27" customHeight="1">
      <c r="A24" s="888"/>
      <c r="B24" s="57" t="s">
        <v>436</v>
      </c>
      <c r="C24" s="57"/>
      <c r="D24" s="57"/>
      <c r="E24" s="57"/>
      <c r="F24" s="57"/>
      <c r="G24" s="80">
        <f>G16</f>
        <v>861953.2</v>
      </c>
      <c r="H24" s="80">
        <f>H16</f>
        <v>0</v>
      </c>
      <c r="I24" s="80">
        <f>I16</f>
        <v>0</v>
      </c>
      <c r="J24" s="80">
        <f>J16</f>
        <v>0</v>
      </c>
      <c r="K24" s="80">
        <f>K16</f>
        <v>861953.2</v>
      </c>
      <c r="L24" s="80">
        <f>L16</f>
        <v>970000</v>
      </c>
      <c r="M24" s="80">
        <f>M16</f>
        <v>0</v>
      </c>
      <c r="N24" s="995"/>
      <c r="O24" s="946"/>
    </row>
    <row r="25" spans="1:61" ht="27" customHeight="1">
      <c r="A25" s="888"/>
      <c r="B25" s="627" t="s">
        <v>248</v>
      </c>
      <c r="C25" s="627"/>
      <c r="D25" s="627"/>
      <c r="E25" s="627"/>
      <c r="F25" s="627"/>
      <c r="G25" s="80">
        <f>K25</f>
        <v>0</v>
      </c>
      <c r="H25" s="80"/>
      <c r="I25" s="80"/>
      <c r="J25" s="80"/>
      <c r="K25" s="80">
        <f>K416</f>
        <v>0</v>
      </c>
      <c r="L25" s="80"/>
      <c r="M25" s="80"/>
      <c r="N25" s="995"/>
      <c r="O25" s="946"/>
    </row>
    <row r="26" spans="1:61" ht="27" customHeight="1">
      <c r="A26" s="888"/>
      <c r="B26" s="57" t="s">
        <v>435</v>
      </c>
      <c r="C26" s="57"/>
      <c r="D26" s="57"/>
      <c r="E26" s="57"/>
      <c r="F26" s="57"/>
      <c r="G26" s="80"/>
      <c r="H26" s="80"/>
      <c r="I26" s="80"/>
      <c r="J26" s="80"/>
      <c r="K26" s="80"/>
      <c r="L26" s="80"/>
      <c r="M26" s="80"/>
      <c r="N26" s="995"/>
      <c r="O26" s="946"/>
    </row>
    <row r="27" spans="1:61" ht="27" customHeight="1">
      <c r="A27" s="889"/>
      <c r="B27" s="561" t="s">
        <v>447</v>
      </c>
      <c r="C27" s="561"/>
      <c r="D27" s="561"/>
      <c r="E27" s="561"/>
      <c r="F27" s="561"/>
      <c r="G27" s="263">
        <v>0</v>
      </c>
      <c r="H27" s="263"/>
      <c r="I27" s="263"/>
      <c r="J27" s="263"/>
      <c r="K27" s="263"/>
      <c r="L27" s="263"/>
      <c r="M27" s="263"/>
      <c r="N27" s="996"/>
      <c r="O27" s="946"/>
      <c r="P27" s="988"/>
      <c r="Q27" s="989"/>
      <c r="R27" s="989"/>
    </row>
    <row r="28" spans="1:61" ht="17.45" hidden="1" customHeight="1">
      <c r="A28" s="466" t="s">
        <v>29</v>
      </c>
      <c r="B28" s="554"/>
      <c r="C28" s="554"/>
      <c r="D28" s="554"/>
      <c r="E28" s="554"/>
      <c r="F28" s="554"/>
      <c r="G28" s="607"/>
      <c r="H28" s="607"/>
      <c r="I28" s="607"/>
      <c r="J28" s="607"/>
      <c r="K28" s="642"/>
      <c r="L28" s="607"/>
      <c r="M28" s="607"/>
      <c r="N28" s="635"/>
      <c r="O28" s="607"/>
    </row>
    <row r="29" spans="1:61" s="44" customFormat="1" ht="24.6" hidden="1" customHeight="1">
      <c r="A29" s="945" t="s">
        <v>96</v>
      </c>
      <c r="B29" s="57" t="s">
        <v>89</v>
      </c>
      <c r="C29" s="57"/>
      <c r="D29" s="57"/>
      <c r="E29" s="57"/>
      <c r="F29" s="57"/>
      <c r="G29" s="80">
        <f t="shared" ref="G29:M29" si="11">G33+G37+G41</f>
        <v>0</v>
      </c>
      <c r="H29" s="80">
        <f t="shared" si="11"/>
        <v>0</v>
      </c>
      <c r="I29" s="80">
        <f t="shared" si="11"/>
        <v>0</v>
      </c>
      <c r="J29" s="80">
        <f t="shared" si="11"/>
        <v>0</v>
      </c>
      <c r="K29" s="80">
        <f t="shared" si="11"/>
        <v>0</v>
      </c>
      <c r="L29" s="80">
        <f>L33</f>
        <v>0</v>
      </c>
      <c r="M29" s="80">
        <f t="shared" si="11"/>
        <v>0</v>
      </c>
      <c r="N29" s="635"/>
      <c r="O29" s="610"/>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row>
    <row r="30" spans="1:61" s="44" customFormat="1" ht="24.6" hidden="1" customHeight="1">
      <c r="A30" s="945"/>
      <c r="B30" s="57" t="s">
        <v>235</v>
      </c>
      <c r="C30" s="57"/>
      <c r="D30" s="57"/>
      <c r="E30" s="57"/>
      <c r="F30" s="57"/>
      <c r="G30" s="80">
        <f t="shared" ref="G30:M30" si="12">G31+G32</f>
        <v>0</v>
      </c>
      <c r="H30" s="80">
        <f t="shared" si="12"/>
        <v>0</v>
      </c>
      <c r="I30" s="80">
        <f t="shared" si="12"/>
        <v>0</v>
      </c>
      <c r="J30" s="80">
        <f t="shared" si="12"/>
        <v>0</v>
      </c>
      <c r="K30" s="80">
        <f t="shared" si="12"/>
        <v>0</v>
      </c>
      <c r="L30" s="80">
        <f t="shared" si="12"/>
        <v>0</v>
      </c>
      <c r="M30" s="80">
        <f t="shared" si="12"/>
        <v>0</v>
      </c>
      <c r="N30" s="607"/>
      <c r="O30" s="610"/>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row>
    <row r="31" spans="1:61" s="44" customFormat="1" ht="24.6" hidden="1" customHeight="1">
      <c r="A31" s="945"/>
      <c r="B31" s="57" t="s">
        <v>10</v>
      </c>
      <c r="C31" s="57"/>
      <c r="D31" s="57"/>
      <c r="E31" s="57"/>
      <c r="F31" s="57"/>
      <c r="G31" s="80">
        <f>G35</f>
        <v>0</v>
      </c>
      <c r="H31" s="80">
        <f t="shared" ref="H31:K31" si="13">H35</f>
        <v>0</v>
      </c>
      <c r="I31" s="80">
        <f t="shared" si="13"/>
        <v>0</v>
      </c>
      <c r="J31" s="80">
        <f t="shared" si="13"/>
        <v>0</v>
      </c>
      <c r="K31" s="80">
        <f t="shared" si="13"/>
        <v>0</v>
      </c>
      <c r="L31" s="80"/>
      <c r="M31" s="80">
        <f t="shared" ref="M31" si="14">M35</f>
        <v>0</v>
      </c>
      <c r="N31" s="607"/>
      <c r="O31" s="610"/>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row>
    <row r="32" spans="1:61" s="44" customFormat="1" ht="28.9" hidden="1" customHeight="1">
      <c r="A32" s="945"/>
      <c r="B32" s="57" t="s">
        <v>34</v>
      </c>
      <c r="C32" s="57"/>
      <c r="D32" s="57"/>
      <c r="E32" s="57"/>
      <c r="F32" s="57"/>
      <c r="G32" s="80">
        <f>G36</f>
        <v>0</v>
      </c>
      <c r="H32" s="80">
        <f t="shared" ref="H32:K32" si="15">H36</f>
        <v>0</v>
      </c>
      <c r="I32" s="80">
        <f t="shared" si="15"/>
        <v>0</v>
      </c>
      <c r="J32" s="80">
        <f t="shared" si="15"/>
        <v>0</v>
      </c>
      <c r="K32" s="80">
        <f t="shared" si="15"/>
        <v>0</v>
      </c>
      <c r="L32" s="80"/>
      <c r="M32" s="80">
        <f t="shared" ref="M32" si="16">M36</f>
        <v>0</v>
      </c>
      <c r="N32" s="607"/>
      <c r="O32" s="610"/>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row>
    <row r="33" spans="1:61" s="44" customFormat="1" ht="28.9" hidden="1" customHeight="1">
      <c r="A33" s="943" t="s">
        <v>481</v>
      </c>
      <c r="B33" s="546" t="s">
        <v>89</v>
      </c>
      <c r="C33" s="57"/>
      <c r="D33" s="57"/>
      <c r="E33" s="57"/>
      <c r="F33" s="57"/>
      <c r="G33" s="93"/>
      <c r="H33" s="93"/>
      <c r="I33" s="93"/>
      <c r="J33" s="93"/>
      <c r="K33" s="93"/>
      <c r="L33" s="80"/>
      <c r="M33" s="92"/>
      <c r="N33" s="607"/>
      <c r="O33" s="944" t="s">
        <v>519</v>
      </c>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row>
    <row r="34" spans="1:61" ht="28.9" hidden="1" customHeight="1">
      <c r="A34" s="943"/>
      <c r="B34" s="546" t="s">
        <v>235</v>
      </c>
      <c r="C34" s="546">
        <v>176</v>
      </c>
      <c r="D34" s="546" t="s">
        <v>15</v>
      </c>
      <c r="E34" s="546">
        <v>6100404</v>
      </c>
      <c r="F34" s="546">
        <v>414</v>
      </c>
      <c r="G34" s="81"/>
      <c r="H34" s="81"/>
      <c r="I34" s="81"/>
      <c r="J34" s="81"/>
      <c r="K34" s="81"/>
      <c r="L34" s="310"/>
      <c r="M34" s="81">
        <f>M36</f>
        <v>0</v>
      </c>
      <c r="N34" s="607"/>
      <c r="O34" s="944"/>
    </row>
    <row r="35" spans="1:61" ht="24.6" hidden="1" customHeight="1">
      <c r="A35" s="943"/>
      <c r="B35" s="546" t="s">
        <v>10</v>
      </c>
      <c r="C35" s="546"/>
      <c r="D35" s="546"/>
      <c r="E35" s="546"/>
      <c r="F35" s="546"/>
      <c r="G35" s="81"/>
      <c r="H35" s="81"/>
      <c r="I35" s="81"/>
      <c r="J35" s="81"/>
      <c r="K35" s="81"/>
      <c r="L35" s="310"/>
      <c r="M35" s="81"/>
      <c r="N35" s="607"/>
      <c r="O35" s="944"/>
    </row>
    <row r="36" spans="1:61" ht="25.5" hidden="1" customHeight="1">
      <c r="A36" s="943"/>
      <c r="B36" s="546" t="s">
        <v>34</v>
      </c>
      <c r="C36" s="546"/>
      <c r="D36" s="546"/>
      <c r="E36" s="546"/>
      <c r="F36" s="546"/>
      <c r="G36" s="81"/>
      <c r="H36" s="81"/>
      <c r="I36" s="81"/>
      <c r="J36" s="81"/>
      <c r="K36" s="81"/>
      <c r="L36" s="310"/>
      <c r="M36" s="81"/>
      <c r="N36" s="607"/>
      <c r="O36" s="944"/>
    </row>
    <row r="37" spans="1:61" ht="24.6" hidden="1" customHeight="1">
      <c r="A37" s="990" t="s">
        <v>13</v>
      </c>
      <c r="B37" s="546" t="s">
        <v>89</v>
      </c>
      <c r="C37" s="546"/>
      <c r="D37" s="546"/>
      <c r="E37" s="546"/>
      <c r="F37" s="546"/>
      <c r="G37" s="81"/>
      <c r="H37" s="81"/>
      <c r="I37" s="81"/>
      <c r="J37" s="81"/>
      <c r="K37" s="81"/>
      <c r="L37" s="81"/>
      <c r="M37" s="81"/>
      <c r="N37" s="607"/>
      <c r="O37" s="944" t="s">
        <v>196</v>
      </c>
    </row>
    <row r="38" spans="1:61" ht="24.6" hidden="1" customHeight="1">
      <c r="A38" s="990"/>
      <c r="B38" s="546" t="s">
        <v>235</v>
      </c>
      <c r="C38" s="546">
        <v>176</v>
      </c>
      <c r="D38" s="546" t="s">
        <v>15</v>
      </c>
      <c r="E38" s="546">
        <v>6100404</v>
      </c>
      <c r="F38" s="546">
        <v>414</v>
      </c>
      <c r="G38" s="81"/>
      <c r="H38" s="81"/>
      <c r="I38" s="81"/>
      <c r="J38" s="81"/>
      <c r="K38" s="81"/>
      <c r="L38" s="81"/>
      <c r="M38" s="81"/>
      <c r="N38" s="607"/>
      <c r="O38" s="944"/>
    </row>
    <row r="39" spans="1:61" ht="24.6" hidden="1" customHeight="1">
      <c r="A39" s="990"/>
      <c r="B39" s="546" t="s">
        <v>10</v>
      </c>
      <c r="C39" s="546"/>
      <c r="D39" s="546"/>
      <c r="E39" s="546"/>
      <c r="F39" s="546"/>
      <c r="G39" s="81"/>
      <c r="H39" s="81"/>
      <c r="I39" s="81"/>
      <c r="J39" s="81"/>
      <c r="K39" s="81"/>
      <c r="L39" s="81"/>
      <c r="M39" s="81"/>
      <c r="N39" s="607"/>
      <c r="O39" s="944"/>
    </row>
    <row r="40" spans="1:61" ht="24" hidden="1" customHeight="1">
      <c r="A40" s="990"/>
      <c r="B40" s="546" t="s">
        <v>34</v>
      </c>
      <c r="C40" s="546"/>
      <c r="D40" s="546"/>
      <c r="E40" s="546"/>
      <c r="F40" s="546"/>
      <c r="G40" s="81"/>
      <c r="H40" s="81"/>
      <c r="I40" s="81"/>
      <c r="J40" s="81"/>
      <c r="K40" s="81"/>
      <c r="L40" s="81"/>
      <c r="M40" s="81"/>
      <c r="N40" s="607"/>
      <c r="O40" s="944"/>
    </row>
    <row r="41" spans="1:61" ht="24.6" hidden="1" customHeight="1">
      <c r="A41" s="943" t="s">
        <v>14</v>
      </c>
      <c r="B41" s="546" t="s">
        <v>89</v>
      </c>
      <c r="C41" s="546"/>
      <c r="D41" s="546"/>
      <c r="E41" s="546"/>
      <c r="F41" s="546"/>
      <c r="G41" s="81"/>
      <c r="H41" s="81"/>
      <c r="I41" s="81"/>
      <c r="J41" s="81"/>
      <c r="K41" s="81"/>
      <c r="L41" s="81"/>
      <c r="M41" s="81"/>
      <c r="N41" s="607"/>
      <c r="O41" s="944" t="s">
        <v>197</v>
      </c>
    </row>
    <row r="42" spans="1:61" ht="24.6" hidden="1" customHeight="1">
      <c r="A42" s="943"/>
      <c r="B42" s="546" t="s">
        <v>235</v>
      </c>
      <c r="C42" s="546">
        <v>176</v>
      </c>
      <c r="D42" s="546" t="s">
        <v>15</v>
      </c>
      <c r="E42" s="546">
        <v>6100404</v>
      </c>
      <c r="F42" s="546">
        <v>414</v>
      </c>
      <c r="G42" s="81"/>
      <c r="H42" s="81"/>
      <c r="I42" s="81"/>
      <c r="J42" s="81"/>
      <c r="K42" s="81"/>
      <c r="L42" s="81"/>
      <c r="M42" s="81"/>
      <c r="N42" s="607"/>
      <c r="O42" s="944"/>
    </row>
    <row r="43" spans="1:61" ht="24.6" hidden="1" customHeight="1">
      <c r="A43" s="943"/>
      <c r="B43" s="546" t="s">
        <v>10</v>
      </c>
      <c r="C43" s="546"/>
      <c r="D43" s="546"/>
      <c r="E43" s="546"/>
      <c r="F43" s="546"/>
      <c r="G43" s="81"/>
      <c r="H43" s="81"/>
      <c r="I43" s="81"/>
      <c r="J43" s="81"/>
      <c r="K43" s="81"/>
      <c r="L43" s="81"/>
      <c r="M43" s="81"/>
      <c r="N43" s="607"/>
      <c r="O43" s="944"/>
    </row>
    <row r="44" spans="1:61" ht="24.6" hidden="1" customHeight="1">
      <c r="A44" s="943"/>
      <c r="B44" s="546" t="s">
        <v>34</v>
      </c>
      <c r="C44" s="546"/>
      <c r="D44" s="546"/>
      <c r="E44" s="546"/>
      <c r="F44" s="546"/>
      <c r="G44" s="81"/>
      <c r="H44" s="81"/>
      <c r="I44" s="81"/>
      <c r="J44" s="81"/>
      <c r="K44" s="81"/>
      <c r="L44" s="81"/>
      <c r="M44" s="81"/>
      <c r="N44" s="607"/>
      <c r="O44" s="944"/>
    </row>
    <row r="45" spans="1:61" ht="24.6" customHeight="1">
      <c r="A45" s="945" t="s">
        <v>116</v>
      </c>
      <c r="B45" s="57" t="s">
        <v>89</v>
      </c>
      <c r="C45" s="57"/>
      <c r="D45" s="57"/>
      <c r="E45" s="57"/>
      <c r="F45" s="57"/>
      <c r="G45" s="80">
        <f>G49</f>
        <v>0</v>
      </c>
      <c r="H45" s="80"/>
      <c r="I45" s="80"/>
      <c r="J45" s="80"/>
      <c r="K45" s="80">
        <f>K49</f>
        <v>0</v>
      </c>
      <c r="L45" s="80">
        <f>L49</f>
        <v>0</v>
      </c>
      <c r="M45" s="80">
        <f>M49</f>
        <v>3</v>
      </c>
      <c r="N45" s="607"/>
      <c r="O45" s="604"/>
    </row>
    <row r="46" spans="1:61" ht="24.6" customHeight="1">
      <c r="A46" s="945"/>
      <c r="B46" s="57" t="s">
        <v>235</v>
      </c>
      <c r="C46" s="57"/>
      <c r="D46" s="57"/>
      <c r="E46" s="57"/>
      <c r="F46" s="57"/>
      <c r="G46" s="80">
        <f>G47</f>
        <v>0</v>
      </c>
      <c r="H46" s="80">
        <f t="shared" ref="H46:K46" si="17">H47</f>
        <v>0</v>
      </c>
      <c r="I46" s="80">
        <f t="shared" si="17"/>
        <v>0</v>
      </c>
      <c r="J46" s="80">
        <f t="shared" si="17"/>
        <v>0</v>
      </c>
      <c r="K46" s="80">
        <f t="shared" si="17"/>
        <v>0</v>
      </c>
      <c r="L46" s="80">
        <f t="shared" ref="L46:M46" si="18">L47+L48</f>
        <v>0</v>
      </c>
      <c r="M46" s="80">
        <f t="shared" si="18"/>
        <v>75000</v>
      </c>
      <c r="N46" s="607"/>
      <c r="O46" s="604"/>
    </row>
    <row r="47" spans="1:61" ht="24.6" customHeight="1">
      <c r="A47" s="945"/>
      <c r="B47" s="57" t="s">
        <v>10</v>
      </c>
      <c r="C47" s="57"/>
      <c r="D47" s="57"/>
      <c r="E47" s="57"/>
      <c r="F47" s="57"/>
      <c r="G47" s="80">
        <f>G51</f>
        <v>0</v>
      </c>
      <c r="H47" s="80">
        <f t="shared" ref="H47:K47" si="19">H51</f>
        <v>0</v>
      </c>
      <c r="I47" s="80">
        <f t="shared" si="19"/>
        <v>0</v>
      </c>
      <c r="J47" s="80">
        <f t="shared" si="19"/>
        <v>0</v>
      </c>
      <c r="K47" s="80">
        <f t="shared" si="19"/>
        <v>0</v>
      </c>
      <c r="L47" s="80">
        <f>L51</f>
        <v>0</v>
      </c>
      <c r="M47" s="80">
        <f t="shared" ref="M47" si="20">M51</f>
        <v>75000</v>
      </c>
      <c r="N47" s="607"/>
      <c r="O47" s="604"/>
    </row>
    <row r="48" spans="1:61" ht="24.6" customHeight="1">
      <c r="A48" s="945"/>
      <c r="B48" s="57" t="s">
        <v>436</v>
      </c>
      <c r="C48" s="57"/>
      <c r="D48" s="57"/>
      <c r="E48" s="57"/>
      <c r="F48" s="57"/>
      <c r="G48" s="80"/>
      <c r="H48" s="80"/>
      <c r="I48" s="80"/>
      <c r="J48" s="80"/>
      <c r="K48" s="80"/>
      <c r="L48" s="80"/>
      <c r="M48" s="80"/>
      <c r="N48" s="607"/>
      <c r="O48" s="604"/>
      <c r="AA48" s="98"/>
      <c r="AC48" s="98"/>
    </row>
    <row r="49" spans="1:61" ht="24.6" customHeight="1">
      <c r="A49" s="967" t="s">
        <v>294</v>
      </c>
      <c r="B49" s="546" t="s">
        <v>89</v>
      </c>
      <c r="C49" s="57"/>
      <c r="D49" s="57"/>
      <c r="E49" s="57"/>
      <c r="F49" s="57"/>
      <c r="G49" s="81">
        <f>K49</f>
        <v>0</v>
      </c>
      <c r="H49" s="81"/>
      <c r="I49" s="81"/>
      <c r="J49" s="81"/>
      <c r="K49" s="81"/>
      <c r="L49" s="81"/>
      <c r="M49" s="81">
        <v>3</v>
      </c>
      <c r="N49" s="607"/>
      <c r="O49" s="944" t="s">
        <v>899</v>
      </c>
      <c r="AA49" s="98"/>
      <c r="AC49" s="98"/>
    </row>
    <row r="50" spans="1:61" ht="24.6" customHeight="1">
      <c r="A50" s="968"/>
      <c r="B50" s="546" t="s">
        <v>235</v>
      </c>
      <c r="C50" s="546"/>
      <c r="D50" s="546"/>
      <c r="E50" s="546"/>
      <c r="F50" s="546"/>
      <c r="G50" s="81">
        <f>G51</f>
        <v>0</v>
      </c>
      <c r="H50" s="81">
        <f>H51</f>
        <v>0</v>
      </c>
      <c r="I50" s="81"/>
      <c r="J50" s="81">
        <f>J51</f>
        <v>0</v>
      </c>
      <c r="K50" s="81">
        <f>K51</f>
        <v>0</v>
      </c>
      <c r="L50" s="81">
        <f t="shared" ref="L50:M50" si="21">L51+L52</f>
        <v>0</v>
      </c>
      <c r="M50" s="81">
        <f t="shared" si="21"/>
        <v>75000</v>
      </c>
      <c r="N50" s="607"/>
      <c r="O50" s="944"/>
    </row>
    <row r="51" spans="1:61" ht="24.6" customHeight="1">
      <c r="A51" s="968"/>
      <c r="B51" s="546" t="s">
        <v>10</v>
      </c>
      <c r="C51" s="546"/>
      <c r="D51" s="546"/>
      <c r="E51" s="546"/>
      <c r="F51" s="546"/>
      <c r="G51" s="81">
        <f>K51</f>
        <v>0</v>
      </c>
      <c r="H51" s="81"/>
      <c r="I51" s="81"/>
      <c r="J51" s="81"/>
      <c r="K51" s="81">
        <v>0</v>
      </c>
      <c r="L51" s="81"/>
      <c r="M51" s="81">
        <v>75000</v>
      </c>
      <c r="N51" s="607"/>
      <c r="O51" s="944"/>
    </row>
    <row r="52" spans="1:61" ht="24" customHeight="1">
      <c r="A52" s="969"/>
      <c r="B52" s="546" t="s">
        <v>436</v>
      </c>
      <c r="C52" s="546"/>
      <c r="D52" s="546"/>
      <c r="E52" s="546"/>
      <c r="F52" s="546"/>
      <c r="G52" s="291"/>
      <c r="H52" s="81"/>
      <c r="I52" s="81"/>
      <c r="J52" s="81"/>
      <c r="K52" s="81"/>
      <c r="L52" s="81"/>
      <c r="M52" s="81"/>
      <c r="N52" s="607"/>
      <c r="O52" s="944"/>
    </row>
    <row r="53" spans="1:61" s="44" customFormat="1" ht="24.6" hidden="1" customHeight="1">
      <c r="A53" s="945" t="s">
        <v>97</v>
      </c>
      <c r="B53" s="57" t="s">
        <v>89</v>
      </c>
      <c r="C53" s="57"/>
      <c r="D53" s="57"/>
      <c r="E53" s="57"/>
      <c r="F53" s="57"/>
      <c r="G53" s="80">
        <f t="shared" ref="G53" si="22">SUM(G56)</f>
        <v>0</v>
      </c>
      <c r="H53" s="80"/>
      <c r="I53" s="80"/>
      <c r="J53" s="80"/>
      <c r="K53" s="80"/>
      <c r="L53" s="80"/>
      <c r="M53" s="80"/>
      <c r="N53" s="607"/>
      <c r="O53" s="610"/>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row>
    <row r="54" spans="1:61" s="44" customFormat="1" ht="24.6" hidden="1" customHeight="1">
      <c r="A54" s="945"/>
      <c r="B54" s="57" t="s">
        <v>235</v>
      </c>
      <c r="C54" s="57"/>
      <c r="D54" s="57"/>
      <c r="E54" s="57"/>
      <c r="F54" s="57"/>
      <c r="G54" s="80">
        <f t="shared" ref="G54" si="23">G55</f>
        <v>0</v>
      </c>
      <c r="H54" s="80"/>
      <c r="I54" s="80"/>
      <c r="J54" s="80"/>
      <c r="K54" s="80"/>
      <c r="L54" s="80"/>
      <c r="M54" s="80"/>
      <c r="N54" s="607"/>
      <c r="O54" s="610"/>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row>
    <row r="55" spans="1:61" s="44" customFormat="1" ht="24.6" hidden="1" customHeight="1">
      <c r="A55" s="945"/>
      <c r="B55" s="57" t="s">
        <v>34</v>
      </c>
      <c r="C55" s="57"/>
      <c r="D55" s="57"/>
      <c r="E55" s="57"/>
      <c r="F55" s="57"/>
      <c r="G55" s="80"/>
      <c r="H55" s="80"/>
      <c r="I55" s="80"/>
      <c r="J55" s="80"/>
      <c r="K55" s="80"/>
      <c r="L55" s="80"/>
      <c r="M55" s="80"/>
      <c r="N55" s="607"/>
      <c r="O55" s="610"/>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row>
    <row r="56" spans="1:61" ht="24.6" hidden="1" customHeight="1">
      <c r="A56" s="983" t="s">
        <v>19</v>
      </c>
      <c r="B56" s="546" t="s">
        <v>89</v>
      </c>
      <c r="C56" s="546">
        <v>176</v>
      </c>
      <c r="D56" s="546" t="s">
        <v>15</v>
      </c>
      <c r="E56" s="546">
        <v>6100404</v>
      </c>
      <c r="F56" s="546">
        <v>414</v>
      </c>
      <c r="G56" s="81">
        <v>0</v>
      </c>
      <c r="H56" s="81"/>
      <c r="I56" s="81"/>
      <c r="J56" s="81"/>
      <c r="K56" s="81"/>
      <c r="L56" s="81"/>
      <c r="M56" s="81"/>
      <c r="N56" s="607"/>
      <c r="O56" s="944" t="s">
        <v>261</v>
      </c>
    </row>
    <row r="57" spans="1:61" ht="24.6" hidden="1" customHeight="1">
      <c r="A57" s="983"/>
      <c r="B57" s="546" t="s">
        <v>235</v>
      </c>
      <c r="C57" s="546"/>
      <c r="D57" s="546"/>
      <c r="E57" s="546"/>
      <c r="F57" s="546"/>
      <c r="G57" s="81"/>
      <c r="H57" s="81"/>
      <c r="I57" s="81"/>
      <c r="J57" s="81"/>
      <c r="K57" s="81"/>
      <c r="L57" s="81"/>
      <c r="M57" s="81"/>
      <c r="N57" s="607"/>
      <c r="O57" s="944"/>
    </row>
    <row r="58" spans="1:61" ht="22.9" hidden="1" customHeight="1">
      <c r="A58" s="983"/>
      <c r="B58" s="546" t="s">
        <v>34</v>
      </c>
      <c r="C58" s="546"/>
      <c r="D58" s="546"/>
      <c r="E58" s="546"/>
      <c r="F58" s="546"/>
      <c r="G58" s="81"/>
      <c r="H58" s="81"/>
      <c r="I58" s="81"/>
      <c r="J58" s="81"/>
      <c r="K58" s="81"/>
      <c r="L58" s="81"/>
      <c r="M58" s="81"/>
      <c r="N58" s="607"/>
      <c r="O58" s="944"/>
    </row>
    <row r="59" spans="1:61" s="44" customFormat="1" ht="22.9" customHeight="1">
      <c r="A59" s="997" t="s">
        <v>98</v>
      </c>
      <c r="B59" s="57" t="s">
        <v>89</v>
      </c>
      <c r="C59" s="57"/>
      <c r="D59" s="57"/>
      <c r="E59" s="57"/>
      <c r="F59" s="57"/>
      <c r="G59" s="80">
        <f>G67+G74+G78+G82+G86+G90</f>
        <v>2.6</v>
      </c>
      <c r="H59" s="80">
        <f t="shared" ref="H59:K59" si="24">H67+H74+H78+H82+H86+H90</f>
        <v>0</v>
      </c>
      <c r="I59" s="80">
        <f t="shared" si="24"/>
        <v>0</v>
      </c>
      <c r="J59" s="80">
        <f t="shared" si="24"/>
        <v>0</v>
      </c>
      <c r="K59" s="80">
        <f t="shared" si="24"/>
        <v>2.6</v>
      </c>
      <c r="L59" s="80">
        <f t="shared" ref="L59:M59" si="25">L67+L74+L78+L82+L86+L90</f>
        <v>0</v>
      </c>
      <c r="M59" s="80">
        <f t="shared" si="25"/>
        <v>0</v>
      </c>
      <c r="N59" s="607"/>
      <c r="O59" s="610"/>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row>
    <row r="60" spans="1:61" s="44" customFormat="1" ht="22.9" customHeight="1">
      <c r="A60" s="998"/>
      <c r="B60" s="57" t="s">
        <v>235</v>
      </c>
      <c r="C60" s="57"/>
      <c r="D60" s="57"/>
      <c r="E60" s="57"/>
      <c r="F60" s="57"/>
      <c r="G60" s="80">
        <f>G68+G75+G79+G83+G87+G91</f>
        <v>65000</v>
      </c>
      <c r="H60" s="80">
        <f t="shared" ref="H60:K60" si="26">H68+H75+H79+H83+H87+H91</f>
        <v>0</v>
      </c>
      <c r="I60" s="80">
        <f t="shared" si="26"/>
        <v>0</v>
      </c>
      <c r="J60" s="80">
        <f t="shared" si="26"/>
        <v>0</v>
      </c>
      <c r="K60" s="80">
        <f t="shared" si="26"/>
        <v>65000</v>
      </c>
      <c r="L60" s="80">
        <f t="shared" ref="L60:M60" si="27">L68+L75+L79+L83+L87+L91</f>
        <v>0</v>
      </c>
      <c r="M60" s="80">
        <f t="shared" si="27"/>
        <v>0</v>
      </c>
      <c r="N60" s="607"/>
      <c r="O60" s="610"/>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row>
    <row r="61" spans="1:61" s="44" customFormat="1" ht="24.6" customHeight="1">
      <c r="A61" s="998"/>
      <c r="B61" s="57" t="s">
        <v>10</v>
      </c>
      <c r="C61" s="57"/>
      <c r="D61" s="57"/>
      <c r="E61" s="57"/>
      <c r="F61" s="57"/>
      <c r="G61" s="80">
        <f>G76+G80+G84+G88+G92+G69</f>
        <v>65000</v>
      </c>
      <c r="H61" s="80">
        <f t="shared" ref="H61:K61" si="28">H76+H80+H84+H88+H92+H69</f>
        <v>0</v>
      </c>
      <c r="I61" s="80">
        <f t="shared" si="28"/>
        <v>0</v>
      </c>
      <c r="J61" s="80">
        <f t="shared" si="28"/>
        <v>0</v>
      </c>
      <c r="K61" s="80">
        <f t="shared" si="28"/>
        <v>65000</v>
      </c>
      <c r="L61" s="80">
        <f>L69</f>
        <v>0</v>
      </c>
      <c r="M61" s="80">
        <f>M69</f>
        <v>0</v>
      </c>
      <c r="N61" s="607"/>
      <c r="O61" s="610"/>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row>
    <row r="62" spans="1:61" s="44" customFormat="1" ht="23.45" customHeight="1">
      <c r="A62" s="999"/>
      <c r="B62" s="57" t="s">
        <v>436</v>
      </c>
      <c r="C62" s="57"/>
      <c r="D62" s="57"/>
      <c r="E62" s="57"/>
      <c r="F62" s="57"/>
      <c r="G62" s="80">
        <f>G70+G77+G81+G85+G89+G93</f>
        <v>0</v>
      </c>
      <c r="H62" s="80">
        <f t="shared" ref="H62:K62" si="29">H70+H77+H81+H85+H89+H93</f>
        <v>0</v>
      </c>
      <c r="I62" s="80">
        <f t="shared" si="29"/>
        <v>0</v>
      </c>
      <c r="J62" s="80">
        <f t="shared" si="29"/>
        <v>0</v>
      </c>
      <c r="K62" s="80">
        <f t="shared" si="29"/>
        <v>0</v>
      </c>
      <c r="L62" s="80">
        <f t="shared" ref="L62:M62" si="30">L70+L77+L81+L85+L89+L93</f>
        <v>0</v>
      </c>
      <c r="M62" s="80">
        <f t="shared" si="30"/>
        <v>0</v>
      </c>
      <c r="N62" s="607"/>
      <c r="O62" s="610"/>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row>
    <row r="63" spans="1:61" s="44" customFormat="1" ht="24.95" hidden="1" customHeight="1">
      <c r="A63" s="943" t="s">
        <v>17</v>
      </c>
      <c r="B63" s="546" t="s">
        <v>89</v>
      </c>
      <c r="C63" s="57"/>
      <c r="D63" s="57"/>
      <c r="E63" s="57"/>
      <c r="F63" s="57"/>
      <c r="G63" s="80"/>
      <c r="H63" s="80"/>
      <c r="I63" s="80"/>
      <c r="J63" s="80"/>
      <c r="K63" s="80"/>
      <c r="L63" s="80"/>
      <c r="M63" s="80"/>
      <c r="N63" s="607"/>
      <c r="O63" s="610"/>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row>
    <row r="64" spans="1:61" ht="24.95" hidden="1" customHeight="1">
      <c r="A64" s="943"/>
      <c r="B64" s="546" t="s">
        <v>235</v>
      </c>
      <c r="C64" s="546">
        <v>176</v>
      </c>
      <c r="D64" s="546" t="s">
        <v>15</v>
      </c>
      <c r="E64" s="546">
        <v>6100404</v>
      </c>
      <c r="F64" s="546">
        <v>414</v>
      </c>
      <c r="G64" s="81">
        <v>0</v>
      </c>
      <c r="H64" s="81"/>
      <c r="I64" s="81"/>
      <c r="J64" s="81"/>
      <c r="K64" s="81"/>
      <c r="L64" s="81">
        <v>0</v>
      </c>
      <c r="M64" s="81"/>
      <c r="N64" s="607"/>
      <c r="O64" s="944" t="s">
        <v>194</v>
      </c>
    </row>
    <row r="65" spans="1:27" ht="24.95" hidden="1" customHeight="1">
      <c r="A65" s="943"/>
      <c r="B65" s="546" t="s">
        <v>10</v>
      </c>
      <c r="C65" s="546"/>
      <c r="D65" s="546"/>
      <c r="E65" s="546"/>
      <c r="F65" s="546"/>
      <c r="G65" s="81"/>
      <c r="H65" s="81"/>
      <c r="I65" s="81"/>
      <c r="J65" s="81"/>
      <c r="K65" s="81"/>
      <c r="L65" s="81"/>
      <c r="M65" s="81"/>
      <c r="N65" s="607"/>
      <c r="O65" s="944"/>
    </row>
    <row r="66" spans="1:27" ht="22.9" hidden="1" customHeight="1">
      <c r="A66" s="943"/>
      <c r="B66" s="546" t="s">
        <v>34</v>
      </c>
      <c r="C66" s="546"/>
      <c r="D66" s="546"/>
      <c r="E66" s="546"/>
      <c r="F66" s="546"/>
      <c r="G66" s="81"/>
      <c r="H66" s="81"/>
      <c r="I66" s="81"/>
      <c r="J66" s="81"/>
      <c r="K66" s="81"/>
      <c r="L66" s="81"/>
      <c r="M66" s="81"/>
      <c r="N66" s="607"/>
      <c r="O66" s="944"/>
      <c r="Q66" s="47"/>
      <c r="S66" s="47"/>
    </row>
    <row r="67" spans="1:27" ht="22.9" customHeight="1">
      <c r="A67" s="943" t="s">
        <v>476</v>
      </c>
      <c r="B67" s="546" t="s">
        <v>89</v>
      </c>
      <c r="C67" s="546"/>
      <c r="D67" s="546"/>
      <c r="E67" s="546"/>
      <c r="F67" s="546"/>
      <c r="G67" s="92">
        <f>K67</f>
        <v>2.6</v>
      </c>
      <c r="H67" s="92"/>
      <c r="I67" s="92"/>
      <c r="J67" s="92"/>
      <c r="K67" s="92">
        <v>2.6</v>
      </c>
      <c r="L67" s="81">
        <v>0</v>
      </c>
      <c r="M67" s="81">
        <v>0</v>
      </c>
      <c r="N67" s="607"/>
      <c r="O67" s="944" t="s">
        <v>520</v>
      </c>
    </row>
    <row r="68" spans="1:27" ht="22.9" customHeight="1">
      <c r="A68" s="943"/>
      <c r="B68" s="546" t="s">
        <v>235</v>
      </c>
      <c r="C68" s="546"/>
      <c r="D68" s="546"/>
      <c r="E68" s="546"/>
      <c r="F68" s="546"/>
      <c r="G68" s="81">
        <f>G69+G70</f>
        <v>65000</v>
      </c>
      <c r="H68" s="81">
        <f t="shared" ref="H68:K68" si="31">H69+H70</f>
        <v>0</v>
      </c>
      <c r="I68" s="81">
        <f t="shared" si="31"/>
        <v>0</v>
      </c>
      <c r="J68" s="81">
        <f t="shared" si="31"/>
        <v>0</v>
      </c>
      <c r="K68" s="81">
        <f t="shared" si="31"/>
        <v>65000</v>
      </c>
      <c r="L68" s="81">
        <f>L69</f>
        <v>0</v>
      </c>
      <c r="M68" s="81">
        <f>M69</f>
        <v>0</v>
      </c>
      <c r="N68" s="607"/>
      <c r="O68" s="944"/>
      <c r="Q68" s="47"/>
      <c r="X68" s="47" t="e">
        <f>#REF!-S13</f>
        <v>#REF!</v>
      </c>
    </row>
    <row r="69" spans="1:27" ht="24.6" customHeight="1">
      <c r="A69" s="943"/>
      <c r="B69" s="546" t="s">
        <v>10</v>
      </c>
      <c r="C69" s="546"/>
      <c r="D69" s="546"/>
      <c r="E69" s="546"/>
      <c r="F69" s="546"/>
      <c r="G69" s="81">
        <f>K69</f>
        <v>65000</v>
      </c>
      <c r="H69" s="81"/>
      <c r="I69" s="81"/>
      <c r="J69" s="81"/>
      <c r="K69" s="81">
        <v>65000</v>
      </c>
      <c r="L69" s="81">
        <v>0</v>
      </c>
      <c r="M69" s="81">
        <v>0</v>
      </c>
      <c r="N69" s="607"/>
      <c r="O69" s="944"/>
      <c r="Q69" s="47"/>
      <c r="X69" s="47"/>
    </row>
    <row r="70" spans="1:27" ht="24.6" customHeight="1">
      <c r="A70" s="943"/>
      <c r="B70" s="546" t="s">
        <v>436</v>
      </c>
      <c r="C70" s="546"/>
      <c r="D70" s="546"/>
      <c r="E70" s="546"/>
      <c r="F70" s="546"/>
      <c r="G70" s="81">
        <v>0</v>
      </c>
      <c r="H70" s="81"/>
      <c r="I70" s="81"/>
      <c r="J70" s="81"/>
      <c r="K70" s="81"/>
      <c r="L70" s="81"/>
      <c r="M70" s="81"/>
      <c r="N70" s="607"/>
      <c r="O70" s="944"/>
    </row>
    <row r="71" spans="1:27" ht="24.95" hidden="1" customHeight="1">
      <c r="A71" s="943" t="s">
        <v>213</v>
      </c>
      <c r="B71" s="546" t="s">
        <v>89</v>
      </c>
      <c r="C71" s="546"/>
      <c r="D71" s="546"/>
      <c r="E71" s="546"/>
      <c r="F71" s="546"/>
      <c r="G71" s="81"/>
      <c r="H71" s="81"/>
      <c r="I71" s="81"/>
      <c r="J71" s="81"/>
      <c r="K71" s="81"/>
      <c r="L71" s="81"/>
      <c r="M71" s="81"/>
      <c r="N71" s="607"/>
      <c r="O71" s="944" t="s">
        <v>214</v>
      </c>
      <c r="Q71" s="47"/>
    </row>
    <row r="72" spans="1:27" ht="24.95" hidden="1" customHeight="1">
      <c r="A72" s="943"/>
      <c r="B72" s="546" t="s">
        <v>235</v>
      </c>
      <c r="C72" s="546"/>
      <c r="D72" s="546"/>
      <c r="E72" s="546"/>
      <c r="F72" s="546"/>
      <c r="G72" s="81"/>
      <c r="H72" s="81"/>
      <c r="I72" s="81"/>
      <c r="J72" s="81"/>
      <c r="K72" s="81"/>
      <c r="L72" s="81"/>
      <c r="M72" s="81"/>
      <c r="N72" s="607"/>
      <c r="O72" s="944"/>
    </row>
    <row r="73" spans="1:27" ht="24.95" hidden="1" customHeight="1">
      <c r="A73" s="943"/>
      <c r="B73" s="546" t="s">
        <v>34</v>
      </c>
      <c r="C73" s="546"/>
      <c r="D73" s="546"/>
      <c r="E73" s="546"/>
      <c r="F73" s="546"/>
      <c r="G73" s="81"/>
      <c r="H73" s="81"/>
      <c r="I73" s="81"/>
      <c r="J73" s="81"/>
      <c r="K73" s="81"/>
      <c r="L73" s="81"/>
      <c r="M73" s="81"/>
      <c r="N73" s="607"/>
      <c r="O73" s="944"/>
    </row>
    <row r="74" spans="1:27" ht="20.25" hidden="1" customHeight="1">
      <c r="A74" s="967" t="s">
        <v>242</v>
      </c>
      <c r="B74" s="546" t="s">
        <v>89</v>
      </c>
      <c r="C74" s="546"/>
      <c r="D74" s="546"/>
      <c r="E74" s="546"/>
      <c r="F74" s="546"/>
      <c r="G74" s="81">
        <f>K74</f>
        <v>0</v>
      </c>
      <c r="H74" s="92"/>
      <c r="I74" s="92"/>
      <c r="J74" s="92"/>
      <c r="K74" s="81">
        <v>0</v>
      </c>
      <c r="L74" s="81"/>
      <c r="M74" s="81"/>
      <c r="N74" s="607"/>
      <c r="O74" s="944" t="s">
        <v>858</v>
      </c>
    </row>
    <row r="75" spans="1:27" ht="24.6" hidden="1" customHeight="1">
      <c r="A75" s="968"/>
      <c r="B75" s="546" t="s">
        <v>235</v>
      </c>
      <c r="C75" s="546"/>
      <c r="D75" s="546"/>
      <c r="E75" s="546"/>
      <c r="F75" s="546"/>
      <c r="G75" s="81">
        <f>K75</f>
        <v>0</v>
      </c>
      <c r="H75" s="81"/>
      <c r="I75" s="81"/>
      <c r="J75" s="81"/>
      <c r="K75" s="81">
        <f>K76+K77</f>
        <v>0</v>
      </c>
      <c r="L75" s="81">
        <f t="shared" ref="L75" si="32">L76</f>
        <v>0</v>
      </c>
      <c r="M75" s="81"/>
      <c r="N75" s="607"/>
      <c r="O75" s="944"/>
      <c r="AA75" s="559">
        <f>K75/29200.7*1.074*1.037*1.049*1.05</f>
        <v>0</v>
      </c>
    </row>
    <row r="76" spans="1:27" ht="24.6" hidden="1" customHeight="1">
      <c r="A76" s="968"/>
      <c r="B76" s="546" t="s">
        <v>10</v>
      </c>
      <c r="C76" s="546"/>
      <c r="D76" s="546"/>
      <c r="E76" s="546"/>
      <c r="F76" s="546"/>
      <c r="G76" s="81">
        <f>K76</f>
        <v>0</v>
      </c>
      <c r="H76" s="81"/>
      <c r="I76" s="81"/>
      <c r="J76" s="81"/>
      <c r="K76" s="81"/>
      <c r="L76" s="81"/>
      <c r="M76" s="81"/>
      <c r="N76" s="607"/>
      <c r="O76" s="944"/>
    </row>
    <row r="77" spans="1:27" ht="24.6" hidden="1" customHeight="1">
      <c r="A77" s="969"/>
      <c r="B77" s="546" t="s">
        <v>436</v>
      </c>
      <c r="C77" s="546"/>
      <c r="D77" s="546"/>
      <c r="E77" s="546"/>
      <c r="F77" s="546"/>
      <c r="G77" s="81">
        <f>K77</f>
        <v>0</v>
      </c>
      <c r="H77" s="81"/>
      <c r="I77" s="81"/>
      <c r="J77" s="81"/>
      <c r="K77" s="81">
        <v>0</v>
      </c>
      <c r="L77" s="81"/>
      <c r="M77" s="81"/>
      <c r="N77" s="607"/>
      <c r="O77" s="944"/>
    </row>
    <row r="78" spans="1:27" ht="24.6" hidden="1" customHeight="1">
      <c r="A78" s="967" t="s">
        <v>431</v>
      </c>
      <c r="B78" s="546" t="s">
        <v>89</v>
      </c>
      <c r="C78" s="546"/>
      <c r="D78" s="546"/>
      <c r="E78" s="546"/>
      <c r="F78" s="546"/>
      <c r="G78" s="81"/>
      <c r="H78" s="81"/>
      <c r="I78" s="81"/>
      <c r="J78" s="81"/>
      <c r="K78" s="81"/>
      <c r="L78" s="81"/>
      <c r="M78" s="81"/>
      <c r="N78" s="607"/>
      <c r="O78" s="944" t="s">
        <v>333</v>
      </c>
    </row>
    <row r="79" spans="1:27" ht="24.6" hidden="1" customHeight="1">
      <c r="A79" s="968"/>
      <c r="B79" s="546" t="s">
        <v>235</v>
      </c>
      <c r="C79" s="546"/>
      <c r="D79" s="546"/>
      <c r="E79" s="546"/>
      <c r="F79" s="546"/>
      <c r="G79" s="81"/>
      <c r="H79" s="81"/>
      <c r="I79" s="81"/>
      <c r="J79" s="81"/>
      <c r="K79" s="81"/>
      <c r="L79" s="81"/>
      <c r="M79" s="81">
        <f>M80+M81</f>
        <v>0</v>
      </c>
      <c r="N79" s="607"/>
      <c r="O79" s="944"/>
    </row>
    <row r="80" spans="1:27" ht="24.6" hidden="1" customHeight="1">
      <c r="A80" s="968"/>
      <c r="B80" s="546" t="s">
        <v>10</v>
      </c>
      <c r="C80" s="546"/>
      <c r="D80" s="546"/>
      <c r="E80" s="546"/>
      <c r="F80" s="546"/>
      <c r="G80" s="81"/>
      <c r="H80" s="81"/>
      <c r="I80" s="81"/>
      <c r="J80" s="81"/>
      <c r="K80" s="81"/>
      <c r="L80" s="81"/>
      <c r="M80" s="81"/>
      <c r="N80" s="607"/>
      <c r="O80" s="944"/>
    </row>
    <row r="81" spans="1:61" ht="24.6" hidden="1" customHeight="1">
      <c r="A81" s="969"/>
      <c r="B81" s="542" t="s">
        <v>34</v>
      </c>
      <c r="C81" s="542"/>
      <c r="D81" s="542"/>
      <c r="E81" s="542"/>
      <c r="F81" s="542"/>
      <c r="G81" s="85"/>
      <c r="H81" s="85"/>
      <c r="I81" s="85"/>
      <c r="J81" s="85"/>
      <c r="K81" s="85"/>
      <c r="L81" s="85"/>
      <c r="M81" s="85"/>
      <c r="N81" s="607"/>
      <c r="O81" s="944"/>
    </row>
    <row r="82" spans="1:61" ht="24.6" hidden="1" customHeight="1">
      <c r="A82" s="967" t="s">
        <v>338</v>
      </c>
      <c r="B82" s="542" t="s">
        <v>89</v>
      </c>
      <c r="C82" s="542"/>
      <c r="D82" s="542"/>
      <c r="E82" s="542"/>
      <c r="F82" s="542"/>
      <c r="G82" s="292"/>
      <c r="H82" s="292"/>
      <c r="I82" s="292"/>
      <c r="J82" s="292"/>
      <c r="K82" s="292"/>
      <c r="L82" s="85"/>
      <c r="M82" s="105"/>
      <c r="N82" s="607"/>
      <c r="O82" s="944"/>
    </row>
    <row r="83" spans="1:61" ht="24.6" hidden="1" customHeight="1">
      <c r="A83" s="968"/>
      <c r="B83" s="542" t="s">
        <v>235</v>
      </c>
      <c r="C83" s="542"/>
      <c r="D83" s="542"/>
      <c r="E83" s="542"/>
      <c r="F83" s="542"/>
      <c r="G83" s="85"/>
      <c r="H83" s="85"/>
      <c r="I83" s="85"/>
      <c r="J83" s="85"/>
      <c r="K83" s="85"/>
      <c r="L83" s="85"/>
      <c r="M83" s="85">
        <f>M85</f>
        <v>0</v>
      </c>
      <c r="N83" s="607"/>
      <c r="O83" s="944"/>
    </row>
    <row r="84" spans="1:61" ht="24.6" hidden="1" customHeight="1">
      <c r="A84" s="968"/>
      <c r="B84" s="542" t="s">
        <v>10</v>
      </c>
      <c r="C84" s="542"/>
      <c r="D84" s="542"/>
      <c r="E84" s="542"/>
      <c r="F84" s="542"/>
      <c r="G84" s="85"/>
      <c r="H84" s="85"/>
      <c r="I84" s="85"/>
      <c r="J84" s="85"/>
      <c r="K84" s="85"/>
      <c r="L84" s="85"/>
      <c r="M84" s="85"/>
      <c r="N84" s="607"/>
      <c r="O84" s="944"/>
    </row>
    <row r="85" spans="1:61" ht="24.6" hidden="1" customHeight="1">
      <c r="A85" s="969"/>
      <c r="B85" s="542" t="s">
        <v>34</v>
      </c>
      <c r="C85" s="542"/>
      <c r="D85" s="542"/>
      <c r="E85" s="542"/>
      <c r="F85" s="542"/>
      <c r="G85" s="85"/>
      <c r="H85" s="85"/>
      <c r="I85" s="85"/>
      <c r="J85" s="85"/>
      <c r="K85" s="85"/>
      <c r="L85" s="85"/>
      <c r="M85" s="85"/>
      <c r="N85" s="607"/>
      <c r="O85" s="944"/>
    </row>
    <row r="86" spans="1:61" ht="24.6" hidden="1" customHeight="1">
      <c r="A86" s="967" t="s">
        <v>295</v>
      </c>
      <c r="B86" s="542" t="s">
        <v>89</v>
      </c>
      <c r="C86" s="542"/>
      <c r="D86" s="542"/>
      <c r="E86" s="542"/>
      <c r="F86" s="542"/>
      <c r="G86" s="292"/>
      <c r="H86" s="292"/>
      <c r="I86" s="292"/>
      <c r="J86" s="292"/>
      <c r="K86" s="292"/>
      <c r="L86" s="85"/>
      <c r="M86" s="105"/>
      <c r="N86" s="607"/>
      <c r="O86" s="604"/>
    </row>
    <row r="87" spans="1:61" ht="24.6" hidden="1" customHeight="1">
      <c r="A87" s="968"/>
      <c r="B87" s="542" t="s">
        <v>235</v>
      </c>
      <c r="C87" s="542"/>
      <c r="D87" s="542"/>
      <c r="E87" s="542"/>
      <c r="F87" s="542"/>
      <c r="G87" s="85"/>
      <c r="H87" s="85"/>
      <c r="I87" s="85"/>
      <c r="J87" s="85"/>
      <c r="K87" s="85"/>
      <c r="L87" s="85">
        <f>L88+L89</f>
        <v>0</v>
      </c>
      <c r="M87" s="85">
        <f>M89</f>
        <v>0</v>
      </c>
      <c r="N87" s="607"/>
      <c r="O87" s="933"/>
    </row>
    <row r="88" spans="1:61" ht="24.6" hidden="1" customHeight="1">
      <c r="A88" s="968"/>
      <c r="B88" s="542" t="s">
        <v>10</v>
      </c>
      <c r="C88" s="542"/>
      <c r="D88" s="542"/>
      <c r="E88" s="542"/>
      <c r="F88" s="542"/>
      <c r="G88" s="85"/>
      <c r="H88" s="85"/>
      <c r="I88" s="85"/>
      <c r="J88" s="85"/>
      <c r="K88" s="85"/>
      <c r="L88" s="85">
        <v>0</v>
      </c>
      <c r="M88" s="85"/>
      <c r="N88" s="607"/>
      <c r="O88" s="946"/>
    </row>
    <row r="89" spans="1:61" ht="24.6" hidden="1" customHeight="1">
      <c r="A89" s="969"/>
      <c r="B89" s="542" t="s">
        <v>34</v>
      </c>
      <c r="C89" s="542"/>
      <c r="D89" s="542"/>
      <c r="E89" s="542"/>
      <c r="F89" s="542"/>
      <c r="G89" s="85"/>
      <c r="H89" s="85"/>
      <c r="I89" s="85"/>
      <c r="J89" s="85"/>
      <c r="K89" s="85"/>
      <c r="L89" s="85"/>
      <c r="M89" s="85"/>
      <c r="N89" s="607"/>
      <c r="O89" s="934"/>
    </row>
    <row r="90" spans="1:61" ht="27" hidden="1" customHeight="1">
      <c r="A90" s="967" t="s">
        <v>480</v>
      </c>
      <c r="B90" s="542" t="s">
        <v>89</v>
      </c>
      <c r="C90" s="542"/>
      <c r="D90" s="542"/>
      <c r="E90" s="542"/>
      <c r="F90" s="542"/>
      <c r="G90" s="85"/>
      <c r="H90" s="85"/>
      <c r="I90" s="85"/>
      <c r="J90" s="85"/>
      <c r="K90" s="85"/>
      <c r="L90" s="85"/>
      <c r="M90" s="105"/>
      <c r="N90" s="607"/>
      <c r="O90" s="944" t="s">
        <v>459</v>
      </c>
    </row>
    <row r="91" spans="1:61" ht="24.6" hidden="1" customHeight="1">
      <c r="A91" s="968"/>
      <c r="B91" s="542" t="s">
        <v>235</v>
      </c>
      <c r="C91" s="542"/>
      <c r="D91" s="542"/>
      <c r="E91" s="542"/>
      <c r="F91" s="542"/>
      <c r="G91" s="85"/>
      <c r="H91" s="85"/>
      <c r="I91" s="85"/>
      <c r="J91" s="85"/>
      <c r="K91" s="85"/>
      <c r="L91" s="85"/>
      <c r="M91" s="85"/>
      <c r="N91" s="607"/>
      <c r="O91" s="944"/>
    </row>
    <row r="92" spans="1:61" ht="24.6" hidden="1" customHeight="1">
      <c r="A92" s="968"/>
      <c r="B92" s="542" t="s">
        <v>10</v>
      </c>
      <c r="C92" s="542"/>
      <c r="D92" s="542"/>
      <c r="E92" s="542"/>
      <c r="F92" s="542"/>
      <c r="G92" s="85"/>
      <c r="H92" s="85"/>
      <c r="I92" s="85"/>
      <c r="J92" s="85"/>
      <c r="K92" s="85"/>
      <c r="L92" s="85"/>
      <c r="M92" s="85"/>
      <c r="N92" s="607"/>
      <c r="O92" s="944"/>
    </row>
    <row r="93" spans="1:61" ht="24.6" hidden="1" customHeight="1">
      <c r="A93" s="969"/>
      <c r="B93" s="546" t="s">
        <v>34</v>
      </c>
      <c r="C93" s="546"/>
      <c r="D93" s="546"/>
      <c r="E93" s="546"/>
      <c r="F93" s="546"/>
      <c r="G93" s="81"/>
      <c r="H93" s="81"/>
      <c r="I93" s="81"/>
      <c r="J93" s="81"/>
      <c r="K93" s="81"/>
      <c r="L93" s="81"/>
      <c r="M93" s="81"/>
      <c r="N93" s="607"/>
      <c r="O93" s="944"/>
    </row>
    <row r="94" spans="1:61" s="44" customFormat="1" ht="24.95" hidden="1" customHeight="1">
      <c r="A94" s="1000" t="s">
        <v>99</v>
      </c>
      <c r="B94" s="563" t="s">
        <v>89</v>
      </c>
      <c r="C94" s="563"/>
      <c r="D94" s="563"/>
      <c r="E94" s="563"/>
      <c r="F94" s="563"/>
      <c r="G94" s="86">
        <f t="shared" ref="G94:L94" si="33">G98+G102</f>
        <v>0</v>
      </c>
      <c r="H94" s="86"/>
      <c r="I94" s="86"/>
      <c r="J94" s="86"/>
      <c r="K94" s="86"/>
      <c r="L94" s="86">
        <f t="shared" si="33"/>
        <v>0</v>
      </c>
      <c r="M94" s="86"/>
      <c r="N94" s="607"/>
      <c r="O94" s="89"/>
      <c r="AJ94" s="91"/>
      <c r="AK94" s="91"/>
      <c r="AL94" s="91"/>
      <c r="AM94" s="91"/>
      <c r="AN94" s="91"/>
      <c r="AO94" s="91"/>
      <c r="AP94" s="91"/>
      <c r="AQ94" s="91"/>
      <c r="AR94" s="91"/>
      <c r="AS94" s="91"/>
      <c r="AT94" s="91"/>
      <c r="AU94" s="91"/>
      <c r="AV94" s="91"/>
      <c r="AW94" s="91"/>
      <c r="AX94" s="91"/>
      <c r="AY94" s="91"/>
      <c r="AZ94" s="91"/>
      <c r="BA94" s="91"/>
      <c r="BB94" s="91"/>
      <c r="BC94" s="91"/>
      <c r="BD94" s="91"/>
      <c r="BE94" s="91"/>
      <c r="BF94" s="91"/>
      <c r="BG94" s="91"/>
      <c r="BH94" s="91"/>
      <c r="BI94" s="91"/>
    </row>
    <row r="95" spans="1:61" s="44" customFormat="1" ht="27.75" hidden="1" customHeight="1">
      <c r="A95" s="1001"/>
      <c r="B95" s="57" t="s">
        <v>235</v>
      </c>
      <c r="C95" s="57"/>
      <c r="D95" s="57"/>
      <c r="E95" s="57"/>
      <c r="F95" s="57"/>
      <c r="G95" s="80">
        <f t="shared" ref="G95:L95" si="34">G96+G97</f>
        <v>0</v>
      </c>
      <c r="H95" s="80"/>
      <c r="I95" s="80"/>
      <c r="J95" s="80"/>
      <c r="K95" s="80"/>
      <c r="L95" s="80">
        <f t="shared" si="34"/>
        <v>0</v>
      </c>
      <c r="M95" s="80"/>
      <c r="N95" s="607"/>
      <c r="O95" s="610"/>
      <c r="AJ95" s="91"/>
      <c r="AK95" s="91"/>
      <c r="AL95" s="91"/>
      <c r="AM95" s="91"/>
      <c r="AN95" s="91"/>
      <c r="AO95" s="91"/>
      <c r="AP95" s="91"/>
      <c r="AQ95" s="91"/>
      <c r="AR95" s="91"/>
      <c r="AS95" s="91"/>
      <c r="AT95" s="91"/>
      <c r="AU95" s="91"/>
      <c r="AV95" s="91"/>
      <c r="AW95" s="91"/>
      <c r="AX95" s="91"/>
      <c r="AY95" s="91"/>
      <c r="AZ95" s="91"/>
      <c r="BA95" s="91"/>
      <c r="BB95" s="91"/>
      <c r="BC95" s="91"/>
      <c r="BD95" s="91"/>
      <c r="BE95" s="91"/>
      <c r="BF95" s="91"/>
      <c r="BG95" s="91"/>
      <c r="BH95" s="91"/>
      <c r="BI95" s="91"/>
    </row>
    <row r="96" spans="1:61" s="44" customFormat="1" ht="24.95" hidden="1" customHeight="1">
      <c r="A96" s="1001"/>
      <c r="B96" s="57" t="s">
        <v>10</v>
      </c>
      <c r="C96" s="57"/>
      <c r="D96" s="57"/>
      <c r="E96" s="57"/>
      <c r="F96" s="57"/>
      <c r="G96" s="80">
        <f>G104</f>
        <v>0</v>
      </c>
      <c r="H96" s="80"/>
      <c r="I96" s="80"/>
      <c r="J96" s="80">
        <f>J104</f>
        <v>0</v>
      </c>
      <c r="K96" s="80"/>
      <c r="L96" s="80">
        <f>L104</f>
        <v>0</v>
      </c>
      <c r="M96" s="80"/>
      <c r="N96" s="607"/>
      <c r="O96" s="610"/>
      <c r="AJ96" s="91"/>
      <c r="AK96" s="91"/>
      <c r="AL96" s="91"/>
      <c r="AM96" s="91"/>
      <c r="AN96" s="91"/>
      <c r="AO96" s="91"/>
      <c r="AP96" s="91"/>
      <c r="AQ96" s="91"/>
      <c r="AR96" s="91"/>
      <c r="AS96" s="91"/>
      <c r="AT96" s="91"/>
      <c r="AU96" s="91"/>
      <c r="AV96" s="91"/>
      <c r="AW96" s="91"/>
      <c r="AX96" s="91"/>
      <c r="AY96" s="91"/>
      <c r="AZ96" s="91"/>
      <c r="BA96" s="91"/>
      <c r="BB96" s="91"/>
      <c r="BC96" s="91"/>
      <c r="BD96" s="91"/>
      <c r="BE96" s="91"/>
      <c r="BF96" s="91"/>
      <c r="BG96" s="91"/>
      <c r="BH96" s="91"/>
      <c r="BI96" s="91"/>
    </row>
    <row r="97" spans="1:61" s="44" customFormat="1" ht="24.95" hidden="1" customHeight="1">
      <c r="A97" s="1002"/>
      <c r="B97" s="57" t="s">
        <v>34</v>
      </c>
      <c r="C97" s="57"/>
      <c r="D97" s="57"/>
      <c r="E97" s="57"/>
      <c r="F97" s="57"/>
      <c r="G97" s="80">
        <f>G101+G105</f>
        <v>0</v>
      </c>
      <c r="H97" s="80"/>
      <c r="I97" s="80"/>
      <c r="J97" s="80">
        <f>J105</f>
        <v>0</v>
      </c>
      <c r="K97" s="80"/>
      <c r="L97" s="80">
        <f>L101+L105</f>
        <v>0</v>
      </c>
      <c r="M97" s="80"/>
      <c r="N97" s="607"/>
      <c r="O97" s="610"/>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row>
    <row r="98" spans="1:61" s="44" customFormat="1" ht="24.95" hidden="1" customHeight="1">
      <c r="A98" s="943" t="s">
        <v>18</v>
      </c>
      <c r="B98" s="546" t="s">
        <v>89</v>
      </c>
      <c r="C98" s="57"/>
      <c r="D98" s="57"/>
      <c r="E98" s="57"/>
      <c r="F98" s="57"/>
      <c r="G98" s="80"/>
      <c r="H98" s="80"/>
      <c r="I98" s="80"/>
      <c r="J98" s="80"/>
      <c r="K98" s="80"/>
      <c r="L98" s="80"/>
      <c r="M98" s="80"/>
      <c r="N98" s="607"/>
      <c r="O98" s="944" t="s">
        <v>232</v>
      </c>
      <c r="AJ98" s="91"/>
      <c r="AK98" s="91"/>
      <c r="AL98" s="91"/>
      <c r="AM98" s="91"/>
      <c r="AN98" s="91"/>
      <c r="AO98" s="91"/>
      <c r="AP98" s="91"/>
      <c r="AQ98" s="91"/>
      <c r="AR98" s="91"/>
      <c r="AS98" s="91"/>
      <c r="AT98" s="91"/>
      <c r="AU98" s="91"/>
      <c r="AV98" s="91"/>
      <c r="AW98" s="91"/>
      <c r="AX98" s="91"/>
      <c r="AY98" s="91"/>
      <c r="AZ98" s="91"/>
      <c r="BA98" s="91"/>
      <c r="BB98" s="91"/>
      <c r="BC98" s="91"/>
      <c r="BD98" s="91"/>
      <c r="BE98" s="91"/>
      <c r="BF98" s="91"/>
      <c r="BG98" s="91"/>
      <c r="BH98" s="91"/>
      <c r="BI98" s="91"/>
    </row>
    <row r="99" spans="1:61" ht="24.95" hidden="1" customHeight="1">
      <c r="A99" s="943"/>
      <c r="B99" s="546" t="s">
        <v>235</v>
      </c>
      <c r="C99" s="546">
        <v>176</v>
      </c>
      <c r="D99" s="546" t="s">
        <v>15</v>
      </c>
      <c r="E99" s="546">
        <v>6100404</v>
      </c>
      <c r="F99" s="546">
        <v>414</v>
      </c>
      <c r="G99" s="81">
        <f>G101</f>
        <v>0</v>
      </c>
      <c r="H99" s="81"/>
      <c r="I99" s="81"/>
      <c r="J99" s="81"/>
      <c r="K99" s="81"/>
      <c r="L99" s="81"/>
      <c r="M99" s="81"/>
      <c r="N99" s="607"/>
      <c r="O99" s="944"/>
    </row>
    <row r="100" spans="1:61" ht="24.95" hidden="1" customHeight="1">
      <c r="A100" s="943"/>
      <c r="B100" s="546" t="s">
        <v>10</v>
      </c>
      <c r="C100" s="546"/>
      <c r="D100" s="546"/>
      <c r="E100" s="546"/>
      <c r="F100" s="546"/>
      <c r="G100" s="81"/>
      <c r="H100" s="81"/>
      <c r="I100" s="81"/>
      <c r="J100" s="81"/>
      <c r="K100" s="81"/>
      <c r="L100" s="81"/>
      <c r="M100" s="81"/>
      <c r="N100" s="607"/>
      <c r="O100" s="944"/>
    </row>
    <row r="101" spans="1:61" ht="24.95" hidden="1" customHeight="1">
      <c r="A101" s="943"/>
      <c r="B101" s="546" t="s">
        <v>34</v>
      </c>
      <c r="C101" s="546"/>
      <c r="D101" s="546"/>
      <c r="E101" s="546"/>
      <c r="F101" s="546"/>
      <c r="G101" s="81"/>
      <c r="H101" s="81"/>
      <c r="I101" s="81"/>
      <c r="J101" s="81"/>
      <c r="K101" s="81"/>
      <c r="L101" s="81"/>
      <c r="M101" s="81"/>
      <c r="N101" s="607"/>
      <c r="O101" s="944"/>
    </row>
    <row r="102" spans="1:61" ht="24.95" hidden="1" customHeight="1">
      <c r="A102" s="943" t="s">
        <v>443</v>
      </c>
      <c r="B102" s="546" t="s">
        <v>89</v>
      </c>
      <c r="C102" s="546"/>
      <c r="D102" s="546"/>
      <c r="E102" s="546"/>
      <c r="F102" s="546"/>
      <c r="G102" s="81"/>
      <c r="H102" s="81"/>
      <c r="I102" s="81"/>
      <c r="J102" s="81"/>
      <c r="K102" s="81"/>
      <c r="L102" s="81"/>
      <c r="M102" s="81"/>
      <c r="N102" s="607"/>
      <c r="O102" s="604"/>
    </row>
    <row r="103" spans="1:61" ht="29.25" hidden="1" customHeight="1">
      <c r="A103" s="943"/>
      <c r="B103" s="546" t="s">
        <v>235</v>
      </c>
      <c r="C103" s="546">
        <v>176</v>
      </c>
      <c r="D103" s="546" t="s">
        <v>15</v>
      </c>
      <c r="E103" s="546">
        <v>6100404</v>
      </c>
      <c r="F103" s="546">
        <v>414</v>
      </c>
      <c r="G103" s="81">
        <f t="shared" ref="G103" si="35">G104+G105</f>
        <v>0</v>
      </c>
      <c r="H103" s="81"/>
      <c r="I103" s="81"/>
      <c r="J103" s="81"/>
      <c r="K103" s="81"/>
      <c r="L103" s="81"/>
      <c r="M103" s="81"/>
      <c r="N103" s="607"/>
      <c r="O103" s="944" t="s">
        <v>320</v>
      </c>
      <c r="P103" s="98"/>
    </row>
    <row r="104" spans="1:61" ht="24.95" hidden="1" customHeight="1">
      <c r="A104" s="943"/>
      <c r="B104" s="546" t="s">
        <v>10</v>
      </c>
      <c r="C104" s="546"/>
      <c r="D104" s="546"/>
      <c r="E104" s="546"/>
      <c r="F104" s="546"/>
      <c r="G104" s="81"/>
      <c r="H104" s="81"/>
      <c r="I104" s="81"/>
      <c r="J104" s="81"/>
      <c r="K104" s="81"/>
      <c r="L104" s="81"/>
      <c r="M104" s="81"/>
      <c r="N104" s="607"/>
      <c r="O104" s="944"/>
      <c r="P104" s="98"/>
    </row>
    <row r="105" spans="1:61" ht="24.95" hidden="1" customHeight="1">
      <c r="A105" s="943"/>
      <c r="B105" s="546" t="s">
        <v>34</v>
      </c>
      <c r="C105" s="546"/>
      <c r="D105" s="546"/>
      <c r="E105" s="546"/>
      <c r="F105" s="546"/>
      <c r="G105" s="81"/>
      <c r="H105" s="81"/>
      <c r="I105" s="81"/>
      <c r="J105" s="81"/>
      <c r="K105" s="81"/>
      <c r="L105" s="81"/>
      <c r="M105" s="81"/>
      <c r="N105" s="607"/>
      <c r="O105" s="944"/>
    </row>
    <row r="106" spans="1:61" ht="24.95" hidden="1" customHeight="1">
      <c r="A106" s="967" t="s">
        <v>287</v>
      </c>
      <c r="B106" s="546" t="s">
        <v>89</v>
      </c>
      <c r="C106" s="546"/>
      <c r="D106" s="546"/>
      <c r="E106" s="546"/>
      <c r="F106" s="546"/>
      <c r="G106" s="81"/>
      <c r="H106" s="81"/>
      <c r="I106" s="81"/>
      <c r="J106" s="81"/>
      <c r="K106" s="81"/>
      <c r="L106" s="81"/>
      <c r="M106" s="81"/>
      <c r="N106" s="607"/>
      <c r="O106" s="944" t="s">
        <v>290</v>
      </c>
    </row>
    <row r="107" spans="1:61" ht="24.95" hidden="1" customHeight="1">
      <c r="A107" s="968"/>
      <c r="B107" s="546" t="s">
        <v>235</v>
      </c>
      <c r="C107" s="546"/>
      <c r="D107" s="546"/>
      <c r="E107" s="546"/>
      <c r="F107" s="546"/>
      <c r="G107" s="81"/>
      <c r="H107" s="81"/>
      <c r="I107" s="81"/>
      <c r="J107" s="81"/>
      <c r="K107" s="81"/>
      <c r="L107" s="81"/>
      <c r="M107" s="81"/>
      <c r="N107" s="607"/>
      <c r="O107" s="944"/>
    </row>
    <row r="108" spans="1:61" ht="24.95" hidden="1" customHeight="1">
      <c r="A108" s="968"/>
      <c r="B108" s="546" t="s">
        <v>10</v>
      </c>
      <c r="C108" s="546"/>
      <c r="D108" s="546"/>
      <c r="E108" s="546"/>
      <c r="F108" s="546"/>
      <c r="G108" s="81"/>
      <c r="H108" s="81"/>
      <c r="I108" s="81"/>
      <c r="J108" s="81"/>
      <c r="K108" s="81"/>
      <c r="L108" s="81"/>
      <c r="M108" s="81"/>
      <c r="N108" s="607"/>
      <c r="O108" s="944"/>
    </row>
    <row r="109" spans="1:61" ht="24.95" hidden="1" customHeight="1">
      <c r="A109" s="969"/>
      <c r="B109" s="546" t="s">
        <v>436</v>
      </c>
      <c r="C109" s="546"/>
      <c r="D109" s="546"/>
      <c r="E109" s="546"/>
      <c r="F109" s="546"/>
      <c r="G109" s="81"/>
      <c r="H109" s="81"/>
      <c r="I109" s="81"/>
      <c r="J109" s="81"/>
      <c r="K109" s="81"/>
      <c r="L109" s="81"/>
      <c r="M109" s="81"/>
      <c r="N109" s="607"/>
      <c r="O109" s="944"/>
    </row>
    <row r="110" spans="1:61" s="44" customFormat="1" ht="24.95" hidden="1" customHeight="1">
      <c r="A110" s="945" t="s">
        <v>100</v>
      </c>
      <c r="B110" s="57" t="s">
        <v>89</v>
      </c>
      <c r="C110" s="57"/>
      <c r="D110" s="57"/>
      <c r="E110" s="57"/>
      <c r="F110" s="57"/>
      <c r="G110" s="80">
        <f>K110</f>
        <v>0</v>
      </c>
      <c r="H110" s="80">
        <f t="shared" ref="H110:J110" si="36">H123+H126+H134</f>
        <v>0</v>
      </c>
      <c r="I110" s="80">
        <f t="shared" si="36"/>
        <v>0</v>
      </c>
      <c r="J110" s="80">
        <f t="shared" si="36"/>
        <v>0</v>
      </c>
      <c r="K110" s="80">
        <f>K126</f>
        <v>0</v>
      </c>
      <c r="L110" s="80">
        <f t="shared" ref="L110:M110" si="37">L123+L126+L134</f>
        <v>0</v>
      </c>
      <c r="M110" s="80">
        <f t="shared" si="37"/>
        <v>0</v>
      </c>
      <c r="N110" s="607"/>
      <c r="O110" s="610"/>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row>
    <row r="111" spans="1:61" s="44" customFormat="1" ht="29.25" hidden="1" customHeight="1">
      <c r="A111" s="945"/>
      <c r="B111" s="57" t="s">
        <v>235</v>
      </c>
      <c r="C111" s="57"/>
      <c r="D111" s="57"/>
      <c r="E111" s="57"/>
      <c r="F111" s="57"/>
      <c r="G111" s="80">
        <f t="shared" ref="G111:M111" si="38">G112+G113</f>
        <v>0</v>
      </c>
      <c r="H111" s="80">
        <f t="shared" si="38"/>
        <v>0</v>
      </c>
      <c r="I111" s="80">
        <f t="shared" si="38"/>
        <v>0</v>
      </c>
      <c r="J111" s="80">
        <f t="shared" si="38"/>
        <v>0</v>
      </c>
      <c r="K111" s="80">
        <f t="shared" si="38"/>
        <v>0</v>
      </c>
      <c r="L111" s="80">
        <f t="shared" si="38"/>
        <v>0</v>
      </c>
      <c r="M111" s="80">
        <f t="shared" si="38"/>
        <v>0</v>
      </c>
      <c r="N111" s="607"/>
      <c r="O111" s="610"/>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row>
    <row r="112" spans="1:61" s="44" customFormat="1" ht="24.95" hidden="1" customHeight="1">
      <c r="A112" s="945"/>
      <c r="B112" s="57" t="s">
        <v>10</v>
      </c>
      <c r="C112" s="57"/>
      <c r="D112" s="57"/>
      <c r="E112" s="57"/>
      <c r="F112" s="57"/>
      <c r="G112" s="80">
        <f>G125+G128+G136</f>
        <v>0</v>
      </c>
      <c r="H112" s="80">
        <f t="shared" ref="H112:K112" si="39">H125+H128+H136</f>
        <v>0</v>
      </c>
      <c r="I112" s="80">
        <f t="shared" si="39"/>
        <v>0</v>
      </c>
      <c r="J112" s="80">
        <f t="shared" si="39"/>
        <v>0</v>
      </c>
      <c r="K112" s="80">
        <f t="shared" si="39"/>
        <v>0</v>
      </c>
      <c r="L112" s="80">
        <f t="shared" ref="L112:M112" si="40">L125+L128+L136</f>
        <v>0</v>
      </c>
      <c r="M112" s="80">
        <f t="shared" si="40"/>
        <v>0</v>
      </c>
      <c r="N112" s="607"/>
      <c r="O112" s="610"/>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row>
    <row r="113" spans="1:61" s="44" customFormat="1" ht="24.6" hidden="1" customHeight="1">
      <c r="A113" s="945"/>
      <c r="B113" s="57" t="s">
        <v>436</v>
      </c>
      <c r="C113" s="57"/>
      <c r="D113" s="57"/>
      <c r="E113" s="57"/>
      <c r="F113" s="57"/>
      <c r="G113" s="80">
        <f>G129+G137</f>
        <v>0</v>
      </c>
      <c r="H113" s="80"/>
      <c r="I113" s="80"/>
      <c r="J113" s="80"/>
      <c r="K113" s="80"/>
      <c r="L113" s="80">
        <f t="shared" ref="L113:M113" si="41">L129+L137</f>
        <v>0</v>
      </c>
      <c r="M113" s="80">
        <f t="shared" si="41"/>
        <v>0</v>
      </c>
      <c r="N113" s="607"/>
      <c r="O113" s="610"/>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row>
    <row r="114" spans="1:61" s="44" customFormat="1" ht="24.95" hidden="1" customHeight="1">
      <c r="A114" s="978" t="s">
        <v>282</v>
      </c>
      <c r="B114" s="546" t="s">
        <v>89</v>
      </c>
      <c r="C114" s="57"/>
      <c r="D114" s="57"/>
      <c r="E114" s="57"/>
      <c r="F114" s="57"/>
      <c r="G114" s="80"/>
      <c r="H114" s="80"/>
      <c r="I114" s="80"/>
      <c r="J114" s="80"/>
      <c r="K114" s="80"/>
      <c r="L114" s="80"/>
      <c r="M114" s="80"/>
      <c r="N114" s="607"/>
      <c r="O114" s="944" t="s">
        <v>31</v>
      </c>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row>
    <row r="115" spans="1:61" ht="24.95" hidden="1" customHeight="1">
      <c r="A115" s="979"/>
      <c r="B115" s="546" t="s">
        <v>235</v>
      </c>
      <c r="C115" s="546">
        <v>176</v>
      </c>
      <c r="D115" s="546" t="s">
        <v>15</v>
      </c>
      <c r="E115" s="546">
        <v>6100404</v>
      </c>
      <c r="F115" s="546">
        <v>414</v>
      </c>
      <c r="G115" s="81">
        <f t="shared" ref="G115" si="42">G116</f>
        <v>0</v>
      </c>
      <c r="H115" s="81"/>
      <c r="I115" s="81"/>
      <c r="J115" s="81"/>
      <c r="K115" s="81"/>
      <c r="L115" s="81">
        <f>L116</f>
        <v>0</v>
      </c>
      <c r="M115" s="81"/>
      <c r="N115" s="607"/>
      <c r="O115" s="944"/>
    </row>
    <row r="116" spans="1:61" ht="24.95" hidden="1" customHeight="1">
      <c r="A116" s="980"/>
      <c r="B116" s="546" t="s">
        <v>34</v>
      </c>
      <c r="C116" s="546"/>
      <c r="D116" s="546"/>
      <c r="E116" s="546"/>
      <c r="F116" s="546"/>
      <c r="G116" s="81"/>
      <c r="H116" s="81"/>
      <c r="I116" s="81"/>
      <c r="J116" s="81"/>
      <c r="K116" s="81"/>
      <c r="L116" s="81"/>
      <c r="M116" s="81"/>
      <c r="N116" s="607"/>
      <c r="O116" s="944"/>
    </row>
    <row r="117" spans="1:61" ht="0.6" hidden="1" customHeight="1">
      <c r="A117" s="978" t="s">
        <v>283</v>
      </c>
      <c r="B117" s="546" t="str">
        <f t="shared" ref="B117:L117" si="43">B114</f>
        <v>Мощность, км</v>
      </c>
      <c r="C117" s="546">
        <f t="shared" si="43"/>
        <v>0</v>
      </c>
      <c r="D117" s="546">
        <f t="shared" si="43"/>
        <v>0</v>
      </c>
      <c r="E117" s="546">
        <f t="shared" si="43"/>
        <v>0</v>
      </c>
      <c r="F117" s="546">
        <f t="shared" si="43"/>
        <v>0</v>
      </c>
      <c r="G117" s="81">
        <f t="shared" si="43"/>
        <v>0</v>
      </c>
      <c r="H117" s="81"/>
      <c r="I117" s="81"/>
      <c r="J117" s="81"/>
      <c r="K117" s="81"/>
      <c r="L117" s="81">
        <f t="shared" si="43"/>
        <v>0</v>
      </c>
      <c r="M117" s="81"/>
      <c r="N117" s="607"/>
      <c r="O117" s="944" t="str">
        <f>O114</f>
        <v>Объем работ уточняется</v>
      </c>
    </row>
    <row r="118" spans="1:61" ht="24.6" hidden="1" customHeight="1">
      <c r="A118" s="979"/>
      <c r="B118" s="546" t="str">
        <f t="shared" ref="B118:G118" si="44">B115</f>
        <v>Сумма затрат (тыс.руб.), в том числе:</v>
      </c>
      <c r="C118" s="546">
        <f t="shared" si="44"/>
        <v>176</v>
      </c>
      <c r="D118" s="546" t="str">
        <f t="shared" si="44"/>
        <v>0409</v>
      </c>
      <c r="E118" s="546">
        <f t="shared" si="44"/>
        <v>6100404</v>
      </c>
      <c r="F118" s="546">
        <f t="shared" si="44"/>
        <v>414</v>
      </c>
      <c r="G118" s="81">
        <f t="shared" si="44"/>
        <v>0</v>
      </c>
      <c r="H118" s="81"/>
      <c r="I118" s="81"/>
      <c r="J118" s="81"/>
      <c r="K118" s="81"/>
      <c r="L118" s="81">
        <f>L119</f>
        <v>0</v>
      </c>
      <c r="M118" s="81"/>
      <c r="N118" s="607"/>
      <c r="O118" s="944"/>
    </row>
    <row r="119" spans="1:61" ht="24.6" hidden="1" customHeight="1">
      <c r="A119" s="980"/>
      <c r="B119" s="546" t="str">
        <f t="shared" ref="B119:G119" si="45">B116</f>
        <v>федеральный бюджет *</v>
      </c>
      <c r="C119" s="546">
        <f t="shared" si="45"/>
        <v>0</v>
      </c>
      <c r="D119" s="546">
        <f t="shared" si="45"/>
        <v>0</v>
      </c>
      <c r="E119" s="546">
        <f t="shared" si="45"/>
        <v>0</v>
      </c>
      <c r="F119" s="546">
        <f t="shared" si="45"/>
        <v>0</v>
      </c>
      <c r="G119" s="81">
        <f t="shared" si="45"/>
        <v>0</v>
      </c>
      <c r="H119" s="81"/>
      <c r="I119" s="81"/>
      <c r="J119" s="81"/>
      <c r="K119" s="81"/>
      <c r="L119" s="81">
        <v>0</v>
      </c>
      <c r="M119" s="81"/>
      <c r="N119" s="607"/>
      <c r="O119" s="944"/>
    </row>
    <row r="120" spans="1:61" ht="24.6" hidden="1" customHeight="1">
      <c r="A120" s="978" t="s">
        <v>284</v>
      </c>
      <c r="B120" s="546" t="s">
        <v>89</v>
      </c>
      <c r="C120" s="546"/>
      <c r="D120" s="546"/>
      <c r="E120" s="546"/>
      <c r="F120" s="546"/>
      <c r="G120" s="81"/>
      <c r="H120" s="81"/>
      <c r="I120" s="81"/>
      <c r="J120" s="81"/>
      <c r="K120" s="81"/>
      <c r="L120" s="81"/>
      <c r="M120" s="81"/>
      <c r="N120" s="607"/>
      <c r="O120" s="604" t="s">
        <v>31</v>
      </c>
    </row>
    <row r="121" spans="1:61" ht="24.6" hidden="1" customHeight="1">
      <c r="A121" s="979"/>
      <c r="B121" s="546" t="s">
        <v>235</v>
      </c>
      <c r="C121" s="546"/>
      <c r="D121" s="546"/>
      <c r="E121" s="546"/>
      <c r="F121" s="546"/>
      <c r="G121" s="81"/>
      <c r="H121" s="81"/>
      <c r="I121" s="81"/>
      <c r="J121" s="81"/>
      <c r="K121" s="81"/>
      <c r="L121" s="81">
        <f>L122</f>
        <v>0</v>
      </c>
      <c r="M121" s="81"/>
      <c r="N121" s="607"/>
      <c r="O121" s="604"/>
    </row>
    <row r="122" spans="1:61" ht="24.6" hidden="1" customHeight="1">
      <c r="A122" s="980"/>
      <c r="B122" s="546" t="s">
        <v>34</v>
      </c>
      <c r="C122" s="546"/>
      <c r="D122" s="546"/>
      <c r="E122" s="546"/>
      <c r="F122" s="546"/>
      <c r="G122" s="81"/>
      <c r="H122" s="81"/>
      <c r="I122" s="81"/>
      <c r="J122" s="81"/>
      <c r="K122" s="81"/>
      <c r="L122" s="81">
        <v>0</v>
      </c>
      <c r="M122" s="81"/>
      <c r="N122" s="607"/>
      <c r="O122" s="604"/>
    </row>
    <row r="123" spans="1:61" ht="24.95" hidden="1" customHeight="1">
      <c r="A123" s="978" t="s">
        <v>296</v>
      </c>
      <c r="B123" s="546" t="s">
        <v>89</v>
      </c>
      <c r="C123" s="57"/>
      <c r="D123" s="57"/>
      <c r="E123" s="57"/>
      <c r="F123" s="57"/>
      <c r="G123" s="81"/>
      <c r="H123" s="80"/>
      <c r="I123" s="80"/>
      <c r="J123" s="80"/>
      <c r="K123" s="80"/>
      <c r="L123" s="80"/>
      <c r="M123" s="80">
        <f t="shared" ref="M123" si="46">+M126+M134</f>
        <v>0</v>
      </c>
      <c r="N123" s="607"/>
      <c r="O123" s="944" t="s">
        <v>437</v>
      </c>
      <c r="V123" s="43">
        <v>63.82</v>
      </c>
    </row>
    <row r="124" spans="1:61" ht="24.95" hidden="1" customHeight="1">
      <c r="A124" s="979"/>
      <c r="B124" s="546" t="s">
        <v>235</v>
      </c>
      <c r="C124" s="546">
        <v>176</v>
      </c>
      <c r="D124" s="546" t="s">
        <v>15</v>
      </c>
      <c r="E124" s="546">
        <v>6100404</v>
      </c>
      <c r="F124" s="546">
        <v>414</v>
      </c>
      <c r="G124" s="81">
        <f t="shared" ref="G124" si="47">G125</f>
        <v>0</v>
      </c>
      <c r="H124" s="81"/>
      <c r="I124" s="81"/>
      <c r="J124" s="81">
        <f>J125</f>
        <v>0</v>
      </c>
      <c r="K124" s="81"/>
      <c r="L124" s="81"/>
      <c r="M124" s="81"/>
      <c r="N124" s="607"/>
      <c r="O124" s="944"/>
    </row>
    <row r="125" spans="1:61" ht="22.15" hidden="1" customHeight="1">
      <c r="A125" s="980"/>
      <c r="B125" s="546" t="s">
        <v>10</v>
      </c>
      <c r="C125" s="546"/>
      <c r="D125" s="546"/>
      <c r="E125" s="546"/>
      <c r="F125" s="546"/>
      <c r="G125" s="81">
        <f>J125</f>
        <v>0</v>
      </c>
      <c r="H125" s="81"/>
      <c r="I125" s="81"/>
      <c r="J125" s="81"/>
      <c r="K125" s="81"/>
      <c r="L125" s="81"/>
      <c r="M125" s="81"/>
      <c r="N125" s="607"/>
      <c r="O125" s="944"/>
    </row>
    <row r="126" spans="1:61" ht="24.6" hidden="1" customHeight="1">
      <c r="A126" s="987" t="s">
        <v>237</v>
      </c>
      <c r="B126" s="546" t="s">
        <v>89</v>
      </c>
      <c r="C126" s="546">
        <v>176</v>
      </c>
      <c r="D126" s="546" t="s">
        <v>15</v>
      </c>
      <c r="E126" s="546">
        <v>6100404</v>
      </c>
      <c r="F126" s="546">
        <v>414</v>
      </c>
      <c r="G126" s="81"/>
      <c r="H126" s="81"/>
      <c r="I126" s="81"/>
      <c r="J126" s="81"/>
      <c r="K126" s="81"/>
      <c r="L126" s="81"/>
      <c r="M126" s="81"/>
      <c r="N126" s="607"/>
      <c r="O126" s="944" t="s">
        <v>884</v>
      </c>
      <c r="P126" s="98">
        <f>(K127+L127)/29200.7*1.074*1.037*1.049*1.05</f>
        <v>0</v>
      </c>
      <c r="AA126" s="559">
        <f>(K127+L127)/29200.7*1.074*1.037*1.049*1.05</f>
        <v>0</v>
      </c>
    </row>
    <row r="127" spans="1:61" ht="24.6" hidden="1" customHeight="1">
      <c r="A127" s="987"/>
      <c r="B127" s="546" t="s">
        <v>235</v>
      </c>
      <c r="C127" s="546"/>
      <c r="D127" s="546"/>
      <c r="E127" s="546"/>
      <c r="F127" s="546"/>
      <c r="G127" s="81">
        <f t="shared" ref="G127:J127" si="48">G128+G129</f>
        <v>0</v>
      </c>
      <c r="H127" s="81">
        <f t="shared" si="48"/>
        <v>0</v>
      </c>
      <c r="I127" s="81">
        <f t="shared" si="48"/>
        <v>0</v>
      </c>
      <c r="J127" s="81">
        <f t="shared" si="48"/>
        <v>0</v>
      </c>
      <c r="K127" s="81">
        <f>K128</f>
        <v>0</v>
      </c>
      <c r="L127" s="81">
        <f>L128+L129</f>
        <v>0</v>
      </c>
      <c r="M127" s="81"/>
      <c r="N127" s="607"/>
      <c r="O127" s="944"/>
    </row>
    <row r="128" spans="1:61" ht="24.6" hidden="1" customHeight="1">
      <c r="A128" s="987"/>
      <c r="B128" s="546" t="s">
        <v>10</v>
      </c>
      <c r="C128" s="546"/>
      <c r="D128" s="546"/>
      <c r="E128" s="546"/>
      <c r="F128" s="546"/>
      <c r="G128" s="81">
        <f>K128</f>
        <v>0</v>
      </c>
      <c r="H128" s="81"/>
      <c r="I128" s="81"/>
      <c r="J128" s="81"/>
      <c r="K128" s="81"/>
      <c r="L128" s="81">
        <v>0</v>
      </c>
      <c r="M128" s="81"/>
      <c r="N128" s="607"/>
      <c r="O128" s="944"/>
    </row>
    <row r="129" spans="1:15" ht="24" hidden="1" customHeight="1">
      <c r="A129" s="987"/>
      <c r="B129" s="546" t="s">
        <v>436</v>
      </c>
      <c r="C129" s="546"/>
      <c r="D129" s="546"/>
      <c r="E129" s="546"/>
      <c r="F129" s="546"/>
      <c r="G129" s="81">
        <v>0</v>
      </c>
      <c r="H129" s="81"/>
      <c r="I129" s="81"/>
      <c r="J129" s="81"/>
      <c r="K129" s="81"/>
      <c r="L129" s="81"/>
      <c r="M129" s="81"/>
      <c r="N129" s="607"/>
      <c r="O129" s="944"/>
    </row>
    <row r="130" spans="1:15" ht="24.6" hidden="1" customHeight="1">
      <c r="A130" s="983" t="s">
        <v>236</v>
      </c>
      <c r="B130" s="546" t="s">
        <v>89</v>
      </c>
      <c r="C130" s="546"/>
      <c r="D130" s="546"/>
      <c r="E130" s="546"/>
      <c r="F130" s="546"/>
      <c r="G130" s="81"/>
      <c r="H130" s="81"/>
      <c r="I130" s="81"/>
      <c r="J130" s="81"/>
      <c r="K130" s="81"/>
      <c r="L130" s="81"/>
      <c r="M130" s="81"/>
      <c r="N130" s="607"/>
      <c r="O130" s="944" t="s">
        <v>260</v>
      </c>
    </row>
    <row r="131" spans="1:15" ht="24.6" hidden="1" customHeight="1">
      <c r="A131" s="983"/>
      <c r="B131" s="546" t="s">
        <v>235</v>
      </c>
      <c r="C131" s="546">
        <v>176</v>
      </c>
      <c r="D131" s="546" t="s">
        <v>15</v>
      </c>
      <c r="E131" s="546">
        <v>6100404</v>
      </c>
      <c r="F131" s="546">
        <v>414</v>
      </c>
      <c r="G131" s="81">
        <f t="shared" ref="G131:L131" si="49">G132+G133</f>
        <v>0</v>
      </c>
      <c r="H131" s="81"/>
      <c r="I131" s="81"/>
      <c r="J131" s="81"/>
      <c r="K131" s="81"/>
      <c r="L131" s="81">
        <f t="shared" si="49"/>
        <v>0</v>
      </c>
      <c r="M131" s="81"/>
      <c r="N131" s="607"/>
      <c r="O131" s="944"/>
    </row>
    <row r="132" spans="1:15" ht="24.6" hidden="1" customHeight="1">
      <c r="A132" s="983"/>
      <c r="B132" s="546" t="s">
        <v>10</v>
      </c>
      <c r="C132" s="546"/>
      <c r="D132" s="546"/>
      <c r="E132" s="546"/>
      <c r="F132" s="546"/>
      <c r="G132" s="81"/>
      <c r="H132" s="81"/>
      <c r="I132" s="81"/>
      <c r="J132" s="81"/>
      <c r="K132" s="81"/>
      <c r="L132" s="81"/>
      <c r="M132" s="81"/>
      <c r="N132" s="607"/>
      <c r="O132" s="944"/>
    </row>
    <row r="133" spans="1:15" ht="24.6" hidden="1" customHeight="1">
      <c r="A133" s="983"/>
      <c r="B133" s="546" t="s">
        <v>34</v>
      </c>
      <c r="C133" s="546"/>
      <c r="D133" s="546"/>
      <c r="E133" s="546"/>
      <c r="F133" s="546"/>
      <c r="G133" s="81"/>
      <c r="H133" s="81"/>
      <c r="I133" s="81"/>
      <c r="J133" s="81"/>
      <c r="K133" s="81"/>
      <c r="L133" s="81"/>
      <c r="M133" s="81"/>
      <c r="N133" s="607"/>
      <c r="O133" s="944"/>
    </row>
    <row r="134" spans="1:15" ht="0.6" hidden="1" customHeight="1">
      <c r="A134" s="983" t="s">
        <v>434</v>
      </c>
      <c r="B134" s="546" t="s">
        <v>89</v>
      </c>
      <c r="C134" s="546"/>
      <c r="D134" s="546"/>
      <c r="E134" s="546"/>
      <c r="F134" s="546"/>
      <c r="G134" s="81"/>
      <c r="H134" s="81"/>
      <c r="I134" s="81"/>
      <c r="J134" s="81"/>
      <c r="K134" s="81"/>
      <c r="L134" s="81"/>
      <c r="M134" s="81"/>
      <c r="N134" s="607"/>
      <c r="O134" s="944" t="s">
        <v>317</v>
      </c>
    </row>
    <row r="135" spans="1:15" ht="24.6" hidden="1" customHeight="1">
      <c r="A135" s="983"/>
      <c r="B135" s="546" t="s">
        <v>235</v>
      </c>
      <c r="C135" s="546">
        <v>176</v>
      </c>
      <c r="D135" s="546" t="s">
        <v>15</v>
      </c>
      <c r="E135" s="546">
        <v>6100404</v>
      </c>
      <c r="F135" s="546">
        <v>414</v>
      </c>
      <c r="G135" s="81">
        <f t="shared" ref="G135:L135" si="50">G136+G137</f>
        <v>0</v>
      </c>
      <c r="H135" s="81"/>
      <c r="I135" s="81"/>
      <c r="J135" s="81"/>
      <c r="K135" s="81"/>
      <c r="L135" s="81">
        <f t="shared" si="50"/>
        <v>0</v>
      </c>
      <c r="M135" s="81"/>
      <c r="N135" s="607"/>
      <c r="O135" s="944"/>
    </row>
    <row r="136" spans="1:15" ht="30.6" hidden="1" customHeight="1">
      <c r="A136" s="983"/>
      <c r="B136" s="546" t="s">
        <v>10</v>
      </c>
      <c r="C136" s="546"/>
      <c r="D136" s="546"/>
      <c r="E136" s="546"/>
      <c r="F136" s="546"/>
      <c r="G136" s="81"/>
      <c r="H136" s="81"/>
      <c r="I136" s="81"/>
      <c r="J136" s="81"/>
      <c r="K136" s="81"/>
      <c r="L136" s="81"/>
      <c r="M136" s="81"/>
      <c r="N136" s="607"/>
      <c r="O136" s="944"/>
    </row>
    <row r="137" spans="1:15" ht="24" hidden="1" customHeight="1">
      <c r="A137" s="983"/>
      <c r="B137" s="546" t="s">
        <v>34</v>
      </c>
      <c r="C137" s="546"/>
      <c r="D137" s="546"/>
      <c r="E137" s="546"/>
      <c r="F137" s="546"/>
      <c r="G137" s="81">
        <v>0</v>
      </c>
      <c r="H137" s="81"/>
      <c r="I137" s="81"/>
      <c r="J137" s="81"/>
      <c r="K137" s="81"/>
      <c r="L137" s="81"/>
      <c r="M137" s="81"/>
      <c r="N137" s="607"/>
      <c r="O137" s="944"/>
    </row>
    <row r="138" spans="1:15" ht="24.75" customHeight="1">
      <c r="A138" s="981" t="s">
        <v>119</v>
      </c>
      <c r="B138" s="57" t="s">
        <v>89</v>
      </c>
      <c r="C138" s="546"/>
      <c r="D138" s="546"/>
      <c r="E138" s="546"/>
      <c r="F138" s="546"/>
      <c r="G138" s="80">
        <f t="shared" ref="G138:K138" si="51">G142</f>
        <v>0</v>
      </c>
      <c r="H138" s="80">
        <f t="shared" si="51"/>
        <v>0</v>
      </c>
      <c r="I138" s="80">
        <f t="shared" si="51"/>
        <v>0</v>
      </c>
      <c r="J138" s="80">
        <f t="shared" si="51"/>
        <v>0</v>
      </c>
      <c r="K138" s="80">
        <f t="shared" si="51"/>
        <v>0</v>
      </c>
      <c r="L138" s="80"/>
      <c r="M138" s="80">
        <f>M142</f>
        <v>5.3</v>
      </c>
      <c r="N138" s="607"/>
      <c r="O138" s="604"/>
    </row>
    <row r="139" spans="1:15" ht="21.6" customHeight="1">
      <c r="A139" s="981"/>
      <c r="B139" s="57" t="s">
        <v>235</v>
      </c>
      <c r="C139" s="546"/>
      <c r="D139" s="546"/>
      <c r="E139" s="546"/>
      <c r="F139" s="546"/>
      <c r="G139" s="80">
        <f t="shared" ref="G139:L139" si="52">G141+G140</f>
        <v>0</v>
      </c>
      <c r="H139" s="80">
        <f t="shared" si="52"/>
        <v>0</v>
      </c>
      <c r="I139" s="80">
        <f t="shared" si="52"/>
        <v>0</v>
      </c>
      <c r="J139" s="80">
        <f t="shared" si="52"/>
        <v>0</v>
      </c>
      <c r="K139" s="80">
        <f t="shared" si="52"/>
        <v>0</v>
      </c>
      <c r="L139" s="80">
        <f t="shared" si="52"/>
        <v>0</v>
      </c>
      <c r="M139" s="80">
        <f>M140</f>
        <v>330000</v>
      </c>
      <c r="N139" s="607"/>
      <c r="O139" s="604"/>
    </row>
    <row r="140" spans="1:15" ht="31.9" customHeight="1">
      <c r="A140" s="981"/>
      <c r="B140" s="57" t="s">
        <v>10</v>
      </c>
      <c r="C140" s="546"/>
      <c r="D140" s="546"/>
      <c r="E140" s="546"/>
      <c r="F140" s="546"/>
      <c r="G140" s="80">
        <f t="shared" ref="G140:L141" si="53">G144</f>
        <v>0</v>
      </c>
      <c r="H140" s="80">
        <f t="shared" si="53"/>
        <v>0</v>
      </c>
      <c r="I140" s="80">
        <f t="shared" si="53"/>
        <v>0</v>
      </c>
      <c r="J140" s="80">
        <f t="shared" si="53"/>
        <v>0</v>
      </c>
      <c r="K140" s="80">
        <f t="shared" si="53"/>
        <v>0</v>
      </c>
      <c r="L140" s="80"/>
      <c r="M140" s="80">
        <f>M144</f>
        <v>330000</v>
      </c>
      <c r="N140" s="607"/>
      <c r="O140" s="604"/>
    </row>
    <row r="141" spans="1:15" ht="24.6" customHeight="1">
      <c r="A141" s="981"/>
      <c r="B141" s="57" t="s">
        <v>34</v>
      </c>
      <c r="C141" s="546"/>
      <c r="D141" s="546"/>
      <c r="E141" s="546"/>
      <c r="F141" s="546"/>
      <c r="G141" s="80">
        <f t="shared" si="53"/>
        <v>0</v>
      </c>
      <c r="H141" s="80"/>
      <c r="I141" s="80"/>
      <c r="J141" s="80"/>
      <c r="K141" s="80"/>
      <c r="L141" s="80">
        <f t="shared" si="53"/>
        <v>0</v>
      </c>
      <c r="M141" s="80"/>
      <c r="N141" s="607"/>
      <c r="O141" s="604"/>
    </row>
    <row r="142" spans="1:15" ht="22.5" customHeight="1">
      <c r="A142" s="984" t="s">
        <v>1092</v>
      </c>
      <c r="B142" s="546" t="s">
        <v>89</v>
      </c>
      <c r="C142" s="546"/>
      <c r="D142" s="546"/>
      <c r="E142" s="546"/>
      <c r="F142" s="546"/>
      <c r="G142" s="81">
        <f>K142</f>
        <v>0</v>
      </c>
      <c r="H142" s="81"/>
      <c r="I142" s="81"/>
      <c r="J142" s="81"/>
      <c r="K142" s="81"/>
      <c r="L142" s="81"/>
      <c r="M142" s="81">
        <v>5.3</v>
      </c>
      <c r="N142" s="607"/>
      <c r="O142" s="944" t="s">
        <v>900</v>
      </c>
    </row>
    <row r="143" spans="1:15" ht="24.6" customHeight="1">
      <c r="A143" s="985"/>
      <c r="B143" s="546" t="s">
        <v>235</v>
      </c>
      <c r="C143" s="546"/>
      <c r="D143" s="546"/>
      <c r="E143" s="546"/>
      <c r="F143" s="546"/>
      <c r="G143" s="81">
        <f t="shared" ref="G143:G145" si="54">K143</f>
        <v>0</v>
      </c>
      <c r="H143" s="81"/>
      <c r="I143" s="81"/>
      <c r="J143" s="81"/>
      <c r="K143" s="81">
        <f>K144+K145</f>
        <v>0</v>
      </c>
      <c r="L143" s="81">
        <f t="shared" ref="L143" si="55">L145+L144</f>
        <v>0</v>
      </c>
      <c r="M143" s="81">
        <f>M144</f>
        <v>330000</v>
      </c>
      <c r="N143" s="607"/>
      <c r="O143" s="944"/>
    </row>
    <row r="144" spans="1:15" ht="28.9" customHeight="1">
      <c r="A144" s="985"/>
      <c r="B144" s="546" t="s">
        <v>10</v>
      </c>
      <c r="C144" s="546"/>
      <c r="D144" s="546"/>
      <c r="E144" s="546"/>
      <c r="F144" s="546"/>
      <c r="G144" s="81">
        <f t="shared" si="54"/>
        <v>0</v>
      </c>
      <c r="H144" s="81"/>
      <c r="I144" s="81"/>
      <c r="J144" s="81"/>
      <c r="K144" s="81"/>
      <c r="L144" s="81"/>
      <c r="M144" s="81">
        <f>280000+50000</f>
        <v>330000</v>
      </c>
      <c r="N144" s="607"/>
      <c r="O144" s="944"/>
    </row>
    <row r="145" spans="1:27" ht="24.6" customHeight="1">
      <c r="A145" s="986"/>
      <c r="B145" s="546" t="s">
        <v>34</v>
      </c>
      <c r="C145" s="546"/>
      <c r="D145" s="546"/>
      <c r="E145" s="546"/>
      <c r="F145" s="546"/>
      <c r="G145" s="81">
        <f t="shared" si="54"/>
        <v>0</v>
      </c>
      <c r="H145" s="81"/>
      <c r="I145" s="81"/>
      <c r="J145" s="81"/>
      <c r="K145" s="81"/>
      <c r="L145" s="81"/>
      <c r="M145" s="81"/>
      <c r="N145" s="607"/>
      <c r="O145" s="944"/>
    </row>
    <row r="146" spans="1:27" ht="24.6" hidden="1" customHeight="1">
      <c r="A146" s="981" t="s">
        <v>124</v>
      </c>
      <c r="B146" s="57" t="s">
        <v>89</v>
      </c>
      <c r="C146" s="546"/>
      <c r="D146" s="546"/>
      <c r="E146" s="546"/>
      <c r="F146" s="546"/>
      <c r="G146" s="80">
        <f t="shared" ref="G146:M146" si="56">G150+G162</f>
        <v>0</v>
      </c>
      <c r="H146" s="80"/>
      <c r="I146" s="80"/>
      <c r="J146" s="80"/>
      <c r="K146" s="80"/>
      <c r="L146" s="80">
        <f t="shared" si="56"/>
        <v>0</v>
      </c>
      <c r="M146" s="80">
        <f t="shared" si="56"/>
        <v>0</v>
      </c>
      <c r="N146" s="607"/>
      <c r="O146" s="604"/>
    </row>
    <row r="147" spans="1:27" ht="24.6" hidden="1" customHeight="1">
      <c r="A147" s="981"/>
      <c r="B147" s="57" t="s">
        <v>235</v>
      </c>
      <c r="C147" s="546"/>
      <c r="D147" s="546"/>
      <c r="E147" s="546"/>
      <c r="F147" s="546"/>
      <c r="G147" s="80">
        <f>G148+G149</f>
        <v>0</v>
      </c>
      <c r="H147" s="80"/>
      <c r="I147" s="80"/>
      <c r="J147" s="80"/>
      <c r="K147" s="80"/>
      <c r="L147" s="80">
        <f>L148+L149</f>
        <v>0</v>
      </c>
      <c r="M147" s="80">
        <f>M148+M149</f>
        <v>0</v>
      </c>
      <c r="N147" s="607"/>
      <c r="O147" s="604"/>
    </row>
    <row r="148" spans="1:27" ht="24.6" hidden="1" customHeight="1">
      <c r="A148" s="981"/>
      <c r="B148" s="57" t="s">
        <v>10</v>
      </c>
      <c r="C148" s="546"/>
      <c r="D148" s="546"/>
      <c r="E148" s="546"/>
      <c r="F148" s="546"/>
      <c r="G148" s="80">
        <f>G151</f>
        <v>0</v>
      </c>
      <c r="H148" s="80"/>
      <c r="I148" s="80"/>
      <c r="J148" s="80"/>
      <c r="K148" s="80"/>
      <c r="L148" s="80">
        <f>L152</f>
        <v>0</v>
      </c>
      <c r="M148" s="80">
        <f>M152</f>
        <v>0</v>
      </c>
      <c r="N148" s="607"/>
      <c r="O148" s="604"/>
    </row>
    <row r="149" spans="1:27" ht="23.45" hidden="1" customHeight="1">
      <c r="A149" s="981"/>
      <c r="B149" s="57" t="s">
        <v>34</v>
      </c>
      <c r="C149" s="546"/>
      <c r="D149" s="546"/>
      <c r="E149" s="546"/>
      <c r="F149" s="546"/>
      <c r="G149" s="80">
        <f t="shared" ref="G149:L149" si="57">G161+G164</f>
        <v>0</v>
      </c>
      <c r="H149" s="80"/>
      <c r="I149" s="80"/>
      <c r="J149" s="80"/>
      <c r="K149" s="80"/>
      <c r="L149" s="80">
        <f t="shared" si="57"/>
        <v>0</v>
      </c>
      <c r="M149" s="80"/>
      <c r="N149" s="607"/>
      <c r="O149" s="604"/>
    </row>
    <row r="150" spans="1:27" ht="24.6" hidden="1" customHeight="1">
      <c r="A150" s="973" t="s">
        <v>501</v>
      </c>
      <c r="B150" s="546" t="s">
        <v>89</v>
      </c>
      <c r="C150" s="546"/>
      <c r="D150" s="546"/>
      <c r="E150" s="546"/>
      <c r="F150" s="546"/>
      <c r="G150" s="81"/>
      <c r="H150" s="81"/>
      <c r="I150" s="81"/>
      <c r="J150" s="81"/>
      <c r="K150" s="81"/>
      <c r="L150" s="81"/>
      <c r="M150" s="81"/>
      <c r="N150" s="607"/>
      <c r="O150" s="944" t="s">
        <v>460</v>
      </c>
    </row>
    <row r="151" spans="1:27" ht="24.6" hidden="1" customHeight="1">
      <c r="A151" s="974"/>
      <c r="B151" s="546" t="s">
        <v>235</v>
      </c>
      <c r="C151" s="546"/>
      <c r="D151" s="546"/>
      <c r="E151" s="546"/>
      <c r="F151" s="546"/>
      <c r="G151" s="81">
        <f>G152</f>
        <v>0</v>
      </c>
      <c r="H151" s="81">
        <f t="shared" ref="H151:K151" si="58">H152</f>
        <v>0</v>
      </c>
      <c r="I151" s="81">
        <f t="shared" si="58"/>
        <v>0</v>
      </c>
      <c r="J151" s="81">
        <f t="shared" si="58"/>
        <v>0</v>
      </c>
      <c r="K151" s="81">
        <f t="shared" si="58"/>
        <v>0</v>
      </c>
      <c r="L151" s="81">
        <f>L152</f>
        <v>0</v>
      </c>
      <c r="M151" s="81"/>
      <c r="N151" s="607"/>
      <c r="O151" s="944"/>
    </row>
    <row r="152" spans="1:27" ht="24.6" hidden="1" customHeight="1">
      <c r="A152" s="974"/>
      <c r="B152" s="546" t="s">
        <v>10</v>
      </c>
      <c r="C152" s="546"/>
      <c r="D152" s="546"/>
      <c r="E152" s="546"/>
      <c r="F152" s="546"/>
      <c r="G152" s="81"/>
      <c r="H152" s="112"/>
      <c r="I152" s="112"/>
      <c r="J152" s="112"/>
      <c r="K152" s="112"/>
      <c r="L152" s="265"/>
      <c r="M152" s="81"/>
      <c r="N152" s="607"/>
      <c r="O152" s="944"/>
    </row>
    <row r="153" spans="1:27" ht="24.6" hidden="1" customHeight="1">
      <c r="A153" s="975"/>
      <c r="B153" s="542" t="s">
        <v>436</v>
      </c>
      <c r="C153" s="542"/>
      <c r="D153" s="542"/>
      <c r="E153" s="542"/>
      <c r="F153" s="542"/>
      <c r="G153" s="85"/>
      <c r="H153" s="85"/>
      <c r="I153" s="85"/>
      <c r="J153" s="85"/>
      <c r="K153" s="85"/>
      <c r="L153" s="265"/>
      <c r="M153" s="85"/>
      <c r="N153" s="607"/>
      <c r="O153" s="944"/>
    </row>
    <row r="154" spans="1:27" ht="24.6" hidden="1" customHeight="1">
      <c r="A154" s="970" t="s">
        <v>122</v>
      </c>
      <c r="B154" s="269" t="s">
        <v>89</v>
      </c>
      <c r="C154" s="542"/>
      <c r="D154" s="542"/>
      <c r="E154" s="542"/>
      <c r="F154" s="542"/>
      <c r="G154" s="263">
        <f>G158</f>
        <v>0</v>
      </c>
      <c r="H154" s="263">
        <f t="shared" ref="H154:K154" si="59">H158</f>
        <v>0</v>
      </c>
      <c r="I154" s="263">
        <f t="shared" si="59"/>
        <v>0</v>
      </c>
      <c r="J154" s="263">
        <f t="shared" si="59"/>
        <v>0</v>
      </c>
      <c r="K154" s="263">
        <f t="shared" si="59"/>
        <v>0</v>
      </c>
      <c r="L154" s="299">
        <f>L158</f>
        <v>0</v>
      </c>
      <c r="M154" s="85"/>
      <c r="N154" s="607"/>
      <c r="O154" s="944"/>
    </row>
    <row r="155" spans="1:27" ht="24.6" hidden="1" customHeight="1">
      <c r="A155" s="971"/>
      <c r="B155" s="269" t="s">
        <v>235</v>
      </c>
      <c r="C155" s="542"/>
      <c r="D155" s="542"/>
      <c r="E155" s="542"/>
      <c r="F155" s="542"/>
      <c r="G155" s="263">
        <f>G156</f>
        <v>0</v>
      </c>
      <c r="H155" s="263">
        <f t="shared" ref="H155:K155" si="60">H156</f>
        <v>0</v>
      </c>
      <c r="I155" s="263">
        <f t="shared" si="60"/>
        <v>0</v>
      </c>
      <c r="J155" s="263">
        <f t="shared" si="60"/>
        <v>0</v>
      </c>
      <c r="K155" s="263">
        <f t="shared" si="60"/>
        <v>0</v>
      </c>
      <c r="L155" s="299">
        <f>L159</f>
        <v>0</v>
      </c>
      <c r="M155" s="85"/>
      <c r="N155" s="607"/>
      <c r="O155" s="944"/>
    </row>
    <row r="156" spans="1:27" ht="24.6" hidden="1" customHeight="1">
      <c r="A156" s="971"/>
      <c r="B156" s="269" t="s">
        <v>10</v>
      </c>
      <c r="C156" s="542"/>
      <c r="D156" s="542"/>
      <c r="E156" s="542"/>
      <c r="F156" s="542"/>
      <c r="G156" s="263">
        <f>G160</f>
        <v>0</v>
      </c>
      <c r="H156" s="263">
        <f t="shared" ref="H156:K156" si="61">H160</f>
        <v>0</v>
      </c>
      <c r="I156" s="263">
        <f t="shared" si="61"/>
        <v>0</v>
      </c>
      <c r="J156" s="263">
        <f t="shared" si="61"/>
        <v>0</v>
      </c>
      <c r="K156" s="263">
        <f t="shared" si="61"/>
        <v>0</v>
      </c>
      <c r="L156" s="299">
        <f>L160</f>
        <v>0</v>
      </c>
      <c r="M156" s="85"/>
      <c r="N156" s="607"/>
      <c r="O156" s="944"/>
    </row>
    <row r="157" spans="1:27" ht="24.6" hidden="1" customHeight="1">
      <c r="A157" s="972"/>
      <c r="B157" s="269" t="s">
        <v>436</v>
      </c>
      <c r="C157" s="542"/>
      <c r="D157" s="542"/>
      <c r="E157" s="542"/>
      <c r="F157" s="542"/>
      <c r="G157" s="85"/>
      <c r="H157" s="85"/>
      <c r="I157" s="85"/>
      <c r="J157" s="85"/>
      <c r="K157" s="85"/>
      <c r="L157" s="265"/>
      <c r="M157" s="85"/>
      <c r="N157" s="607"/>
      <c r="O157" s="944"/>
    </row>
    <row r="158" spans="1:27" ht="24.6" hidden="1" customHeight="1">
      <c r="A158" s="973" t="s">
        <v>503</v>
      </c>
      <c r="B158" s="268" t="s">
        <v>89</v>
      </c>
      <c r="C158" s="542"/>
      <c r="D158" s="542"/>
      <c r="E158" s="542"/>
      <c r="F158" s="542"/>
      <c r="G158" s="85">
        <f>K158</f>
        <v>0</v>
      </c>
      <c r="H158" s="85"/>
      <c r="I158" s="85"/>
      <c r="J158" s="85"/>
      <c r="K158" s="85">
        <f>AA158</f>
        <v>0</v>
      </c>
      <c r="L158" s="265"/>
      <c r="M158" s="85"/>
      <c r="N158" s="607"/>
      <c r="O158" s="944" t="s">
        <v>706</v>
      </c>
      <c r="P158" s="43">
        <f>K159/29200.7*1.074*1.037*1.049*1.05</f>
        <v>0</v>
      </c>
      <c r="AA158" s="559">
        <f>K159/29200.7*1.074*1.037*1.049*1.05</f>
        <v>0</v>
      </c>
    </row>
    <row r="159" spans="1:27" ht="24.6" hidden="1" customHeight="1">
      <c r="A159" s="974"/>
      <c r="B159" s="268" t="s">
        <v>235</v>
      </c>
      <c r="C159" s="542"/>
      <c r="D159" s="542"/>
      <c r="E159" s="542"/>
      <c r="F159" s="542"/>
      <c r="G159" s="85">
        <f>G160</f>
        <v>0</v>
      </c>
      <c r="H159" s="85"/>
      <c r="I159" s="85"/>
      <c r="J159" s="85"/>
      <c r="K159" s="85">
        <f>K160</f>
        <v>0</v>
      </c>
      <c r="L159" s="265"/>
      <c r="M159" s="85"/>
      <c r="N159" s="607"/>
      <c r="O159" s="944"/>
    </row>
    <row r="160" spans="1:27" ht="24.6" hidden="1" customHeight="1">
      <c r="A160" s="974"/>
      <c r="B160" s="268" t="s">
        <v>10</v>
      </c>
      <c r="C160" s="542"/>
      <c r="D160" s="542"/>
      <c r="E160" s="542"/>
      <c r="F160" s="542"/>
      <c r="G160" s="85">
        <f>K160</f>
        <v>0</v>
      </c>
      <c r="H160" s="85"/>
      <c r="I160" s="85"/>
      <c r="J160" s="85"/>
      <c r="K160" s="85">
        <v>0</v>
      </c>
      <c r="L160" s="265"/>
      <c r="M160" s="85"/>
      <c r="N160" s="607"/>
      <c r="O160" s="944"/>
    </row>
    <row r="161" spans="1:62" s="50" customFormat="1" ht="24" hidden="1" customHeight="1">
      <c r="A161" s="975"/>
      <c r="B161" s="551" t="s">
        <v>436</v>
      </c>
      <c r="C161" s="546"/>
      <c r="D161" s="546"/>
      <c r="E161" s="546"/>
      <c r="F161" s="546"/>
      <c r="G161" s="81"/>
      <c r="H161" s="81"/>
      <c r="I161" s="81"/>
      <c r="J161" s="81"/>
      <c r="K161" s="81"/>
      <c r="L161" s="81"/>
      <c r="M161" s="81"/>
      <c r="N161" s="607"/>
      <c r="O161" s="944"/>
      <c r="P161" s="267"/>
      <c r="Q161" s="267"/>
      <c r="R161" s="267"/>
      <c r="S161" s="267"/>
      <c r="T161" s="267"/>
      <c r="U161" s="267"/>
      <c r="V161" s="267"/>
      <c r="W161" s="267"/>
      <c r="X161" s="267"/>
      <c r="Y161" s="267"/>
      <c r="Z161" s="267"/>
      <c r="AA161" s="267"/>
      <c r="AB161" s="267"/>
      <c r="AC161" s="267"/>
      <c r="AD161" s="267"/>
      <c r="AE161" s="267"/>
      <c r="AF161" s="267"/>
      <c r="AG161" s="267"/>
      <c r="AH161" s="267"/>
      <c r="AI161" s="301"/>
      <c r="AJ161" s="267"/>
      <c r="AK161" s="267"/>
      <c r="AL161" s="267"/>
      <c r="AM161" s="267"/>
      <c r="AN161" s="267"/>
      <c r="AO161" s="267"/>
      <c r="AP161" s="267"/>
      <c r="AQ161" s="267"/>
      <c r="AR161" s="267"/>
      <c r="AS161" s="267"/>
      <c r="AT161" s="267"/>
      <c r="AU161" s="267"/>
      <c r="AV161" s="267"/>
      <c r="AW161" s="267"/>
      <c r="AX161" s="267"/>
      <c r="AY161" s="267"/>
      <c r="AZ161" s="267"/>
      <c r="BA161" s="267"/>
      <c r="BB161" s="267"/>
      <c r="BC161" s="267"/>
      <c r="BD161" s="267"/>
      <c r="BE161" s="267"/>
      <c r="BF161" s="267"/>
      <c r="BG161" s="267"/>
      <c r="BH161" s="267"/>
      <c r="BI161" s="267"/>
      <c r="BJ161" s="266"/>
    </row>
    <row r="162" spans="1:62" s="44" customFormat="1" ht="24.6" hidden="1" customHeight="1">
      <c r="A162" s="975" t="s">
        <v>215</v>
      </c>
      <c r="B162" s="544" t="s">
        <v>89</v>
      </c>
      <c r="C162" s="544"/>
      <c r="D162" s="544"/>
      <c r="E162" s="544"/>
      <c r="F162" s="544"/>
      <c r="G162" s="264">
        <v>0</v>
      </c>
      <c r="H162" s="264"/>
      <c r="I162" s="264"/>
      <c r="J162" s="264"/>
      <c r="K162" s="264"/>
      <c r="L162" s="264">
        <v>0</v>
      </c>
      <c r="M162" s="264"/>
      <c r="N162" s="607"/>
      <c r="O162" s="944" t="s">
        <v>219</v>
      </c>
      <c r="AJ162" s="91"/>
      <c r="AK162" s="91"/>
      <c r="AL162" s="91"/>
      <c r="AM162" s="91"/>
      <c r="AN162" s="91"/>
      <c r="AO162" s="91"/>
      <c r="AP162" s="91"/>
      <c r="AQ162" s="91"/>
      <c r="AR162" s="91"/>
      <c r="AS162" s="91"/>
      <c r="AT162" s="91"/>
      <c r="AU162" s="91"/>
      <c r="AV162" s="91"/>
      <c r="AW162" s="91"/>
      <c r="AX162" s="91"/>
      <c r="AY162" s="91"/>
      <c r="AZ162" s="91"/>
      <c r="BA162" s="91"/>
      <c r="BB162" s="91"/>
      <c r="BC162" s="91"/>
      <c r="BD162" s="91"/>
      <c r="BE162" s="91"/>
      <c r="BF162" s="91"/>
      <c r="BG162" s="91"/>
      <c r="BH162" s="91"/>
      <c r="BI162" s="91"/>
    </row>
    <row r="163" spans="1:62" s="44" customFormat="1" ht="24.6" hidden="1" customHeight="1">
      <c r="A163" s="982"/>
      <c r="B163" s="546" t="s">
        <v>235</v>
      </c>
      <c r="C163" s="546"/>
      <c r="D163" s="546"/>
      <c r="E163" s="546"/>
      <c r="F163" s="546"/>
      <c r="G163" s="81">
        <f t="shared" ref="G163:L163" si="62">G164</f>
        <v>0</v>
      </c>
      <c r="H163" s="81"/>
      <c r="I163" s="81"/>
      <c r="J163" s="81"/>
      <c r="K163" s="81"/>
      <c r="L163" s="81">
        <f t="shared" si="62"/>
        <v>0</v>
      </c>
      <c r="M163" s="81"/>
      <c r="N163" s="607"/>
      <c r="O163" s="944"/>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c r="BF163" s="91"/>
      <c r="BG163" s="91"/>
      <c r="BH163" s="91"/>
      <c r="BI163" s="91"/>
    </row>
    <row r="164" spans="1:62" s="44" customFormat="1" ht="11.25" hidden="1" customHeight="1">
      <c r="A164" s="982"/>
      <c r="B164" s="546" t="s">
        <v>34</v>
      </c>
      <c r="C164" s="546"/>
      <c r="D164" s="546"/>
      <c r="E164" s="546"/>
      <c r="F164" s="546"/>
      <c r="G164" s="81">
        <v>0</v>
      </c>
      <c r="H164" s="81"/>
      <c r="I164" s="81"/>
      <c r="J164" s="81"/>
      <c r="K164" s="81"/>
      <c r="L164" s="81">
        <v>0</v>
      </c>
      <c r="M164" s="81"/>
      <c r="N164" s="607"/>
      <c r="O164" s="944"/>
      <c r="AJ164" s="91"/>
      <c r="AK164" s="91"/>
      <c r="AL164" s="91"/>
      <c r="AM164" s="91"/>
      <c r="AN164" s="91"/>
      <c r="AO164" s="91"/>
      <c r="AP164" s="91"/>
      <c r="AQ164" s="91"/>
      <c r="AR164" s="91"/>
      <c r="AS164" s="91"/>
      <c r="AT164" s="91"/>
      <c r="AU164" s="91"/>
      <c r="AV164" s="91"/>
      <c r="AW164" s="91"/>
      <c r="AX164" s="91"/>
      <c r="AY164" s="91"/>
      <c r="AZ164" s="91"/>
      <c r="BA164" s="91"/>
      <c r="BB164" s="91"/>
      <c r="BC164" s="91"/>
      <c r="BD164" s="91"/>
      <c r="BE164" s="91"/>
      <c r="BF164" s="91"/>
      <c r="BG164" s="91"/>
      <c r="BH164" s="91"/>
      <c r="BI164" s="91"/>
    </row>
    <row r="165" spans="1:62" s="44" customFormat="1" ht="24.95" customHeight="1">
      <c r="A165" s="966" t="s">
        <v>101</v>
      </c>
      <c r="B165" s="57" t="s">
        <v>89</v>
      </c>
      <c r="C165" s="57"/>
      <c r="D165" s="57"/>
      <c r="E165" s="57"/>
      <c r="F165" s="57"/>
      <c r="G165" s="80">
        <f t="shared" ref="G165:L165" si="63">G169+G173</f>
        <v>1.5</v>
      </c>
      <c r="H165" s="80">
        <f t="shared" si="63"/>
        <v>0</v>
      </c>
      <c r="I165" s="80">
        <f t="shared" si="63"/>
        <v>0</v>
      </c>
      <c r="J165" s="80">
        <f t="shared" si="63"/>
        <v>0</v>
      </c>
      <c r="K165" s="80">
        <f t="shared" si="63"/>
        <v>1.5</v>
      </c>
      <c r="L165" s="80">
        <f t="shared" si="63"/>
        <v>0</v>
      </c>
      <c r="M165" s="80"/>
      <c r="N165" s="607"/>
      <c r="O165" s="610"/>
      <c r="AJ165" s="91"/>
      <c r="AK165" s="91"/>
      <c r="AL165" s="91"/>
      <c r="AM165" s="91"/>
      <c r="AN165" s="91"/>
      <c r="AO165" s="91"/>
      <c r="AP165" s="91"/>
      <c r="AQ165" s="91"/>
      <c r="AR165" s="91"/>
      <c r="AS165" s="91"/>
      <c r="AT165" s="91"/>
      <c r="AU165" s="91"/>
      <c r="AV165" s="91"/>
      <c r="AW165" s="91"/>
      <c r="AX165" s="91"/>
      <c r="AY165" s="91"/>
      <c r="AZ165" s="91"/>
      <c r="BA165" s="91"/>
      <c r="BB165" s="91"/>
      <c r="BC165" s="91"/>
      <c r="BD165" s="91"/>
      <c r="BE165" s="91"/>
      <c r="BF165" s="91"/>
      <c r="BG165" s="91"/>
      <c r="BH165" s="91"/>
      <c r="BI165" s="91"/>
    </row>
    <row r="166" spans="1:62" ht="24.95" customHeight="1">
      <c r="A166" s="966"/>
      <c r="B166" s="57" t="s">
        <v>235</v>
      </c>
      <c r="C166" s="57"/>
      <c r="D166" s="57"/>
      <c r="E166" s="57"/>
      <c r="F166" s="57"/>
      <c r="G166" s="80">
        <f t="shared" ref="G166:M166" si="64">G167+G168</f>
        <v>72000</v>
      </c>
      <c r="H166" s="80">
        <f t="shared" si="64"/>
        <v>0</v>
      </c>
      <c r="I166" s="80">
        <f t="shared" si="64"/>
        <v>0</v>
      </c>
      <c r="J166" s="80">
        <f t="shared" si="64"/>
        <v>0</v>
      </c>
      <c r="K166" s="80">
        <f t="shared" si="64"/>
        <v>72000</v>
      </c>
      <c r="L166" s="80">
        <f t="shared" si="64"/>
        <v>0</v>
      </c>
      <c r="M166" s="80">
        <f t="shared" si="64"/>
        <v>0</v>
      </c>
      <c r="N166" s="607"/>
      <c r="O166" s="610"/>
    </row>
    <row r="167" spans="1:62" ht="24.95" customHeight="1">
      <c r="A167" s="966"/>
      <c r="B167" s="57" t="s">
        <v>10</v>
      </c>
      <c r="C167" s="57"/>
      <c r="D167" s="57"/>
      <c r="E167" s="57"/>
      <c r="F167" s="57"/>
      <c r="G167" s="80">
        <f t="shared" ref="G167:K167" si="65">G171+G175</f>
        <v>72000</v>
      </c>
      <c r="H167" s="80">
        <f t="shared" si="65"/>
        <v>0</v>
      </c>
      <c r="I167" s="80">
        <f t="shared" si="65"/>
        <v>0</v>
      </c>
      <c r="J167" s="80">
        <f t="shared" si="65"/>
        <v>0</v>
      </c>
      <c r="K167" s="80">
        <f t="shared" si="65"/>
        <v>72000</v>
      </c>
      <c r="L167" s="80">
        <f>L179</f>
        <v>0</v>
      </c>
      <c r="M167" s="80">
        <f>M179</f>
        <v>0</v>
      </c>
      <c r="N167" s="607"/>
      <c r="O167" s="610"/>
    </row>
    <row r="168" spans="1:62" ht="28.5" customHeight="1">
      <c r="A168" s="966"/>
      <c r="B168" s="57" t="s">
        <v>436</v>
      </c>
      <c r="C168" s="57"/>
      <c r="D168" s="57"/>
      <c r="E168" s="57"/>
      <c r="F168" s="57"/>
      <c r="G168" s="80">
        <f>G172+G176</f>
        <v>0</v>
      </c>
      <c r="H168" s="80"/>
      <c r="I168" s="80"/>
      <c r="J168" s="80"/>
      <c r="K168" s="80"/>
      <c r="L168" s="80">
        <f>L172+L176</f>
        <v>0</v>
      </c>
      <c r="M168" s="80"/>
      <c r="N168" s="607"/>
      <c r="O168" s="610"/>
    </row>
    <row r="169" spans="1:62" ht="28.5" customHeight="1">
      <c r="A169" s="943" t="s">
        <v>297</v>
      </c>
      <c r="B169" s="546" t="s">
        <v>89</v>
      </c>
      <c r="C169" s="546">
        <v>176</v>
      </c>
      <c r="D169" s="546" t="s">
        <v>15</v>
      </c>
      <c r="E169" s="546">
        <v>6100404</v>
      </c>
      <c r="F169" s="546">
        <v>414</v>
      </c>
      <c r="G169" s="81">
        <f>K169</f>
        <v>1.5</v>
      </c>
      <c r="H169" s="81"/>
      <c r="I169" s="81"/>
      <c r="J169" s="81"/>
      <c r="K169" s="81">
        <v>1.5</v>
      </c>
      <c r="L169" s="81">
        <v>0</v>
      </c>
      <c r="M169" s="81"/>
      <c r="N169" s="607"/>
      <c r="O169" s="944" t="s">
        <v>299</v>
      </c>
    </row>
    <row r="170" spans="1:62" ht="28.5" customHeight="1">
      <c r="A170" s="943"/>
      <c r="B170" s="546" t="s">
        <v>235</v>
      </c>
      <c r="C170" s="546"/>
      <c r="D170" s="546"/>
      <c r="E170" s="546"/>
      <c r="F170" s="546"/>
      <c r="G170" s="81">
        <f t="shared" ref="G170:L170" si="66">G171+G172</f>
        <v>72000</v>
      </c>
      <c r="H170" s="81"/>
      <c r="I170" s="81"/>
      <c r="J170" s="81"/>
      <c r="K170" s="81">
        <f>K171</f>
        <v>72000</v>
      </c>
      <c r="L170" s="81">
        <f t="shared" si="66"/>
        <v>0</v>
      </c>
      <c r="M170" s="81"/>
      <c r="N170" s="607"/>
      <c r="O170" s="944"/>
      <c r="V170" s="43">
        <v>121.4</v>
      </c>
      <c r="X170" s="47"/>
    </row>
    <row r="171" spans="1:62" ht="24.6" customHeight="1">
      <c r="A171" s="943"/>
      <c r="B171" s="546" t="s">
        <v>10</v>
      </c>
      <c r="C171" s="546"/>
      <c r="D171" s="546"/>
      <c r="E171" s="546"/>
      <c r="F171" s="546"/>
      <c r="G171" s="81">
        <f>K171</f>
        <v>72000</v>
      </c>
      <c r="H171" s="81"/>
      <c r="I171" s="81"/>
      <c r="J171" s="81"/>
      <c r="K171" s="81">
        <v>72000</v>
      </c>
      <c r="L171" s="81">
        <v>0</v>
      </c>
      <c r="M171" s="81"/>
      <c r="N171" s="607"/>
      <c r="O171" s="944"/>
    </row>
    <row r="172" spans="1:62" ht="24.6" customHeight="1">
      <c r="A172" s="943"/>
      <c r="B172" s="546" t="s">
        <v>436</v>
      </c>
      <c r="C172" s="546"/>
      <c r="D172" s="546"/>
      <c r="E172" s="546"/>
      <c r="F172" s="546"/>
      <c r="G172" s="81"/>
      <c r="H172" s="81"/>
      <c r="I172" s="81"/>
      <c r="J172" s="81"/>
      <c r="K172" s="81"/>
      <c r="L172" s="81"/>
      <c r="M172" s="81"/>
      <c r="N172" s="607"/>
      <c r="O172" s="944"/>
    </row>
    <row r="173" spans="1:62" ht="24.95" hidden="1" customHeight="1">
      <c r="A173" s="943" t="s">
        <v>201</v>
      </c>
      <c r="B173" s="546" t="s">
        <v>89</v>
      </c>
      <c r="C173" s="546"/>
      <c r="D173" s="546"/>
      <c r="E173" s="546"/>
      <c r="F173" s="546"/>
      <c r="G173" s="81">
        <f>K173</f>
        <v>0</v>
      </c>
      <c r="H173" s="81"/>
      <c r="I173" s="81"/>
      <c r="J173" s="81"/>
      <c r="K173" s="81">
        <v>0</v>
      </c>
      <c r="L173" s="81"/>
      <c r="M173" s="81"/>
      <c r="N173" s="607"/>
      <c r="O173" s="933" t="s">
        <v>655</v>
      </c>
      <c r="P173" s="43">
        <f>(91884+K174)/29200.7*1.074*1.037*1.049*1.05</f>
        <v>3.8600635583964902</v>
      </c>
      <c r="AA173" s="43">
        <f>K174/29200.7*1.074*1.037*1.049*1.05</f>
        <v>0</v>
      </c>
    </row>
    <row r="174" spans="1:62" ht="24.95" hidden="1" customHeight="1">
      <c r="A174" s="943"/>
      <c r="B174" s="546" t="s">
        <v>235</v>
      </c>
      <c r="C174" s="546"/>
      <c r="D174" s="546"/>
      <c r="E174" s="546"/>
      <c r="F174" s="546"/>
      <c r="G174" s="81">
        <f>G175+G176</f>
        <v>0</v>
      </c>
      <c r="H174" s="81"/>
      <c r="I174" s="81"/>
      <c r="J174" s="81">
        <f>J175</f>
        <v>0</v>
      </c>
      <c r="K174" s="81">
        <f>K175</f>
        <v>0</v>
      </c>
      <c r="L174" s="81">
        <f>L175+L176</f>
        <v>0</v>
      </c>
      <c r="M174" s="81"/>
      <c r="N174" s="607"/>
      <c r="O174" s="946"/>
    </row>
    <row r="175" spans="1:62" ht="29.25" hidden="1" customHeight="1">
      <c r="A175" s="943"/>
      <c r="B175" s="546" t="s">
        <v>10</v>
      </c>
      <c r="C175" s="546"/>
      <c r="D175" s="546"/>
      <c r="E175" s="546"/>
      <c r="F175" s="546"/>
      <c r="G175" s="81">
        <f>H175+I175+J175+K175</f>
        <v>0</v>
      </c>
      <c r="H175" s="81"/>
      <c r="I175" s="81"/>
      <c r="J175" s="81"/>
      <c r="K175" s="81">
        <v>0</v>
      </c>
      <c r="L175" s="81"/>
      <c r="M175" s="81"/>
      <c r="N175" s="607"/>
      <c r="O175" s="946"/>
    </row>
    <row r="176" spans="1:62" ht="24.95" hidden="1" customHeight="1">
      <c r="A176" s="943"/>
      <c r="B176" s="546" t="s">
        <v>436</v>
      </c>
      <c r="C176" s="546"/>
      <c r="D176" s="546"/>
      <c r="E176" s="546"/>
      <c r="F176" s="546"/>
      <c r="G176" s="81"/>
      <c r="H176" s="81"/>
      <c r="I176" s="81"/>
      <c r="J176" s="81"/>
      <c r="K176" s="81"/>
      <c r="L176" s="81"/>
      <c r="M176" s="81"/>
      <c r="N176" s="607"/>
      <c r="O176" s="934"/>
    </row>
    <row r="177" spans="1:15" ht="24.95" hidden="1" customHeight="1">
      <c r="A177" s="967" t="s">
        <v>548</v>
      </c>
      <c r="B177" s="546" t="s">
        <v>89</v>
      </c>
      <c r="C177" s="546"/>
      <c r="D177" s="546"/>
      <c r="E177" s="546"/>
      <c r="F177" s="546"/>
      <c r="G177" s="81"/>
      <c r="H177" s="81"/>
      <c r="I177" s="81"/>
      <c r="J177" s="81"/>
      <c r="K177" s="81"/>
      <c r="L177" s="81"/>
      <c r="M177" s="81"/>
      <c r="N177" s="607"/>
      <c r="O177" s="933" t="s">
        <v>551</v>
      </c>
    </row>
    <row r="178" spans="1:15" ht="24.95" hidden="1" customHeight="1">
      <c r="A178" s="968"/>
      <c r="B178" s="546" t="s">
        <v>235</v>
      </c>
      <c r="C178" s="546"/>
      <c r="D178" s="546"/>
      <c r="E178" s="546"/>
      <c r="F178" s="546"/>
      <c r="G178" s="81"/>
      <c r="H178" s="81"/>
      <c r="I178" s="81"/>
      <c r="J178" s="81"/>
      <c r="K178" s="81"/>
      <c r="L178" s="81">
        <f>L179</f>
        <v>0</v>
      </c>
      <c r="M178" s="81">
        <f>M179+M180</f>
        <v>0</v>
      </c>
      <c r="N178" s="607"/>
      <c r="O178" s="946"/>
    </row>
    <row r="179" spans="1:15" ht="24.95" hidden="1" customHeight="1">
      <c r="A179" s="968"/>
      <c r="B179" s="546" t="s">
        <v>10</v>
      </c>
      <c r="C179" s="546"/>
      <c r="D179" s="546"/>
      <c r="E179" s="546"/>
      <c r="F179" s="546"/>
      <c r="G179" s="81"/>
      <c r="H179" s="81"/>
      <c r="I179" s="81"/>
      <c r="J179" s="81"/>
      <c r="K179" s="81"/>
      <c r="L179" s="81">
        <v>0</v>
      </c>
      <c r="M179" s="81">
        <v>0</v>
      </c>
      <c r="N179" s="607"/>
      <c r="O179" s="946"/>
    </row>
    <row r="180" spans="1:15" ht="24.95" hidden="1" customHeight="1">
      <c r="A180" s="969"/>
      <c r="B180" s="546" t="s">
        <v>436</v>
      </c>
      <c r="C180" s="546"/>
      <c r="D180" s="546"/>
      <c r="E180" s="546"/>
      <c r="F180" s="546"/>
      <c r="G180" s="81"/>
      <c r="H180" s="81"/>
      <c r="I180" s="81"/>
      <c r="J180" s="81"/>
      <c r="K180" s="81"/>
      <c r="L180" s="81"/>
      <c r="M180" s="81"/>
      <c r="N180" s="607"/>
      <c r="O180" s="934"/>
    </row>
    <row r="181" spans="1:15" ht="24.95" customHeight="1">
      <c r="A181" s="966" t="s">
        <v>125</v>
      </c>
      <c r="B181" s="57" t="s">
        <v>89</v>
      </c>
      <c r="C181" s="546"/>
      <c r="D181" s="546"/>
      <c r="E181" s="546"/>
      <c r="F181" s="546"/>
      <c r="G181" s="80">
        <f>G194</f>
        <v>5.1593230925767743</v>
      </c>
      <c r="H181" s="80"/>
      <c r="I181" s="80"/>
      <c r="J181" s="80"/>
      <c r="K181" s="80">
        <f>K194</f>
        <v>5.1593230925767743</v>
      </c>
      <c r="L181" s="80">
        <f>L185+L188+L194+L198</f>
        <v>0</v>
      </c>
      <c r="M181" s="93">
        <f>M185+M188+M194+M198</f>
        <v>0</v>
      </c>
      <c r="N181" s="607"/>
      <c r="O181" s="604"/>
    </row>
    <row r="182" spans="1:15" ht="28.5" customHeight="1">
      <c r="A182" s="966"/>
      <c r="B182" s="57" t="s">
        <v>235</v>
      </c>
      <c r="C182" s="546"/>
      <c r="D182" s="546"/>
      <c r="E182" s="546"/>
      <c r="F182" s="546"/>
      <c r="G182" s="80">
        <v>0</v>
      </c>
      <c r="H182" s="80">
        <f t="shared" ref="H182:K182" si="67">H183+H184</f>
        <v>0</v>
      </c>
      <c r="I182" s="80">
        <f t="shared" si="67"/>
        <v>0</v>
      </c>
      <c r="J182" s="80">
        <f t="shared" si="67"/>
        <v>0</v>
      </c>
      <c r="K182" s="80">
        <f t="shared" si="67"/>
        <v>50860</v>
      </c>
      <c r="L182" s="80">
        <f>L183+L184</f>
        <v>0</v>
      </c>
      <c r="M182" s="80">
        <f>M183</f>
        <v>0</v>
      </c>
      <c r="N182" s="607"/>
      <c r="O182" s="604"/>
    </row>
    <row r="183" spans="1:15" ht="26.25" customHeight="1">
      <c r="A183" s="966"/>
      <c r="B183" s="57" t="s">
        <v>10</v>
      </c>
      <c r="C183" s="546"/>
      <c r="D183" s="546"/>
      <c r="E183" s="546"/>
      <c r="F183" s="546"/>
      <c r="G183" s="80">
        <f>G196</f>
        <v>50860</v>
      </c>
      <c r="H183" s="80">
        <f t="shared" ref="H183:K183" si="68">H196</f>
        <v>0</v>
      </c>
      <c r="I183" s="80">
        <f t="shared" si="68"/>
        <v>0</v>
      </c>
      <c r="J183" s="80">
        <f t="shared" si="68"/>
        <v>0</v>
      </c>
      <c r="K183" s="80">
        <f t="shared" si="68"/>
        <v>50860</v>
      </c>
      <c r="L183" s="80">
        <f>L200</f>
        <v>0</v>
      </c>
      <c r="M183" s="80">
        <f>M200</f>
        <v>0</v>
      </c>
      <c r="N183" s="607"/>
      <c r="O183" s="604"/>
    </row>
    <row r="184" spans="1:15" ht="26.25" customHeight="1">
      <c r="A184" s="966"/>
      <c r="B184" s="57" t="s">
        <v>436</v>
      </c>
      <c r="C184" s="546"/>
      <c r="D184" s="546"/>
      <c r="E184" s="546"/>
      <c r="F184" s="546"/>
      <c r="G184" s="80">
        <f>G187+G190+G193+G197</f>
        <v>0</v>
      </c>
      <c r="H184" s="80">
        <f t="shared" ref="H184:K184" si="69">H187+H190+H193+H197</f>
        <v>0</v>
      </c>
      <c r="I184" s="80">
        <f t="shared" si="69"/>
        <v>0</v>
      </c>
      <c r="J184" s="80">
        <f t="shared" si="69"/>
        <v>0</v>
      </c>
      <c r="K184" s="80">
        <f t="shared" si="69"/>
        <v>0</v>
      </c>
      <c r="L184" s="80"/>
      <c r="M184" s="80">
        <f t="shared" ref="M184" si="70">M187+M190+M193+M197</f>
        <v>0</v>
      </c>
      <c r="N184" s="607"/>
      <c r="O184" s="604"/>
    </row>
    <row r="185" spans="1:15" ht="24" hidden="1" customHeight="1">
      <c r="A185" s="957" t="s">
        <v>298</v>
      </c>
      <c r="B185" s="546" t="s">
        <v>89</v>
      </c>
      <c r="C185" s="546"/>
      <c r="D185" s="546"/>
      <c r="E185" s="546"/>
      <c r="F185" s="546"/>
      <c r="G185" s="81"/>
      <c r="H185" s="81"/>
      <c r="I185" s="81"/>
      <c r="J185" s="81"/>
      <c r="K185" s="81"/>
      <c r="L185" s="92">
        <v>0</v>
      </c>
      <c r="M185" s="92">
        <v>0</v>
      </c>
      <c r="N185" s="607"/>
      <c r="O185" s="944" t="s">
        <v>334</v>
      </c>
    </row>
    <row r="186" spans="1:15" ht="27.75" hidden="1" customHeight="1">
      <c r="A186" s="958"/>
      <c r="B186" s="546" t="s">
        <v>235</v>
      </c>
      <c r="C186" s="546"/>
      <c r="D186" s="546"/>
      <c r="E186" s="546"/>
      <c r="F186" s="546"/>
      <c r="G186" s="81">
        <f t="shared" ref="G186:L186" si="71">G187</f>
        <v>0</v>
      </c>
      <c r="H186" s="81"/>
      <c r="I186" s="81"/>
      <c r="J186" s="81"/>
      <c r="K186" s="81"/>
      <c r="L186" s="81">
        <f t="shared" si="71"/>
        <v>0</v>
      </c>
      <c r="M186" s="81"/>
      <c r="N186" s="607"/>
      <c r="O186" s="944"/>
    </row>
    <row r="187" spans="1:15" ht="21.75" hidden="1" customHeight="1">
      <c r="A187" s="959"/>
      <c r="B187" s="546" t="s">
        <v>34</v>
      </c>
      <c r="C187" s="546"/>
      <c r="D187" s="546"/>
      <c r="E187" s="546"/>
      <c r="F187" s="546"/>
      <c r="G187" s="106">
        <v>0</v>
      </c>
      <c r="H187" s="262"/>
      <c r="I187" s="262"/>
      <c r="J187" s="262"/>
      <c r="K187" s="262"/>
      <c r="L187" s="81"/>
      <c r="M187" s="81"/>
      <c r="N187" s="607"/>
      <c r="O187" s="944"/>
    </row>
    <row r="188" spans="1:15" ht="24.75" hidden="1" customHeight="1">
      <c r="A188" s="964" t="s">
        <v>318</v>
      </c>
      <c r="B188" s="546" t="s">
        <v>89</v>
      </c>
      <c r="C188" s="546"/>
      <c r="D188" s="546"/>
      <c r="E188" s="546"/>
      <c r="F188" s="546"/>
      <c r="G188" s="81"/>
      <c r="H188" s="81"/>
      <c r="I188" s="81"/>
      <c r="J188" s="81"/>
      <c r="K188" s="81"/>
      <c r="L188" s="81">
        <v>0</v>
      </c>
      <c r="M188" s="81"/>
      <c r="N188" s="607"/>
      <c r="O188" s="944" t="s">
        <v>275</v>
      </c>
    </row>
    <row r="189" spans="1:15" ht="27" hidden="1" customHeight="1">
      <c r="A189" s="964"/>
      <c r="B189" s="546" t="s">
        <v>235</v>
      </c>
      <c r="C189" s="546"/>
      <c r="D189" s="546"/>
      <c r="E189" s="546"/>
      <c r="F189" s="546"/>
      <c r="G189" s="81">
        <f t="shared" ref="G189:L189" si="72">G190</f>
        <v>0</v>
      </c>
      <c r="H189" s="81"/>
      <c r="I189" s="81"/>
      <c r="J189" s="81"/>
      <c r="K189" s="81"/>
      <c r="L189" s="81">
        <f t="shared" si="72"/>
        <v>0</v>
      </c>
      <c r="M189" s="81"/>
      <c r="N189" s="607"/>
      <c r="O189" s="944"/>
    </row>
    <row r="190" spans="1:15" ht="33" hidden="1" customHeight="1">
      <c r="A190" s="964"/>
      <c r="B190" s="546" t="s">
        <v>34</v>
      </c>
      <c r="C190" s="546"/>
      <c r="D190" s="546"/>
      <c r="E190" s="546"/>
      <c r="F190" s="546"/>
      <c r="G190" s="81"/>
      <c r="H190" s="81"/>
      <c r="I190" s="81"/>
      <c r="J190" s="81"/>
      <c r="K190" s="81"/>
      <c r="L190" s="81">
        <v>0</v>
      </c>
      <c r="M190" s="81"/>
      <c r="N190" s="607"/>
      <c r="O190" s="944"/>
    </row>
    <row r="191" spans="1:15" ht="22.5" hidden="1" customHeight="1">
      <c r="A191" s="957" t="s">
        <v>285</v>
      </c>
      <c r="B191" s="546" t="s">
        <v>89</v>
      </c>
      <c r="C191" s="546"/>
      <c r="D191" s="546"/>
      <c r="E191" s="546"/>
      <c r="F191" s="546"/>
      <c r="G191" s="81"/>
      <c r="H191" s="81"/>
      <c r="I191" s="81"/>
      <c r="J191" s="81"/>
      <c r="K191" s="81"/>
      <c r="L191" s="81"/>
      <c r="M191" s="81"/>
      <c r="N191" s="607"/>
      <c r="O191" s="944" t="s">
        <v>299</v>
      </c>
    </row>
    <row r="192" spans="1:15" ht="24" hidden="1" customHeight="1">
      <c r="A192" s="958"/>
      <c r="B192" s="546" t="s">
        <v>235</v>
      </c>
      <c r="C192" s="546"/>
      <c r="D192" s="546"/>
      <c r="E192" s="546"/>
      <c r="F192" s="546"/>
      <c r="G192" s="81"/>
      <c r="H192" s="81"/>
      <c r="I192" s="81"/>
      <c r="J192" s="81"/>
      <c r="K192" s="81"/>
      <c r="L192" s="81">
        <f>L193</f>
        <v>0</v>
      </c>
      <c r="M192" s="81"/>
      <c r="N192" s="607"/>
      <c r="O192" s="944"/>
    </row>
    <row r="193" spans="1:61" ht="66" hidden="1" customHeight="1">
      <c r="A193" s="959"/>
      <c r="B193" s="546" t="s">
        <v>34</v>
      </c>
      <c r="C193" s="546"/>
      <c r="D193" s="546"/>
      <c r="E193" s="546"/>
      <c r="F193" s="546"/>
      <c r="G193" s="81"/>
      <c r="H193" s="81"/>
      <c r="I193" s="81"/>
      <c r="J193" s="81"/>
      <c r="K193" s="81"/>
      <c r="L193" s="81">
        <v>0</v>
      </c>
      <c r="M193" s="81"/>
      <c r="N193" s="607"/>
      <c r="O193" s="944"/>
    </row>
    <row r="194" spans="1:61" s="84" customFormat="1" ht="24.75" customHeight="1">
      <c r="A194" s="957" t="s">
        <v>707</v>
      </c>
      <c r="B194" s="556" t="s">
        <v>89</v>
      </c>
      <c r="C194" s="556"/>
      <c r="D194" s="556"/>
      <c r="E194" s="556"/>
      <c r="F194" s="556"/>
      <c r="G194" s="83">
        <f>K194</f>
        <v>5.1593230925767743</v>
      </c>
      <c r="H194" s="83"/>
      <c r="I194" s="83"/>
      <c r="J194" s="83"/>
      <c r="K194" s="83">
        <f>P194</f>
        <v>5.1593230925767743</v>
      </c>
      <c r="L194" s="83"/>
      <c r="M194" s="100"/>
      <c r="N194" s="607"/>
      <c r="O194" s="944" t="s">
        <v>656</v>
      </c>
      <c r="P194" s="84">
        <f>(K195+61600+5175.3)/29200.7*1.074*1.037*1.049*1.05*1.044</f>
        <v>5.1593230925767743</v>
      </c>
      <c r="AA194" s="560">
        <f>(K195+L195)/29200.7*1.074*1.037*1.049*1.05*1.044</f>
        <v>2.2306499196113307</v>
      </c>
      <c r="AJ194" s="302"/>
      <c r="AK194" s="302"/>
      <c r="AL194" s="302"/>
      <c r="AM194" s="302"/>
      <c r="AN194" s="302"/>
      <c r="AO194" s="302"/>
      <c r="AP194" s="302"/>
      <c r="AQ194" s="302"/>
      <c r="AR194" s="302"/>
      <c r="AS194" s="302"/>
      <c r="AT194" s="302"/>
      <c r="AU194" s="302"/>
      <c r="AV194" s="302"/>
      <c r="AW194" s="302"/>
      <c r="AX194" s="302"/>
      <c r="AY194" s="302"/>
      <c r="AZ194" s="302"/>
      <c r="BA194" s="302"/>
      <c r="BB194" s="302"/>
      <c r="BC194" s="302"/>
      <c r="BD194" s="302"/>
      <c r="BE194" s="302"/>
      <c r="BF194" s="302"/>
      <c r="BG194" s="302"/>
      <c r="BH194" s="302"/>
      <c r="BI194" s="302"/>
    </row>
    <row r="195" spans="1:61" s="84" customFormat="1" ht="24.6" customHeight="1">
      <c r="A195" s="958"/>
      <c r="B195" s="546" t="s">
        <v>235</v>
      </c>
      <c r="C195" s="556"/>
      <c r="D195" s="556"/>
      <c r="E195" s="556"/>
      <c r="F195" s="556"/>
      <c r="G195" s="83">
        <f>G196+G197</f>
        <v>50860</v>
      </c>
      <c r="H195" s="83">
        <f t="shared" ref="H195:K195" si="73">H196+H197</f>
        <v>0</v>
      </c>
      <c r="I195" s="83">
        <f t="shared" si="73"/>
        <v>0</v>
      </c>
      <c r="J195" s="83">
        <f t="shared" si="73"/>
        <v>0</v>
      </c>
      <c r="K195" s="83">
        <f t="shared" si="73"/>
        <v>50860</v>
      </c>
      <c r="L195" s="83">
        <f>L196+L197</f>
        <v>0</v>
      </c>
      <c r="M195" s="83">
        <f>M196</f>
        <v>0</v>
      </c>
      <c r="N195" s="607"/>
      <c r="O195" s="944"/>
      <c r="AJ195" s="302"/>
      <c r="AK195" s="302"/>
      <c r="AL195" s="302"/>
      <c r="AM195" s="302"/>
      <c r="AN195" s="302"/>
      <c r="AO195" s="302"/>
      <c r="AP195" s="302"/>
      <c r="AQ195" s="302"/>
      <c r="AR195" s="302"/>
      <c r="AS195" s="302"/>
      <c r="AT195" s="302"/>
      <c r="AU195" s="302"/>
      <c r="AV195" s="302"/>
      <c r="AW195" s="302"/>
      <c r="AX195" s="302"/>
      <c r="AY195" s="302"/>
      <c r="AZ195" s="302"/>
      <c r="BA195" s="302"/>
      <c r="BB195" s="302"/>
      <c r="BC195" s="302"/>
      <c r="BD195" s="302"/>
      <c r="BE195" s="302"/>
      <c r="BF195" s="302"/>
      <c r="BG195" s="302"/>
      <c r="BH195" s="302"/>
      <c r="BI195" s="302"/>
    </row>
    <row r="196" spans="1:61" s="84" customFormat="1" ht="24.6" customHeight="1">
      <c r="A196" s="958"/>
      <c r="B196" s="542" t="s">
        <v>10</v>
      </c>
      <c r="C196" s="549"/>
      <c r="D196" s="549"/>
      <c r="E196" s="549"/>
      <c r="F196" s="549"/>
      <c r="G196" s="87">
        <f>K196</f>
        <v>50860</v>
      </c>
      <c r="H196" s="87"/>
      <c r="I196" s="87"/>
      <c r="J196" s="87"/>
      <c r="K196" s="87">
        <v>50860</v>
      </c>
      <c r="L196" s="83"/>
      <c r="M196" s="87"/>
      <c r="N196" s="607"/>
      <c r="O196" s="944"/>
      <c r="AJ196" s="302"/>
      <c r="AK196" s="302"/>
      <c r="AL196" s="302"/>
      <c r="AM196" s="302"/>
      <c r="AN196" s="302"/>
      <c r="AO196" s="302"/>
      <c r="AP196" s="302"/>
      <c r="AQ196" s="302"/>
      <c r="AR196" s="302"/>
      <c r="AS196" s="302"/>
      <c r="AT196" s="302"/>
      <c r="AU196" s="302"/>
      <c r="AV196" s="302"/>
      <c r="AW196" s="302"/>
      <c r="AX196" s="302"/>
      <c r="AY196" s="302"/>
      <c r="AZ196" s="302"/>
      <c r="BA196" s="302"/>
      <c r="BB196" s="302"/>
      <c r="BC196" s="302"/>
      <c r="BD196" s="302"/>
      <c r="BE196" s="302"/>
      <c r="BF196" s="302"/>
      <c r="BG196" s="302"/>
      <c r="BH196" s="302"/>
      <c r="BI196" s="302"/>
    </row>
    <row r="197" spans="1:61" s="95" customFormat="1" ht="24.6" customHeight="1">
      <c r="A197" s="958"/>
      <c r="B197" s="793" t="s">
        <v>436</v>
      </c>
      <c r="C197" s="794"/>
      <c r="D197" s="794"/>
      <c r="E197" s="794"/>
      <c r="F197" s="794"/>
      <c r="G197" s="315">
        <f>K197</f>
        <v>0</v>
      </c>
      <c r="H197" s="315"/>
      <c r="I197" s="315"/>
      <c r="J197" s="315"/>
      <c r="K197" s="315">
        <v>0</v>
      </c>
      <c r="L197" s="315">
        <v>0</v>
      </c>
      <c r="M197" s="795"/>
      <c r="N197" s="607"/>
      <c r="O197" s="944"/>
      <c r="AJ197" s="303"/>
      <c r="AK197" s="303"/>
      <c r="AL197" s="303"/>
      <c r="AM197" s="303"/>
      <c r="AN197" s="303"/>
      <c r="AO197" s="303"/>
      <c r="AP197" s="303"/>
      <c r="AQ197" s="303"/>
      <c r="AR197" s="303"/>
      <c r="AS197" s="303"/>
      <c r="AT197" s="303"/>
      <c r="AU197" s="303"/>
      <c r="AV197" s="303"/>
      <c r="AW197" s="303"/>
      <c r="AX197" s="303"/>
      <c r="AY197" s="303"/>
      <c r="AZ197" s="303"/>
      <c r="BA197" s="303"/>
      <c r="BB197" s="303"/>
      <c r="BC197" s="303"/>
      <c r="BD197" s="303"/>
      <c r="BE197" s="303"/>
      <c r="BF197" s="303"/>
      <c r="BG197" s="303"/>
      <c r="BH197" s="303"/>
      <c r="BI197" s="303"/>
    </row>
    <row r="198" spans="1:61" s="84" customFormat="1" ht="21.75" hidden="1" customHeight="1">
      <c r="A198" s="957" t="s">
        <v>708</v>
      </c>
      <c r="B198" s="318" t="s">
        <v>89</v>
      </c>
      <c r="C198" s="318"/>
      <c r="D198" s="318"/>
      <c r="E198" s="318"/>
      <c r="F198" s="318"/>
      <c r="G198" s="315"/>
      <c r="H198" s="315"/>
      <c r="I198" s="315"/>
      <c r="J198" s="315"/>
      <c r="K198" s="315"/>
      <c r="L198" s="315"/>
      <c r="M198" s="315"/>
      <c r="N198" s="607"/>
      <c r="O198" s="944" t="s">
        <v>551</v>
      </c>
      <c r="AJ198" s="302"/>
      <c r="AK198" s="302"/>
      <c r="AL198" s="302"/>
      <c r="AM198" s="302"/>
      <c r="AN198" s="302"/>
      <c r="AO198" s="302"/>
      <c r="AP198" s="302"/>
      <c r="AQ198" s="302"/>
      <c r="AR198" s="302"/>
      <c r="AS198" s="302"/>
      <c r="AT198" s="302"/>
      <c r="AU198" s="302"/>
      <c r="AV198" s="302"/>
      <c r="AW198" s="302"/>
      <c r="AX198" s="302"/>
      <c r="AY198" s="302"/>
      <c r="AZ198" s="302"/>
      <c r="BA198" s="302"/>
      <c r="BB198" s="302"/>
      <c r="BC198" s="302"/>
      <c r="BD198" s="302"/>
      <c r="BE198" s="302"/>
      <c r="BF198" s="302"/>
      <c r="BG198" s="302"/>
      <c r="BH198" s="302"/>
      <c r="BI198" s="302"/>
    </row>
    <row r="199" spans="1:61" s="84" customFormat="1" ht="24.6" hidden="1" customHeight="1">
      <c r="A199" s="958"/>
      <c r="B199" s="790" t="s">
        <v>235</v>
      </c>
      <c r="C199" s="318"/>
      <c r="D199" s="318"/>
      <c r="E199" s="318"/>
      <c r="F199" s="318"/>
      <c r="G199" s="315"/>
      <c r="H199" s="315"/>
      <c r="I199" s="315"/>
      <c r="J199" s="315"/>
      <c r="K199" s="315"/>
      <c r="L199" s="315">
        <f>L200</f>
        <v>0</v>
      </c>
      <c r="M199" s="315">
        <f>M200</f>
        <v>0</v>
      </c>
      <c r="N199" s="607"/>
      <c r="O199" s="944"/>
      <c r="AJ199" s="302"/>
      <c r="AK199" s="302"/>
      <c r="AL199" s="302"/>
      <c r="AM199" s="302"/>
      <c r="AN199" s="302"/>
      <c r="AO199" s="302"/>
      <c r="AP199" s="302"/>
      <c r="AQ199" s="302"/>
      <c r="AR199" s="302"/>
      <c r="AS199" s="302"/>
      <c r="AT199" s="302"/>
      <c r="AU199" s="302"/>
      <c r="AV199" s="302"/>
      <c r="AW199" s="302"/>
      <c r="AX199" s="302"/>
      <c r="AY199" s="302"/>
      <c r="AZ199" s="302"/>
      <c r="BA199" s="302"/>
      <c r="BB199" s="302"/>
      <c r="BC199" s="302"/>
      <c r="BD199" s="302"/>
      <c r="BE199" s="302"/>
      <c r="BF199" s="302"/>
      <c r="BG199" s="302"/>
      <c r="BH199" s="302"/>
      <c r="BI199" s="302"/>
    </row>
    <row r="200" spans="1:61" s="84" customFormat="1" ht="23.25" hidden="1" customHeight="1">
      <c r="A200" s="959"/>
      <c r="B200" s="318" t="s">
        <v>10</v>
      </c>
      <c r="C200" s="318"/>
      <c r="D200" s="318"/>
      <c r="E200" s="318"/>
      <c r="F200" s="318"/>
      <c r="G200" s="315"/>
      <c r="H200" s="315"/>
      <c r="I200" s="315"/>
      <c r="J200" s="315"/>
      <c r="K200" s="315"/>
      <c r="L200" s="315"/>
      <c r="M200" s="315">
        <v>0</v>
      </c>
      <c r="N200" s="607"/>
      <c r="O200" s="944"/>
      <c r="AJ200" s="302"/>
      <c r="AK200" s="302"/>
      <c r="AL200" s="302"/>
      <c r="AM200" s="302"/>
      <c r="AN200" s="302"/>
      <c r="AO200" s="302"/>
      <c r="AP200" s="302"/>
      <c r="AQ200" s="302"/>
      <c r="AR200" s="302"/>
      <c r="AS200" s="302"/>
      <c r="AT200" s="302"/>
      <c r="AU200" s="302"/>
      <c r="AV200" s="302"/>
      <c r="AW200" s="302"/>
      <c r="AX200" s="302"/>
      <c r="AY200" s="302"/>
      <c r="AZ200" s="302"/>
      <c r="BA200" s="302"/>
      <c r="BB200" s="302"/>
      <c r="BC200" s="302"/>
      <c r="BD200" s="302"/>
      <c r="BE200" s="302"/>
      <c r="BF200" s="302"/>
      <c r="BG200" s="302"/>
      <c r="BH200" s="302"/>
      <c r="BI200" s="302"/>
    </row>
    <row r="201" spans="1:61" ht="24.95" customHeight="1">
      <c r="A201" s="966" t="s">
        <v>127</v>
      </c>
      <c r="B201" s="791" t="s">
        <v>89</v>
      </c>
      <c r="C201" s="789"/>
      <c r="D201" s="789"/>
      <c r="E201" s="789"/>
      <c r="F201" s="789"/>
      <c r="G201" s="80">
        <f>G205+G208</f>
        <v>0</v>
      </c>
      <c r="H201" s="80">
        <f t="shared" ref="H201:K201" si="74">H205+H208</f>
        <v>0</v>
      </c>
      <c r="I201" s="80">
        <f t="shared" si="74"/>
        <v>0</v>
      </c>
      <c r="J201" s="80">
        <f t="shared" si="74"/>
        <v>0</v>
      </c>
      <c r="K201" s="80">
        <f t="shared" si="74"/>
        <v>0</v>
      </c>
      <c r="L201" s="80">
        <f t="shared" ref="L201:M201" si="75">L205+L208</f>
        <v>0</v>
      </c>
      <c r="M201" s="80">
        <f t="shared" si="75"/>
        <v>1.2</v>
      </c>
      <c r="N201" s="607"/>
      <c r="O201" s="604"/>
    </row>
    <row r="202" spans="1:61" ht="31.5" customHeight="1">
      <c r="A202" s="966"/>
      <c r="B202" s="57" t="s">
        <v>235</v>
      </c>
      <c r="C202" s="546"/>
      <c r="D202" s="546"/>
      <c r="E202" s="546"/>
      <c r="F202" s="546"/>
      <c r="G202" s="80">
        <f>G206+G209</f>
        <v>0</v>
      </c>
      <c r="H202" s="80">
        <f t="shared" ref="H202:K202" si="76">H206+H209</f>
        <v>0</v>
      </c>
      <c r="I202" s="80">
        <f t="shared" si="76"/>
        <v>0</v>
      </c>
      <c r="J202" s="80">
        <f t="shared" si="76"/>
        <v>0</v>
      </c>
      <c r="K202" s="80">
        <f t="shared" si="76"/>
        <v>0</v>
      </c>
      <c r="L202" s="80">
        <f t="shared" ref="L202:M202" si="77">L206+L209</f>
        <v>0</v>
      </c>
      <c r="M202" s="80">
        <f t="shared" si="77"/>
        <v>45000</v>
      </c>
      <c r="N202" s="607"/>
      <c r="O202" s="604"/>
    </row>
    <row r="203" spans="1:61" ht="31.5" customHeight="1">
      <c r="A203" s="966"/>
      <c r="B203" s="57" t="s">
        <v>10</v>
      </c>
      <c r="C203" s="546"/>
      <c r="D203" s="546"/>
      <c r="E203" s="546"/>
      <c r="F203" s="546"/>
      <c r="G203" s="80">
        <f>G210</f>
        <v>0</v>
      </c>
      <c r="H203" s="80">
        <f t="shared" ref="H203:K203" si="78">H210</f>
        <v>0</v>
      </c>
      <c r="I203" s="80">
        <f t="shared" si="78"/>
        <v>0</v>
      </c>
      <c r="J203" s="80">
        <f t="shared" si="78"/>
        <v>0</v>
      </c>
      <c r="K203" s="80">
        <f t="shared" si="78"/>
        <v>0</v>
      </c>
      <c r="L203" s="80">
        <f t="shared" ref="L203" si="79">L210</f>
        <v>0</v>
      </c>
      <c r="M203" s="80">
        <f>M207</f>
        <v>45000</v>
      </c>
      <c r="N203" s="607"/>
      <c r="O203" s="604"/>
    </row>
    <row r="204" spans="1:61" ht="24" customHeight="1">
      <c r="A204" s="966"/>
      <c r="B204" s="57" t="s">
        <v>436</v>
      </c>
      <c r="C204" s="546"/>
      <c r="D204" s="546"/>
      <c r="E204" s="546"/>
      <c r="F204" s="546"/>
      <c r="G204" s="80">
        <f>G207+G211</f>
        <v>0</v>
      </c>
      <c r="H204" s="80"/>
      <c r="I204" s="80"/>
      <c r="J204" s="80"/>
      <c r="K204" s="80"/>
      <c r="L204" s="80">
        <f t="shared" ref="L204" si="80">L207+L211</f>
        <v>0</v>
      </c>
      <c r="M204" s="80"/>
      <c r="N204" s="607"/>
      <c r="O204" s="604"/>
    </row>
    <row r="205" spans="1:61" ht="24.6" customHeight="1">
      <c r="A205" s="951" t="s">
        <v>823</v>
      </c>
      <c r="B205" s="546" t="s">
        <v>89</v>
      </c>
      <c r="C205" s="546"/>
      <c r="D205" s="546"/>
      <c r="E205" s="546"/>
      <c r="F205" s="546"/>
      <c r="G205" s="81"/>
      <c r="H205" s="81"/>
      <c r="I205" s="81"/>
      <c r="J205" s="81"/>
      <c r="K205" s="81"/>
      <c r="L205" s="81"/>
      <c r="M205" s="92">
        <v>1.2</v>
      </c>
      <c r="N205" s="607"/>
      <c r="O205" s="944" t="s">
        <v>204</v>
      </c>
    </row>
    <row r="206" spans="1:61" ht="24.6" customHeight="1">
      <c r="A206" s="952"/>
      <c r="B206" s="546" t="s">
        <v>235</v>
      </c>
      <c r="C206" s="546"/>
      <c r="D206" s="546"/>
      <c r="E206" s="546"/>
      <c r="F206" s="546"/>
      <c r="G206" s="81"/>
      <c r="H206" s="81"/>
      <c r="I206" s="81"/>
      <c r="J206" s="81"/>
      <c r="K206" s="81"/>
      <c r="L206" s="81"/>
      <c r="M206" s="81">
        <f>M207</f>
        <v>45000</v>
      </c>
      <c r="N206" s="607"/>
      <c r="O206" s="944"/>
    </row>
    <row r="207" spans="1:61" ht="24.6" customHeight="1">
      <c r="A207" s="953"/>
      <c r="B207" s="546" t="s">
        <v>10</v>
      </c>
      <c r="C207" s="546"/>
      <c r="D207" s="546"/>
      <c r="E207" s="546"/>
      <c r="F207" s="546"/>
      <c r="G207" s="81"/>
      <c r="H207" s="81"/>
      <c r="I207" s="81"/>
      <c r="J207" s="81"/>
      <c r="K207" s="81"/>
      <c r="L207" s="81"/>
      <c r="M207" s="81">
        <v>45000</v>
      </c>
      <c r="N207" s="607"/>
      <c r="O207" s="944"/>
    </row>
    <row r="208" spans="1:61" ht="24.95" hidden="1" customHeight="1">
      <c r="A208" s="943" t="s">
        <v>216</v>
      </c>
      <c r="B208" s="546" t="s">
        <v>89</v>
      </c>
      <c r="C208" s="546"/>
      <c r="D208" s="546"/>
      <c r="E208" s="546"/>
      <c r="F208" s="546"/>
      <c r="G208" s="81"/>
      <c r="H208" s="81"/>
      <c r="I208" s="81"/>
      <c r="J208" s="81"/>
      <c r="K208" s="81"/>
      <c r="L208" s="81"/>
      <c r="M208" s="81"/>
      <c r="N208" s="607"/>
      <c r="O208" s="944" t="s">
        <v>217</v>
      </c>
    </row>
    <row r="209" spans="1:22" ht="28.5" hidden="1" customHeight="1">
      <c r="A209" s="943"/>
      <c r="B209" s="546" t="s">
        <v>235</v>
      </c>
      <c r="C209" s="546"/>
      <c r="D209" s="546"/>
      <c r="E209" s="546"/>
      <c r="F209" s="546"/>
      <c r="G209" s="81">
        <f>G210+G211</f>
        <v>0</v>
      </c>
      <c r="H209" s="81"/>
      <c r="I209" s="81"/>
      <c r="J209" s="81"/>
      <c r="K209" s="81">
        <f>K210</f>
        <v>0</v>
      </c>
      <c r="L209" s="81">
        <f t="shared" ref="L209" si="81">L211</f>
        <v>0</v>
      </c>
      <c r="M209" s="81">
        <v>0</v>
      </c>
      <c r="N209" s="607"/>
      <c r="O209" s="944"/>
    </row>
    <row r="210" spans="1:22" ht="28.5" hidden="1" customHeight="1">
      <c r="A210" s="943"/>
      <c r="B210" s="546" t="s">
        <v>10</v>
      </c>
      <c r="C210" s="546"/>
      <c r="D210" s="546"/>
      <c r="E210" s="546"/>
      <c r="F210" s="546"/>
      <c r="G210" s="81">
        <f>I210+J210+K210</f>
        <v>0</v>
      </c>
      <c r="H210" s="81"/>
      <c r="I210" s="81"/>
      <c r="J210" s="81"/>
      <c r="K210" s="81"/>
      <c r="L210" s="81">
        <v>0</v>
      </c>
      <c r="M210" s="81">
        <v>0</v>
      </c>
      <c r="N210" s="607"/>
      <c r="O210" s="944"/>
    </row>
    <row r="211" spans="1:22" ht="24.95" hidden="1" customHeight="1">
      <c r="A211" s="943"/>
      <c r="B211" s="546" t="s">
        <v>436</v>
      </c>
      <c r="C211" s="546"/>
      <c r="D211" s="546"/>
      <c r="E211" s="546"/>
      <c r="F211" s="546"/>
      <c r="G211" s="81">
        <v>0</v>
      </c>
      <c r="H211" s="81"/>
      <c r="I211" s="81"/>
      <c r="J211" s="81"/>
      <c r="K211" s="81"/>
      <c r="L211" s="81">
        <v>0</v>
      </c>
      <c r="M211" s="81">
        <v>0</v>
      </c>
      <c r="N211" s="607"/>
      <c r="O211" s="944"/>
    </row>
    <row r="212" spans="1:22" ht="24.95" hidden="1" customHeight="1">
      <c r="A212" s="965" t="s">
        <v>129</v>
      </c>
      <c r="B212" s="57" t="s">
        <v>89</v>
      </c>
      <c r="C212" s="546"/>
      <c r="D212" s="546"/>
      <c r="E212" s="546"/>
      <c r="F212" s="546"/>
      <c r="G212" s="80">
        <f t="shared" ref="G212:L212" si="82">G216+G220+G224+G227</f>
        <v>0</v>
      </c>
      <c r="H212" s="80">
        <f t="shared" si="82"/>
        <v>0</v>
      </c>
      <c r="I212" s="80">
        <f t="shared" si="82"/>
        <v>0</v>
      </c>
      <c r="J212" s="80">
        <f t="shared" si="82"/>
        <v>0</v>
      </c>
      <c r="K212" s="80"/>
      <c r="L212" s="80">
        <f t="shared" si="82"/>
        <v>0</v>
      </c>
      <c r="M212" s="80"/>
      <c r="N212" s="607"/>
      <c r="O212" s="604"/>
    </row>
    <row r="213" spans="1:22" ht="24.95" hidden="1" customHeight="1">
      <c r="A213" s="965"/>
      <c r="B213" s="57" t="s">
        <v>235</v>
      </c>
      <c r="C213" s="546"/>
      <c r="D213" s="546"/>
      <c r="E213" s="546"/>
      <c r="F213" s="546"/>
      <c r="G213" s="80">
        <f>G214+G215</f>
        <v>0</v>
      </c>
      <c r="H213" s="80">
        <f t="shared" ref="H213:J213" si="83">H214+H215</f>
        <v>0</v>
      </c>
      <c r="I213" s="80">
        <f t="shared" si="83"/>
        <v>0</v>
      </c>
      <c r="J213" s="80">
        <f t="shared" si="83"/>
        <v>0</v>
      </c>
      <c r="K213" s="80"/>
      <c r="L213" s="80">
        <f t="shared" ref="L213" si="84">L214+L215</f>
        <v>0</v>
      </c>
      <c r="M213" s="80"/>
      <c r="N213" s="607"/>
      <c r="O213" s="604"/>
    </row>
    <row r="214" spans="1:22" ht="27.6" hidden="1" customHeight="1">
      <c r="A214" s="965"/>
      <c r="B214" s="57" t="s">
        <v>10</v>
      </c>
      <c r="C214" s="546"/>
      <c r="D214" s="546"/>
      <c r="E214" s="546"/>
      <c r="F214" s="546"/>
      <c r="G214" s="80">
        <f>G218+G222</f>
        <v>0</v>
      </c>
      <c r="H214" s="80">
        <f t="shared" ref="H214:J214" si="85">H218+H222</f>
        <v>0</v>
      </c>
      <c r="I214" s="80">
        <f t="shared" si="85"/>
        <v>0</v>
      </c>
      <c r="J214" s="80">
        <f t="shared" si="85"/>
        <v>0</v>
      </c>
      <c r="K214" s="80"/>
      <c r="L214" s="80">
        <f t="shared" ref="L214" si="86">L218+L222</f>
        <v>0</v>
      </c>
      <c r="M214" s="80"/>
      <c r="N214" s="607"/>
      <c r="O214" s="604"/>
    </row>
    <row r="215" spans="1:22" ht="24" hidden="1" customHeight="1">
      <c r="A215" s="965"/>
      <c r="B215" s="57" t="s">
        <v>436</v>
      </c>
      <c r="C215" s="546"/>
      <c r="D215" s="546"/>
      <c r="E215" s="546"/>
      <c r="F215" s="546"/>
      <c r="G215" s="80">
        <f t="shared" ref="G215:L215" si="87">G219+G226+G229</f>
        <v>0</v>
      </c>
      <c r="H215" s="80"/>
      <c r="I215" s="80"/>
      <c r="J215" s="80"/>
      <c r="K215" s="80"/>
      <c r="L215" s="80">
        <f t="shared" si="87"/>
        <v>0</v>
      </c>
      <c r="M215" s="80"/>
      <c r="N215" s="607"/>
      <c r="O215" s="604"/>
    </row>
    <row r="216" spans="1:22" ht="24.6" hidden="1" customHeight="1">
      <c r="A216" s="964" t="s">
        <v>202</v>
      </c>
      <c r="B216" s="553" t="s">
        <v>89</v>
      </c>
      <c r="C216" s="553"/>
      <c r="D216" s="553"/>
      <c r="E216" s="553"/>
      <c r="F216" s="553"/>
      <c r="G216" s="82"/>
      <c r="H216" s="82"/>
      <c r="I216" s="82"/>
      <c r="J216" s="82"/>
      <c r="K216" s="82"/>
      <c r="L216" s="82"/>
      <c r="M216" s="82"/>
      <c r="N216" s="607"/>
      <c r="O216" s="1003" t="s">
        <v>203</v>
      </c>
    </row>
    <row r="217" spans="1:22" ht="24.6" hidden="1" customHeight="1">
      <c r="A217" s="964"/>
      <c r="B217" s="553" t="s">
        <v>235</v>
      </c>
      <c r="C217" s="553"/>
      <c r="D217" s="553"/>
      <c r="E217" s="553"/>
      <c r="F217" s="553"/>
      <c r="G217" s="82">
        <f>G218+G219</f>
        <v>0</v>
      </c>
      <c r="H217" s="82"/>
      <c r="I217" s="82"/>
      <c r="J217" s="82"/>
      <c r="K217" s="82"/>
      <c r="L217" s="82">
        <f>L218+L219</f>
        <v>0</v>
      </c>
      <c r="M217" s="82"/>
      <c r="N217" s="607"/>
      <c r="O217" s="1003"/>
      <c r="V217" s="43">
        <v>247.3</v>
      </c>
    </row>
    <row r="218" spans="1:22" ht="28.9" hidden="1" customHeight="1">
      <c r="A218" s="964"/>
      <c r="B218" s="553" t="s">
        <v>10</v>
      </c>
      <c r="C218" s="553"/>
      <c r="D218" s="553"/>
      <c r="E218" s="553"/>
      <c r="F218" s="553"/>
      <c r="G218" s="82"/>
      <c r="H218" s="82"/>
      <c r="I218" s="82"/>
      <c r="J218" s="82"/>
      <c r="K218" s="82"/>
      <c r="L218" s="82"/>
      <c r="M218" s="82"/>
      <c r="N218" s="607"/>
      <c r="O218" s="1003"/>
    </row>
    <row r="219" spans="1:22" ht="24.6" hidden="1" customHeight="1">
      <c r="A219" s="964"/>
      <c r="B219" s="553" t="s">
        <v>34</v>
      </c>
      <c r="C219" s="553"/>
      <c r="D219" s="553"/>
      <c r="E219" s="553"/>
      <c r="F219" s="553"/>
      <c r="G219" s="82"/>
      <c r="H219" s="82"/>
      <c r="I219" s="82"/>
      <c r="J219" s="82"/>
      <c r="K219" s="82"/>
      <c r="L219" s="82"/>
      <c r="M219" s="82"/>
      <c r="N219" s="607"/>
      <c r="O219" s="1003"/>
    </row>
    <row r="220" spans="1:22" ht="24.95" hidden="1" customHeight="1">
      <c r="A220" s="964" t="s">
        <v>218</v>
      </c>
      <c r="B220" s="546" t="s">
        <v>89</v>
      </c>
      <c r="C220" s="546"/>
      <c r="D220" s="546"/>
      <c r="E220" s="546"/>
      <c r="F220" s="546"/>
      <c r="G220" s="81"/>
      <c r="H220" s="81"/>
      <c r="I220" s="81"/>
      <c r="J220" s="81"/>
      <c r="K220" s="81"/>
      <c r="L220" s="81"/>
      <c r="M220" s="81"/>
      <c r="N220" s="607"/>
      <c r="O220" s="944" t="s">
        <v>438</v>
      </c>
    </row>
    <row r="221" spans="1:22" ht="24.95" hidden="1" customHeight="1">
      <c r="A221" s="964"/>
      <c r="B221" s="546" t="s">
        <v>235</v>
      </c>
      <c r="C221" s="546"/>
      <c r="D221" s="546"/>
      <c r="E221" s="546"/>
      <c r="F221" s="546"/>
      <c r="G221" s="81">
        <f>G222</f>
        <v>0</v>
      </c>
      <c r="H221" s="81"/>
      <c r="I221" s="81">
        <f>I222</f>
        <v>0</v>
      </c>
      <c r="J221" s="81"/>
      <c r="K221" s="81"/>
      <c r="L221" s="81">
        <f>L222</f>
        <v>0</v>
      </c>
      <c r="M221" s="81"/>
      <c r="N221" s="607"/>
      <c r="O221" s="944"/>
    </row>
    <row r="222" spans="1:22" ht="28.5" hidden="1" customHeight="1">
      <c r="A222" s="964"/>
      <c r="B222" s="546" t="s">
        <v>10</v>
      </c>
      <c r="C222" s="546"/>
      <c r="D222" s="546"/>
      <c r="E222" s="546"/>
      <c r="F222" s="546"/>
      <c r="G222" s="81">
        <f>I222</f>
        <v>0</v>
      </c>
      <c r="H222" s="81"/>
      <c r="I222" s="81"/>
      <c r="J222" s="81"/>
      <c r="K222" s="81"/>
      <c r="L222" s="81"/>
      <c r="M222" s="81"/>
      <c r="N222" s="607"/>
      <c r="O222" s="944"/>
    </row>
    <row r="223" spans="1:22" ht="24.6" hidden="1" customHeight="1">
      <c r="A223" s="964"/>
      <c r="B223" s="546" t="s">
        <v>436</v>
      </c>
      <c r="C223" s="546"/>
      <c r="D223" s="546"/>
      <c r="E223" s="546"/>
      <c r="F223" s="546"/>
      <c r="G223" s="81"/>
      <c r="H223" s="81"/>
      <c r="I223" s="81"/>
      <c r="J223" s="81"/>
      <c r="K223" s="81"/>
      <c r="L223" s="81"/>
      <c r="M223" s="81"/>
      <c r="N223" s="607"/>
      <c r="O223" s="944"/>
    </row>
    <row r="224" spans="1:22" ht="24.6" hidden="1" customHeight="1">
      <c r="A224" s="964" t="s">
        <v>238</v>
      </c>
      <c r="B224" s="546" t="s">
        <v>89</v>
      </c>
      <c r="C224" s="546"/>
      <c r="D224" s="546"/>
      <c r="E224" s="546"/>
      <c r="F224" s="546"/>
      <c r="G224" s="81"/>
      <c r="H224" s="81"/>
      <c r="I224" s="81"/>
      <c r="J224" s="81"/>
      <c r="K224" s="81"/>
      <c r="L224" s="81"/>
      <c r="M224" s="81"/>
      <c r="N224" s="607"/>
      <c r="O224" s="944" t="s">
        <v>280</v>
      </c>
    </row>
    <row r="225" spans="1:61" ht="27.6" hidden="1" customHeight="1">
      <c r="A225" s="964"/>
      <c r="B225" s="546" t="s">
        <v>235</v>
      </c>
      <c r="C225" s="546"/>
      <c r="D225" s="546"/>
      <c r="E225" s="546"/>
      <c r="F225" s="546"/>
      <c r="G225" s="81">
        <f>G226</f>
        <v>0</v>
      </c>
      <c r="H225" s="81"/>
      <c r="I225" s="81"/>
      <c r="J225" s="81"/>
      <c r="K225" s="81"/>
      <c r="L225" s="81">
        <f>L226</f>
        <v>0</v>
      </c>
      <c r="M225" s="81"/>
      <c r="N225" s="607"/>
      <c r="O225" s="944"/>
    </row>
    <row r="226" spans="1:61" ht="24.6" hidden="1" customHeight="1">
      <c r="A226" s="964"/>
      <c r="B226" s="546" t="s">
        <v>34</v>
      </c>
      <c r="C226" s="546"/>
      <c r="D226" s="546"/>
      <c r="E226" s="546"/>
      <c r="F226" s="546"/>
      <c r="G226" s="81"/>
      <c r="H226" s="81"/>
      <c r="I226" s="81"/>
      <c r="J226" s="81"/>
      <c r="K226" s="81"/>
      <c r="L226" s="81"/>
      <c r="M226" s="81"/>
      <c r="N226" s="607"/>
      <c r="O226" s="944"/>
    </row>
    <row r="227" spans="1:61" s="44" customFormat="1" ht="0.6" hidden="1" customHeight="1">
      <c r="A227" s="964" t="s">
        <v>300</v>
      </c>
      <c r="B227" s="546" t="s">
        <v>89</v>
      </c>
      <c r="C227" s="546"/>
      <c r="D227" s="546"/>
      <c r="E227" s="546"/>
      <c r="F227" s="546"/>
      <c r="G227" s="81">
        <v>0</v>
      </c>
      <c r="H227" s="81"/>
      <c r="I227" s="81"/>
      <c r="J227" s="81"/>
      <c r="K227" s="81"/>
      <c r="L227" s="81"/>
      <c r="M227" s="81"/>
      <c r="N227" s="607"/>
      <c r="O227" s="944" t="s">
        <v>221</v>
      </c>
      <c r="AJ227" s="91"/>
      <c r="AK227" s="91"/>
      <c r="AL227" s="91"/>
      <c r="AM227" s="91"/>
      <c r="AN227" s="91"/>
      <c r="AO227" s="91"/>
      <c r="AP227" s="91"/>
      <c r="AQ227" s="91"/>
      <c r="AR227" s="91"/>
      <c r="AS227" s="91"/>
      <c r="AT227" s="91"/>
      <c r="AU227" s="91"/>
      <c r="AV227" s="91"/>
      <c r="AW227" s="91"/>
      <c r="AX227" s="91"/>
      <c r="AY227" s="91"/>
      <c r="AZ227" s="91"/>
      <c r="BA227" s="91"/>
      <c r="BB227" s="91"/>
      <c r="BC227" s="91"/>
      <c r="BD227" s="91"/>
      <c r="BE227" s="91"/>
      <c r="BF227" s="91"/>
      <c r="BG227" s="91"/>
      <c r="BH227" s="91"/>
      <c r="BI227" s="91"/>
    </row>
    <row r="228" spans="1:61" s="44" customFormat="1" ht="24.6" hidden="1" customHeight="1">
      <c r="A228" s="964"/>
      <c r="B228" s="546" t="s">
        <v>235</v>
      </c>
      <c r="C228" s="546"/>
      <c r="D228" s="546"/>
      <c r="E228" s="546"/>
      <c r="F228" s="546"/>
      <c r="G228" s="81">
        <f>G229</f>
        <v>0</v>
      </c>
      <c r="H228" s="81"/>
      <c r="I228" s="81"/>
      <c r="J228" s="81"/>
      <c r="K228" s="81"/>
      <c r="L228" s="81">
        <f>L229</f>
        <v>0</v>
      </c>
      <c r="M228" s="81"/>
      <c r="N228" s="607"/>
      <c r="O228" s="944"/>
      <c r="AJ228" s="91"/>
      <c r="AK228" s="91"/>
      <c r="AL228" s="91"/>
      <c r="AM228" s="91"/>
      <c r="AN228" s="91"/>
      <c r="AO228" s="91"/>
      <c r="AP228" s="91"/>
      <c r="AQ228" s="91"/>
      <c r="AR228" s="91"/>
      <c r="AS228" s="91"/>
      <c r="AT228" s="91"/>
      <c r="AU228" s="91"/>
      <c r="AV228" s="91"/>
      <c r="AW228" s="91"/>
      <c r="AX228" s="91"/>
      <c r="AY228" s="91"/>
      <c r="AZ228" s="91"/>
      <c r="BA228" s="91"/>
      <c r="BB228" s="91"/>
      <c r="BC228" s="91"/>
      <c r="BD228" s="91"/>
      <c r="BE228" s="91"/>
      <c r="BF228" s="91"/>
      <c r="BG228" s="91"/>
      <c r="BH228" s="91"/>
      <c r="BI228" s="91"/>
    </row>
    <row r="229" spans="1:61" s="44" customFormat="1" ht="24.6" hidden="1" customHeight="1">
      <c r="A229" s="964"/>
      <c r="B229" s="546" t="s">
        <v>34</v>
      </c>
      <c r="C229" s="546"/>
      <c r="D229" s="546"/>
      <c r="E229" s="546"/>
      <c r="F229" s="546"/>
      <c r="G229" s="81">
        <v>0</v>
      </c>
      <c r="H229" s="81"/>
      <c r="I229" s="81"/>
      <c r="J229" s="81"/>
      <c r="K229" s="81"/>
      <c r="L229" s="81"/>
      <c r="M229" s="81"/>
      <c r="N229" s="607"/>
      <c r="O229" s="944"/>
      <c r="AJ229" s="91"/>
      <c r="AK229" s="91"/>
      <c r="AL229" s="91"/>
      <c r="AM229" s="91"/>
      <c r="AN229" s="91"/>
      <c r="AO229" s="91"/>
      <c r="AP229" s="91"/>
      <c r="AQ229" s="91"/>
      <c r="AR229" s="91"/>
      <c r="AS229" s="91"/>
      <c r="AT229" s="91"/>
      <c r="AU229" s="91"/>
      <c r="AV229" s="91"/>
      <c r="AW229" s="91"/>
      <c r="AX229" s="91"/>
      <c r="AY229" s="91"/>
      <c r="AZ229" s="91"/>
      <c r="BA229" s="91"/>
      <c r="BB229" s="91"/>
      <c r="BC229" s="91"/>
      <c r="BD229" s="91"/>
      <c r="BE229" s="91"/>
      <c r="BF229" s="91"/>
      <c r="BG229" s="91"/>
      <c r="BH229" s="91"/>
      <c r="BI229" s="91"/>
    </row>
    <row r="230" spans="1:61" s="44" customFormat="1" ht="24.95" hidden="1" customHeight="1">
      <c r="A230" s="957" t="s">
        <v>286</v>
      </c>
      <c r="B230" s="546" t="s">
        <v>89</v>
      </c>
      <c r="C230" s="546"/>
      <c r="D230" s="546"/>
      <c r="E230" s="546"/>
      <c r="F230" s="546"/>
      <c r="G230" s="81"/>
      <c r="H230" s="81"/>
      <c r="I230" s="81"/>
      <c r="J230" s="81"/>
      <c r="K230" s="81"/>
      <c r="L230" s="81"/>
      <c r="M230" s="81"/>
      <c r="N230" s="607"/>
      <c r="O230" s="944" t="s">
        <v>290</v>
      </c>
      <c r="AJ230" s="91"/>
      <c r="AK230" s="91"/>
      <c r="AL230" s="91"/>
      <c r="AM230" s="91"/>
      <c r="AN230" s="91"/>
      <c r="AO230" s="91"/>
      <c r="AP230" s="91"/>
      <c r="AQ230" s="91"/>
      <c r="AR230" s="91"/>
      <c r="AS230" s="91"/>
      <c r="AT230" s="91"/>
      <c r="AU230" s="91"/>
      <c r="AV230" s="91"/>
      <c r="AW230" s="91"/>
      <c r="AX230" s="91"/>
      <c r="AY230" s="91"/>
      <c r="AZ230" s="91"/>
      <c r="BA230" s="91"/>
      <c r="BB230" s="91"/>
      <c r="BC230" s="91"/>
      <c r="BD230" s="91"/>
      <c r="BE230" s="91"/>
      <c r="BF230" s="91"/>
      <c r="BG230" s="91"/>
      <c r="BH230" s="91"/>
      <c r="BI230" s="91"/>
    </row>
    <row r="231" spans="1:61" s="44" customFormat="1" ht="24.95" hidden="1" customHeight="1">
      <c r="A231" s="958"/>
      <c r="B231" s="546" t="s">
        <v>235</v>
      </c>
      <c r="C231" s="546"/>
      <c r="D231" s="546"/>
      <c r="E231" s="546"/>
      <c r="F231" s="546"/>
      <c r="G231" s="81"/>
      <c r="H231" s="81"/>
      <c r="I231" s="81"/>
      <c r="J231" s="81"/>
      <c r="K231" s="81"/>
      <c r="L231" s="81"/>
      <c r="M231" s="81"/>
      <c r="N231" s="607"/>
      <c r="O231" s="944"/>
      <c r="AJ231" s="91"/>
      <c r="AK231" s="91"/>
      <c r="AL231" s="91"/>
      <c r="AM231" s="91"/>
      <c r="AN231" s="91"/>
      <c r="AO231" s="91"/>
      <c r="AP231" s="91"/>
      <c r="AQ231" s="91"/>
      <c r="AR231" s="91"/>
      <c r="AS231" s="91"/>
      <c r="AT231" s="91"/>
      <c r="AU231" s="91"/>
      <c r="AV231" s="91"/>
      <c r="AW231" s="91"/>
      <c r="AX231" s="91"/>
      <c r="AY231" s="91"/>
      <c r="AZ231" s="91"/>
      <c r="BA231" s="91"/>
      <c r="BB231" s="91"/>
      <c r="BC231" s="91"/>
      <c r="BD231" s="91"/>
      <c r="BE231" s="91"/>
      <c r="BF231" s="91"/>
      <c r="BG231" s="91"/>
      <c r="BH231" s="91"/>
      <c r="BI231" s="91"/>
    </row>
    <row r="232" spans="1:61" s="44" customFormat="1" ht="24.95" hidden="1" customHeight="1">
      <c r="A232" s="958"/>
      <c r="B232" s="546" t="s">
        <v>10</v>
      </c>
      <c r="C232" s="546"/>
      <c r="D232" s="546"/>
      <c r="E232" s="546"/>
      <c r="F232" s="546"/>
      <c r="G232" s="81"/>
      <c r="H232" s="81"/>
      <c r="I232" s="81"/>
      <c r="J232" s="81"/>
      <c r="K232" s="81"/>
      <c r="L232" s="81"/>
      <c r="M232" s="81"/>
      <c r="N232" s="607"/>
      <c r="O232" s="944"/>
      <c r="AJ232" s="91"/>
      <c r="AK232" s="91"/>
      <c r="AL232" s="91"/>
      <c r="AM232" s="91"/>
      <c r="AN232" s="91"/>
      <c r="AO232" s="91"/>
      <c r="AP232" s="91"/>
      <c r="AQ232" s="91"/>
      <c r="AR232" s="91"/>
      <c r="AS232" s="91"/>
      <c r="AT232" s="91"/>
      <c r="AU232" s="91"/>
      <c r="AV232" s="91"/>
      <c r="AW232" s="91"/>
      <c r="AX232" s="91"/>
      <c r="AY232" s="91"/>
      <c r="AZ232" s="91"/>
      <c r="BA232" s="91"/>
      <c r="BB232" s="91"/>
      <c r="BC232" s="91"/>
      <c r="BD232" s="91"/>
      <c r="BE232" s="91"/>
      <c r="BF232" s="91"/>
      <c r="BG232" s="91"/>
      <c r="BH232" s="91"/>
      <c r="BI232" s="91"/>
    </row>
    <row r="233" spans="1:61" s="44" customFormat="1" ht="24.95" hidden="1" customHeight="1">
      <c r="A233" s="959"/>
      <c r="B233" s="546" t="s">
        <v>436</v>
      </c>
      <c r="C233" s="546"/>
      <c r="D233" s="546"/>
      <c r="E233" s="546"/>
      <c r="F233" s="546"/>
      <c r="G233" s="81"/>
      <c r="H233" s="81"/>
      <c r="I233" s="81"/>
      <c r="J233" s="81"/>
      <c r="K233" s="81"/>
      <c r="L233" s="81"/>
      <c r="M233" s="81"/>
      <c r="N233" s="607"/>
      <c r="O233" s="944"/>
      <c r="AJ233" s="91"/>
      <c r="AK233" s="91"/>
      <c r="AL233" s="91"/>
      <c r="AM233" s="91"/>
      <c r="AN233" s="91"/>
      <c r="AO233" s="91"/>
      <c r="AP233" s="91"/>
      <c r="AQ233" s="91"/>
      <c r="AR233" s="91"/>
      <c r="AS233" s="91"/>
      <c r="AT233" s="91"/>
      <c r="AU233" s="91"/>
      <c r="AV233" s="91"/>
      <c r="AW233" s="91"/>
      <c r="AX233" s="91"/>
      <c r="AY233" s="91"/>
      <c r="AZ233" s="91"/>
      <c r="BA233" s="91"/>
      <c r="BB233" s="91"/>
      <c r="BC233" s="91"/>
      <c r="BD233" s="91"/>
      <c r="BE233" s="91"/>
      <c r="BF233" s="91"/>
      <c r="BG233" s="91"/>
      <c r="BH233" s="91"/>
      <c r="BI233" s="91"/>
    </row>
    <row r="234" spans="1:61" s="44" customFormat="1" ht="24.6" hidden="1" customHeight="1">
      <c r="A234" s="1000" t="s">
        <v>102</v>
      </c>
      <c r="B234" s="57" t="s">
        <v>89</v>
      </c>
      <c r="C234" s="57"/>
      <c r="D234" s="57"/>
      <c r="E234" s="57"/>
      <c r="F234" s="57"/>
      <c r="G234" s="80">
        <f t="shared" ref="G234:L234" si="88">G238+G242</f>
        <v>0</v>
      </c>
      <c r="H234" s="80"/>
      <c r="I234" s="80"/>
      <c r="J234" s="80"/>
      <c r="K234" s="80"/>
      <c r="L234" s="80">
        <f t="shared" si="88"/>
        <v>0</v>
      </c>
      <c r="M234" s="80"/>
      <c r="N234" s="607"/>
      <c r="O234" s="610"/>
      <c r="AJ234" s="91"/>
      <c r="AK234" s="91"/>
      <c r="AL234" s="91"/>
      <c r="AM234" s="91"/>
      <c r="AN234" s="91"/>
      <c r="AO234" s="91"/>
      <c r="AP234" s="91"/>
      <c r="AQ234" s="91"/>
      <c r="AR234" s="91"/>
      <c r="AS234" s="91"/>
      <c r="AT234" s="91"/>
      <c r="AU234" s="91"/>
      <c r="AV234" s="91"/>
      <c r="AW234" s="91"/>
      <c r="AX234" s="91"/>
      <c r="AY234" s="91"/>
      <c r="AZ234" s="91"/>
      <c r="BA234" s="91"/>
      <c r="BB234" s="91"/>
      <c r="BC234" s="91"/>
      <c r="BD234" s="91"/>
      <c r="BE234" s="91"/>
      <c r="BF234" s="91"/>
      <c r="BG234" s="91"/>
      <c r="BH234" s="91"/>
      <c r="BI234" s="91"/>
    </row>
    <row r="235" spans="1:61" ht="30" hidden="1" customHeight="1">
      <c r="A235" s="1001"/>
      <c r="B235" s="57" t="s">
        <v>235</v>
      </c>
      <c r="C235" s="57"/>
      <c r="D235" s="57"/>
      <c r="E235" s="57"/>
      <c r="F235" s="57"/>
      <c r="G235" s="80">
        <f t="shared" ref="G235:L235" si="89">G236+G237</f>
        <v>0</v>
      </c>
      <c r="H235" s="80"/>
      <c r="I235" s="80"/>
      <c r="J235" s="80"/>
      <c r="K235" s="80"/>
      <c r="L235" s="80">
        <f t="shared" si="89"/>
        <v>0</v>
      </c>
      <c r="M235" s="80"/>
      <c r="N235" s="607"/>
      <c r="O235" s="610"/>
    </row>
    <row r="236" spans="1:61" ht="31.15" hidden="1" customHeight="1">
      <c r="A236" s="1001"/>
      <c r="B236" s="57" t="s">
        <v>10</v>
      </c>
      <c r="C236" s="57"/>
      <c r="D236" s="57"/>
      <c r="E236" s="57"/>
      <c r="F236" s="57"/>
      <c r="G236" s="80">
        <f t="shared" ref="G236:L236" si="90">G240</f>
        <v>0</v>
      </c>
      <c r="H236" s="80"/>
      <c r="I236" s="80"/>
      <c r="J236" s="80"/>
      <c r="K236" s="80"/>
      <c r="L236" s="80">
        <f t="shared" si="90"/>
        <v>0</v>
      </c>
      <c r="M236" s="80"/>
      <c r="N236" s="607"/>
      <c r="O236" s="610"/>
    </row>
    <row r="237" spans="1:61" ht="22.9" hidden="1" customHeight="1">
      <c r="A237" s="1002"/>
      <c r="B237" s="57" t="s">
        <v>34</v>
      </c>
      <c r="C237" s="57"/>
      <c r="D237" s="57"/>
      <c r="E237" s="57"/>
      <c r="F237" s="57"/>
      <c r="G237" s="80">
        <f t="shared" ref="G237:L237" si="91">G241+G244</f>
        <v>0</v>
      </c>
      <c r="H237" s="80"/>
      <c r="I237" s="80"/>
      <c r="J237" s="80"/>
      <c r="K237" s="80"/>
      <c r="L237" s="80">
        <f t="shared" si="91"/>
        <v>0</v>
      </c>
      <c r="M237" s="80"/>
      <c r="N237" s="607"/>
      <c r="O237" s="610"/>
    </row>
    <row r="238" spans="1:61" ht="30.75" hidden="1" customHeight="1">
      <c r="A238" s="943" t="s">
        <v>23</v>
      </c>
      <c r="B238" s="546" t="s">
        <v>89</v>
      </c>
      <c r="C238" s="546">
        <v>176</v>
      </c>
      <c r="D238" s="546" t="s">
        <v>15</v>
      </c>
      <c r="E238" s="546">
        <v>6100404</v>
      </c>
      <c r="F238" s="546">
        <v>414</v>
      </c>
      <c r="G238" s="81">
        <v>0</v>
      </c>
      <c r="H238" s="81"/>
      <c r="I238" s="81"/>
      <c r="J238" s="81"/>
      <c r="K238" s="81"/>
      <c r="L238" s="81"/>
      <c r="M238" s="81"/>
      <c r="N238" s="607"/>
      <c r="O238" s="944" t="s">
        <v>262</v>
      </c>
    </row>
    <row r="239" spans="1:61" ht="24.95" hidden="1" customHeight="1">
      <c r="A239" s="943"/>
      <c r="B239" s="546" t="s">
        <v>235</v>
      </c>
      <c r="C239" s="546"/>
      <c r="D239" s="546"/>
      <c r="E239" s="546"/>
      <c r="F239" s="546"/>
      <c r="G239" s="81">
        <f t="shared" ref="G239:L239" si="92">G240+G241</f>
        <v>0</v>
      </c>
      <c r="H239" s="81"/>
      <c r="I239" s="81"/>
      <c r="J239" s="81"/>
      <c r="K239" s="81"/>
      <c r="L239" s="81">
        <f t="shared" si="92"/>
        <v>0</v>
      </c>
      <c r="M239" s="81"/>
      <c r="N239" s="607"/>
      <c r="O239" s="944"/>
    </row>
    <row r="240" spans="1:61" ht="29.25" hidden="1" customHeight="1">
      <c r="A240" s="943"/>
      <c r="B240" s="546" t="s">
        <v>10</v>
      </c>
      <c r="C240" s="546"/>
      <c r="D240" s="546"/>
      <c r="E240" s="546"/>
      <c r="F240" s="546"/>
      <c r="G240" s="81"/>
      <c r="H240" s="81"/>
      <c r="I240" s="81"/>
      <c r="J240" s="81"/>
      <c r="K240" s="81"/>
      <c r="L240" s="81"/>
      <c r="M240" s="81"/>
      <c r="N240" s="607"/>
      <c r="O240" s="944"/>
    </row>
    <row r="241" spans="1:15" ht="24.95" hidden="1" customHeight="1">
      <c r="A241" s="943"/>
      <c r="B241" s="546" t="s">
        <v>34</v>
      </c>
      <c r="C241" s="546"/>
      <c r="D241" s="546"/>
      <c r="E241" s="546"/>
      <c r="F241" s="546"/>
      <c r="G241" s="81"/>
      <c r="H241" s="81"/>
      <c r="I241" s="81"/>
      <c r="J241" s="81"/>
      <c r="K241" s="81"/>
      <c r="L241" s="81"/>
      <c r="M241" s="81"/>
      <c r="N241" s="607"/>
      <c r="O241" s="944"/>
    </row>
    <row r="242" spans="1:15" ht="24.6" hidden="1" customHeight="1">
      <c r="A242" s="964" t="s">
        <v>301</v>
      </c>
      <c r="B242" s="546" t="s">
        <v>89</v>
      </c>
      <c r="C242" s="546"/>
      <c r="D242" s="546"/>
      <c r="E242" s="546"/>
      <c r="F242" s="546"/>
      <c r="G242" s="81">
        <v>0</v>
      </c>
      <c r="H242" s="81"/>
      <c r="I242" s="81"/>
      <c r="J242" s="81"/>
      <c r="K242" s="81"/>
      <c r="L242" s="81">
        <v>0</v>
      </c>
      <c r="M242" s="81"/>
      <c r="N242" s="607"/>
      <c r="O242" s="944" t="s">
        <v>219</v>
      </c>
    </row>
    <row r="243" spans="1:15" ht="1.5" hidden="1" customHeight="1">
      <c r="A243" s="964"/>
      <c r="B243" s="546" t="s">
        <v>235</v>
      </c>
      <c r="C243" s="546"/>
      <c r="D243" s="546"/>
      <c r="E243" s="546"/>
      <c r="F243" s="546"/>
      <c r="G243" s="81">
        <f t="shared" ref="G243:L243" si="93">G244</f>
        <v>0</v>
      </c>
      <c r="H243" s="81"/>
      <c r="I243" s="81"/>
      <c r="J243" s="81"/>
      <c r="K243" s="81"/>
      <c r="L243" s="81">
        <f t="shared" si="93"/>
        <v>0</v>
      </c>
      <c r="M243" s="81"/>
      <c r="N243" s="607"/>
      <c r="O243" s="944"/>
    </row>
    <row r="244" spans="1:15" ht="9.75" hidden="1" customHeight="1">
      <c r="A244" s="964"/>
      <c r="B244" s="546" t="s">
        <v>34</v>
      </c>
      <c r="C244" s="546"/>
      <c r="D244" s="546"/>
      <c r="E244" s="546"/>
      <c r="F244" s="546"/>
      <c r="G244" s="81">
        <v>0</v>
      </c>
      <c r="H244" s="81"/>
      <c r="I244" s="81"/>
      <c r="J244" s="81"/>
      <c r="K244" s="81"/>
      <c r="L244" s="81">
        <v>0</v>
      </c>
      <c r="M244" s="81"/>
      <c r="N244" s="607"/>
      <c r="O244" s="944"/>
    </row>
    <row r="245" spans="1:15" ht="24.95" customHeight="1">
      <c r="A245" s="945" t="s">
        <v>132</v>
      </c>
      <c r="B245" s="57" t="s">
        <v>89</v>
      </c>
      <c r="C245" s="546"/>
      <c r="D245" s="546"/>
      <c r="E245" s="546"/>
      <c r="F245" s="546"/>
      <c r="G245" s="80">
        <f t="shared" ref="G245:L245" si="94">G249</f>
        <v>0</v>
      </c>
      <c r="H245" s="80"/>
      <c r="I245" s="80"/>
      <c r="J245" s="80"/>
      <c r="K245" s="80"/>
      <c r="L245" s="80">
        <f t="shared" si="94"/>
        <v>2.1</v>
      </c>
      <c r="M245" s="80">
        <f>M249</f>
        <v>0</v>
      </c>
      <c r="N245" s="607"/>
      <c r="O245" s="604"/>
    </row>
    <row r="246" spans="1:15" ht="24.95" customHeight="1">
      <c r="A246" s="945"/>
      <c r="B246" s="57" t="s">
        <v>235</v>
      </c>
      <c r="C246" s="546"/>
      <c r="D246" s="546"/>
      <c r="E246" s="546"/>
      <c r="F246" s="546"/>
      <c r="G246" s="80">
        <f t="shared" ref="G246" si="95">G248</f>
        <v>0</v>
      </c>
      <c r="H246" s="80"/>
      <c r="I246" s="80"/>
      <c r="J246" s="80"/>
      <c r="K246" s="80"/>
      <c r="L246" s="80">
        <f>L247+L248</f>
        <v>98000</v>
      </c>
      <c r="M246" s="80">
        <f>M247+M248</f>
        <v>0</v>
      </c>
      <c r="N246" s="607"/>
      <c r="O246" s="604"/>
    </row>
    <row r="247" spans="1:15" ht="24.95" customHeight="1">
      <c r="A247" s="945"/>
      <c r="B247" s="57" t="s">
        <v>10</v>
      </c>
      <c r="C247" s="546"/>
      <c r="D247" s="546"/>
      <c r="E247" s="546"/>
      <c r="F247" s="546"/>
      <c r="G247" s="80"/>
      <c r="H247" s="80"/>
      <c r="I247" s="80"/>
      <c r="J247" s="80"/>
      <c r="K247" s="80"/>
      <c r="L247" s="80">
        <f>L251</f>
        <v>98000</v>
      </c>
      <c r="M247" s="80">
        <f>M251</f>
        <v>0</v>
      </c>
      <c r="N247" s="607"/>
      <c r="O247" s="604"/>
    </row>
    <row r="248" spans="1:15" ht="24.6" customHeight="1">
      <c r="A248" s="945"/>
      <c r="B248" s="57" t="s">
        <v>436</v>
      </c>
      <c r="C248" s="546"/>
      <c r="D248" s="546"/>
      <c r="E248" s="546"/>
      <c r="F248" s="546"/>
      <c r="G248" s="80">
        <f t="shared" ref="G248" si="96">G252</f>
        <v>0</v>
      </c>
      <c r="H248" s="80"/>
      <c r="I248" s="80"/>
      <c r="J248" s="80"/>
      <c r="K248" s="80"/>
      <c r="L248" s="80"/>
      <c r="M248" s="80"/>
      <c r="N248" s="607"/>
      <c r="O248" s="604"/>
    </row>
    <row r="249" spans="1:15" ht="24" customHeight="1">
      <c r="A249" s="964" t="s">
        <v>541</v>
      </c>
      <c r="B249" s="546" t="s">
        <v>89</v>
      </c>
      <c r="C249" s="546"/>
      <c r="D249" s="546"/>
      <c r="E249" s="546"/>
      <c r="F249" s="546"/>
      <c r="G249" s="81">
        <v>0</v>
      </c>
      <c r="H249" s="81"/>
      <c r="I249" s="81"/>
      <c r="J249" s="81"/>
      <c r="K249" s="81"/>
      <c r="L249" s="81">
        <v>2.1</v>
      </c>
      <c r="M249" s="81"/>
      <c r="N249" s="607"/>
      <c r="O249" s="944" t="s">
        <v>320</v>
      </c>
    </row>
    <row r="250" spans="1:15" ht="24.6" customHeight="1">
      <c r="A250" s="964"/>
      <c r="B250" s="546" t="s">
        <v>235</v>
      </c>
      <c r="C250" s="546"/>
      <c r="D250" s="546"/>
      <c r="E250" s="546"/>
      <c r="F250" s="546"/>
      <c r="G250" s="81">
        <f t="shared" ref="G250" si="97">G252</f>
        <v>0</v>
      </c>
      <c r="H250" s="81"/>
      <c r="I250" s="81"/>
      <c r="J250" s="81"/>
      <c r="K250" s="81"/>
      <c r="L250" s="81">
        <f>L251+L252</f>
        <v>98000</v>
      </c>
      <c r="M250" s="81">
        <f>M251</f>
        <v>0</v>
      </c>
      <c r="N250" s="607"/>
      <c r="O250" s="944"/>
    </row>
    <row r="251" spans="1:15" ht="24.6" customHeight="1">
      <c r="A251" s="964"/>
      <c r="B251" s="546" t="s">
        <v>10</v>
      </c>
      <c r="C251" s="546"/>
      <c r="D251" s="546"/>
      <c r="E251" s="546"/>
      <c r="F251" s="546"/>
      <c r="G251" s="81"/>
      <c r="H251" s="81"/>
      <c r="I251" s="81"/>
      <c r="J251" s="81"/>
      <c r="K251" s="81"/>
      <c r="L251" s="81">
        <f>95000+3000</f>
        <v>98000</v>
      </c>
      <c r="M251" s="81"/>
      <c r="N251" s="607"/>
      <c r="O251" s="944"/>
    </row>
    <row r="252" spans="1:15" ht="24.6" customHeight="1">
      <c r="A252" s="964"/>
      <c r="B252" s="546" t="s">
        <v>436</v>
      </c>
      <c r="C252" s="546"/>
      <c r="D252" s="546"/>
      <c r="E252" s="546"/>
      <c r="F252" s="546"/>
      <c r="G252" s="81">
        <v>0</v>
      </c>
      <c r="H252" s="81"/>
      <c r="I252" s="81"/>
      <c r="J252" s="81"/>
      <c r="K252" s="81"/>
      <c r="L252" s="81">
        <v>0</v>
      </c>
      <c r="M252" s="81"/>
      <c r="N252" s="607"/>
      <c r="O252" s="944"/>
    </row>
    <row r="253" spans="1:15" ht="24.95" hidden="1" customHeight="1">
      <c r="A253" s="957" t="s">
        <v>289</v>
      </c>
      <c r="B253" s="546" t="s">
        <v>89</v>
      </c>
      <c r="C253" s="546"/>
      <c r="D253" s="546"/>
      <c r="E253" s="546"/>
      <c r="F253" s="546"/>
      <c r="G253" s="81"/>
      <c r="H253" s="81"/>
      <c r="I253" s="81"/>
      <c r="J253" s="81"/>
      <c r="K253" s="81"/>
      <c r="L253" s="81"/>
      <c r="M253" s="81"/>
      <c r="N253" s="607"/>
      <c r="O253" s="944" t="s">
        <v>509</v>
      </c>
    </row>
    <row r="254" spans="1:15" ht="24.95" hidden="1" customHeight="1">
      <c r="A254" s="958"/>
      <c r="B254" s="546" t="s">
        <v>235</v>
      </c>
      <c r="C254" s="546"/>
      <c r="D254" s="546"/>
      <c r="E254" s="546"/>
      <c r="F254" s="546"/>
      <c r="G254" s="81"/>
      <c r="H254" s="81"/>
      <c r="I254" s="81"/>
      <c r="J254" s="81"/>
      <c r="K254" s="81"/>
      <c r="L254" s="81"/>
      <c r="M254" s="81"/>
      <c r="N254" s="607"/>
      <c r="O254" s="944"/>
    </row>
    <row r="255" spans="1:15" ht="24.95" hidden="1" customHeight="1">
      <c r="A255" s="958"/>
      <c r="B255" s="546" t="s">
        <v>10</v>
      </c>
      <c r="C255" s="546"/>
      <c r="D255" s="546"/>
      <c r="E255" s="546"/>
      <c r="F255" s="546"/>
      <c r="G255" s="81"/>
      <c r="H255" s="81"/>
      <c r="I255" s="81"/>
      <c r="J255" s="81"/>
      <c r="K255" s="81"/>
      <c r="L255" s="81"/>
      <c r="M255" s="81"/>
      <c r="N255" s="607"/>
      <c r="O255" s="944"/>
    </row>
    <row r="256" spans="1:15" ht="24.95" hidden="1" customHeight="1">
      <c r="A256" s="959"/>
      <c r="B256" s="546" t="s">
        <v>436</v>
      </c>
      <c r="C256" s="546"/>
      <c r="D256" s="546"/>
      <c r="E256" s="546"/>
      <c r="F256" s="546"/>
      <c r="G256" s="81"/>
      <c r="H256" s="81"/>
      <c r="I256" s="81"/>
      <c r="J256" s="81"/>
      <c r="K256" s="81"/>
      <c r="L256" s="81"/>
      <c r="M256" s="81"/>
      <c r="N256" s="607"/>
      <c r="O256" s="944"/>
    </row>
    <row r="257" spans="1:61" ht="24.95" hidden="1" customHeight="1">
      <c r="A257" s="887" t="s">
        <v>159</v>
      </c>
      <c r="B257" s="57" t="s">
        <v>89</v>
      </c>
      <c r="C257" s="546"/>
      <c r="D257" s="546"/>
      <c r="E257" s="546"/>
      <c r="F257" s="546"/>
      <c r="G257" s="80">
        <f t="shared" ref="G257:M257" si="98">G261</f>
        <v>0</v>
      </c>
      <c r="H257" s="80"/>
      <c r="I257" s="80"/>
      <c r="J257" s="80"/>
      <c r="K257" s="80"/>
      <c r="L257" s="80">
        <f t="shared" si="98"/>
        <v>0</v>
      </c>
      <c r="M257" s="80">
        <f t="shared" si="98"/>
        <v>0</v>
      </c>
      <c r="N257" s="607"/>
      <c r="O257" s="604"/>
    </row>
    <row r="258" spans="1:61" ht="24.95" hidden="1" customHeight="1">
      <c r="A258" s="888"/>
      <c r="B258" s="57" t="s">
        <v>235</v>
      </c>
      <c r="C258" s="546"/>
      <c r="D258" s="546"/>
      <c r="E258" s="546"/>
      <c r="F258" s="546"/>
      <c r="G258" s="80">
        <f t="shared" ref="G258:M258" si="99">G259+G260</f>
        <v>0</v>
      </c>
      <c r="H258" s="80"/>
      <c r="I258" s="80"/>
      <c r="J258" s="80"/>
      <c r="K258" s="80"/>
      <c r="L258" s="80">
        <f t="shared" si="99"/>
        <v>0</v>
      </c>
      <c r="M258" s="80">
        <f t="shared" si="99"/>
        <v>0</v>
      </c>
      <c r="N258" s="607"/>
      <c r="O258" s="604"/>
    </row>
    <row r="259" spans="1:61" ht="24.95" hidden="1" customHeight="1">
      <c r="A259" s="888"/>
      <c r="B259" s="57" t="s">
        <v>10</v>
      </c>
      <c r="C259" s="546"/>
      <c r="D259" s="546"/>
      <c r="E259" s="546"/>
      <c r="F259" s="546"/>
      <c r="G259" s="80">
        <f t="shared" ref="G259:M260" si="100">G263</f>
        <v>0</v>
      </c>
      <c r="H259" s="80"/>
      <c r="I259" s="80"/>
      <c r="J259" s="80"/>
      <c r="K259" s="80"/>
      <c r="L259" s="80">
        <f t="shared" si="100"/>
        <v>0</v>
      </c>
      <c r="M259" s="80">
        <f t="shared" si="100"/>
        <v>0</v>
      </c>
      <c r="N259" s="607"/>
      <c r="O259" s="604"/>
    </row>
    <row r="260" spans="1:61" ht="24.95" hidden="1" customHeight="1">
      <c r="A260" s="889"/>
      <c r="B260" s="57" t="s">
        <v>436</v>
      </c>
      <c r="C260" s="546"/>
      <c r="D260" s="546"/>
      <c r="E260" s="546"/>
      <c r="F260" s="546"/>
      <c r="G260" s="80">
        <f t="shared" si="100"/>
        <v>0</v>
      </c>
      <c r="H260" s="80"/>
      <c r="I260" s="80"/>
      <c r="J260" s="80"/>
      <c r="K260" s="80"/>
      <c r="L260" s="80">
        <f t="shared" si="100"/>
        <v>0</v>
      </c>
      <c r="M260" s="80"/>
      <c r="N260" s="607"/>
      <c r="O260" s="604"/>
    </row>
    <row r="261" spans="1:61" ht="24.95" hidden="1" customHeight="1">
      <c r="A261" s="964" t="s">
        <v>239</v>
      </c>
      <c r="B261" s="546" t="s">
        <v>89</v>
      </c>
      <c r="C261" s="546"/>
      <c r="D261" s="546"/>
      <c r="E261" s="546"/>
      <c r="F261" s="546"/>
      <c r="G261" s="81"/>
      <c r="H261" s="81"/>
      <c r="I261" s="81"/>
      <c r="J261" s="81"/>
      <c r="K261" s="81"/>
      <c r="L261" s="81"/>
      <c r="M261" s="81"/>
      <c r="N261" s="607"/>
      <c r="O261" s="944" t="s">
        <v>793</v>
      </c>
    </row>
    <row r="262" spans="1:61" s="44" customFormat="1" ht="24.95" hidden="1" customHeight="1">
      <c r="A262" s="964"/>
      <c r="B262" s="546" t="s">
        <v>235</v>
      </c>
      <c r="C262" s="546"/>
      <c r="D262" s="546"/>
      <c r="E262" s="546"/>
      <c r="F262" s="546"/>
      <c r="G262" s="81">
        <f t="shared" ref="G262:L262" si="101">G263+G264</f>
        <v>0</v>
      </c>
      <c r="H262" s="81"/>
      <c r="I262" s="81"/>
      <c r="J262" s="81"/>
      <c r="K262" s="81"/>
      <c r="L262" s="81">
        <f t="shared" si="101"/>
        <v>0</v>
      </c>
      <c r="M262" s="81">
        <f>M263</f>
        <v>0</v>
      </c>
      <c r="N262" s="607"/>
      <c r="O262" s="944"/>
      <c r="AJ262" s="91"/>
      <c r="AK262" s="91"/>
      <c r="AL262" s="91"/>
      <c r="AM262" s="91"/>
      <c r="AN262" s="91"/>
      <c r="AO262" s="91"/>
      <c r="AP262" s="91"/>
      <c r="AQ262" s="91"/>
      <c r="AR262" s="91"/>
      <c r="AS262" s="91"/>
      <c r="AT262" s="91"/>
      <c r="AU262" s="91"/>
      <c r="AV262" s="91"/>
      <c r="AW262" s="91"/>
      <c r="AX262" s="91"/>
      <c r="AY262" s="91"/>
      <c r="AZ262" s="91"/>
      <c r="BA262" s="91"/>
      <c r="BB262" s="91"/>
      <c r="BC262" s="91"/>
      <c r="BD262" s="91"/>
      <c r="BE262" s="91"/>
      <c r="BF262" s="91"/>
      <c r="BG262" s="91"/>
      <c r="BH262" s="91"/>
      <c r="BI262" s="91"/>
    </row>
    <row r="263" spans="1:61" s="44" customFormat="1" ht="28.5" hidden="1" customHeight="1">
      <c r="A263" s="964"/>
      <c r="B263" s="546" t="s">
        <v>10</v>
      </c>
      <c r="C263" s="546"/>
      <c r="D263" s="546"/>
      <c r="E263" s="546"/>
      <c r="F263" s="546"/>
      <c r="G263" s="81"/>
      <c r="H263" s="81"/>
      <c r="I263" s="81"/>
      <c r="J263" s="81"/>
      <c r="K263" s="81"/>
      <c r="L263" s="81"/>
      <c r="M263" s="81">
        <v>0</v>
      </c>
      <c r="N263" s="607"/>
      <c r="O263" s="944"/>
      <c r="AJ263" s="91"/>
      <c r="AK263" s="91"/>
      <c r="AL263" s="91"/>
      <c r="AM263" s="91"/>
      <c r="AN263" s="91"/>
      <c r="AO263" s="91"/>
      <c r="AP263" s="91"/>
      <c r="AQ263" s="91"/>
      <c r="AR263" s="91"/>
      <c r="AS263" s="91"/>
      <c r="AT263" s="91"/>
      <c r="AU263" s="91"/>
      <c r="AV263" s="91"/>
      <c r="AW263" s="91"/>
      <c r="AX263" s="91"/>
      <c r="AY263" s="91"/>
      <c r="AZ263" s="91"/>
      <c r="BA263" s="91"/>
      <c r="BB263" s="91"/>
      <c r="BC263" s="91"/>
      <c r="BD263" s="91"/>
      <c r="BE263" s="91"/>
      <c r="BF263" s="91"/>
      <c r="BG263" s="91"/>
      <c r="BH263" s="91"/>
      <c r="BI263" s="91"/>
    </row>
    <row r="264" spans="1:61" s="44" customFormat="1" ht="24.95" hidden="1" customHeight="1">
      <c r="A264" s="964"/>
      <c r="B264" s="546" t="s">
        <v>436</v>
      </c>
      <c r="C264" s="546"/>
      <c r="D264" s="546"/>
      <c r="E264" s="546"/>
      <c r="F264" s="546"/>
      <c r="G264" s="81"/>
      <c r="H264" s="81"/>
      <c r="I264" s="81"/>
      <c r="J264" s="81"/>
      <c r="K264" s="81"/>
      <c r="L264" s="81"/>
      <c r="M264" s="81"/>
      <c r="N264" s="607"/>
      <c r="O264" s="944"/>
      <c r="AJ264" s="91"/>
      <c r="AK264" s="91"/>
      <c r="AL264" s="91"/>
      <c r="AM264" s="91"/>
      <c r="AN264" s="91"/>
      <c r="AO264" s="91"/>
      <c r="AP264" s="91"/>
      <c r="AQ264" s="91"/>
      <c r="AR264" s="91"/>
      <c r="AS264" s="91"/>
      <c r="AT264" s="91"/>
      <c r="AU264" s="91"/>
      <c r="AV264" s="91"/>
      <c r="AW264" s="91"/>
      <c r="AX264" s="91"/>
      <c r="AY264" s="91"/>
      <c r="AZ264" s="91"/>
      <c r="BA264" s="91"/>
      <c r="BB264" s="91"/>
      <c r="BC264" s="91"/>
      <c r="BD264" s="91"/>
      <c r="BE264" s="91"/>
      <c r="BF264" s="91"/>
      <c r="BG264" s="91"/>
      <c r="BH264" s="91"/>
      <c r="BI264" s="91"/>
    </row>
    <row r="265" spans="1:61" s="44" customFormat="1" ht="24.95" customHeight="1">
      <c r="A265" s="1000" t="s">
        <v>103</v>
      </c>
      <c r="B265" s="57" t="s">
        <v>89</v>
      </c>
      <c r="C265" s="57"/>
      <c r="D265" s="57"/>
      <c r="E265" s="57"/>
      <c r="F265" s="57"/>
      <c r="G265" s="80">
        <f>G275+G280+G284+G288+G297+G301+G305+G309+G313+G317+G321</f>
        <v>0</v>
      </c>
      <c r="H265" s="80">
        <f>H275+H280+H284+H288+H297+H301+H305+H309+H313+H317+H321</f>
        <v>0</v>
      </c>
      <c r="I265" s="80">
        <f>I275+I280+I284+I288+I297+I301+I305+I309+I313+I317+I321</f>
        <v>0</v>
      </c>
      <c r="J265" s="80">
        <f>J275+J280+J284+J288+J297+J301+J305+J309+J313+J317+J321</f>
        <v>0</v>
      </c>
      <c r="K265" s="80">
        <f>K275+K280+K284+K288+K297+K301+K305+K309+K313+K317+K321</f>
        <v>1.3</v>
      </c>
      <c r="L265" s="80">
        <f>L271+L275+L297+L305</f>
        <v>10.6</v>
      </c>
      <c r="M265" s="80">
        <f>M271+M275+M297+M301+M305+M309</f>
        <v>6.5</v>
      </c>
      <c r="N265" s="607"/>
      <c r="O265" s="610"/>
      <c r="AJ265" s="91"/>
      <c r="AK265" s="91"/>
      <c r="AL265" s="91"/>
      <c r="AM265" s="91"/>
      <c r="AN265" s="91"/>
      <c r="AO265" s="91"/>
      <c r="AP265" s="91"/>
      <c r="AQ265" s="91"/>
      <c r="AR265" s="91"/>
      <c r="AS265" s="91"/>
      <c r="AT265" s="91"/>
      <c r="AU265" s="91"/>
      <c r="AV265" s="91"/>
      <c r="AW265" s="91"/>
      <c r="AX265" s="91"/>
      <c r="AY265" s="91"/>
      <c r="AZ265" s="91"/>
      <c r="BA265" s="91"/>
      <c r="BB265" s="91"/>
      <c r="BC265" s="91"/>
      <c r="BD265" s="91"/>
      <c r="BE265" s="91"/>
      <c r="BF265" s="91"/>
      <c r="BG265" s="91"/>
      <c r="BH265" s="91"/>
      <c r="BI265" s="91"/>
    </row>
    <row r="266" spans="1:61" ht="24.95" customHeight="1">
      <c r="A266" s="1001"/>
      <c r="B266" s="57" t="s">
        <v>235</v>
      </c>
      <c r="C266" s="57"/>
      <c r="D266" s="57"/>
      <c r="E266" s="57"/>
      <c r="F266" s="57"/>
      <c r="G266" s="80">
        <f>G267+G270</f>
        <v>888003.2</v>
      </c>
      <c r="H266" s="80">
        <f t="shared" ref="H266:K266" si="102">H267+H270</f>
        <v>0</v>
      </c>
      <c r="I266" s="80">
        <f t="shared" si="102"/>
        <v>0</v>
      </c>
      <c r="J266" s="80">
        <f t="shared" si="102"/>
        <v>0</v>
      </c>
      <c r="K266" s="80">
        <f t="shared" si="102"/>
        <v>888003.2</v>
      </c>
      <c r="L266" s="80">
        <f t="shared" ref="L266:M266" si="103">L267+L270</f>
        <v>1722700</v>
      </c>
      <c r="M266" s="80">
        <f t="shared" si="103"/>
        <v>620000</v>
      </c>
      <c r="N266" s="607"/>
      <c r="O266" s="610"/>
    </row>
    <row r="267" spans="1:61" ht="24.95" customHeight="1">
      <c r="A267" s="1001"/>
      <c r="B267" s="57" t="s">
        <v>10</v>
      </c>
      <c r="C267" s="57"/>
      <c r="D267" s="57"/>
      <c r="E267" s="57"/>
      <c r="F267" s="57"/>
      <c r="G267" s="80">
        <f>G273+G277+G299+G319+G323+G303+G307+G311</f>
        <v>186050</v>
      </c>
      <c r="H267" s="80">
        <f t="shared" ref="H267:M267" si="104">H273+H277+H299+H319+H323+H303+H307+H311</f>
        <v>0</v>
      </c>
      <c r="I267" s="80">
        <f t="shared" si="104"/>
        <v>0</v>
      </c>
      <c r="J267" s="80">
        <f t="shared" si="104"/>
        <v>0</v>
      </c>
      <c r="K267" s="80">
        <f t="shared" si="104"/>
        <v>186050</v>
      </c>
      <c r="L267" s="80">
        <f t="shared" si="104"/>
        <v>752700</v>
      </c>
      <c r="M267" s="80">
        <f t="shared" si="104"/>
        <v>620000</v>
      </c>
      <c r="N267" s="607"/>
      <c r="O267" s="610"/>
    </row>
    <row r="268" spans="1:61" ht="24.6" hidden="1" customHeight="1">
      <c r="A268" s="1001"/>
      <c r="B268" s="57" t="s">
        <v>436</v>
      </c>
      <c r="C268" s="57"/>
      <c r="D268" s="57"/>
      <c r="E268" s="57"/>
      <c r="F268" s="57"/>
      <c r="G268" s="80">
        <f>G278+G283+G291+G296+G304+G308+G316+G320+G324</f>
        <v>0</v>
      </c>
      <c r="H268" s="80"/>
      <c r="I268" s="80"/>
      <c r="J268" s="80"/>
      <c r="K268" s="80"/>
      <c r="L268" s="80">
        <f>L278+L283+L291+L296+L304+L308+L316+L320+L324</f>
        <v>0</v>
      </c>
      <c r="M268" s="80"/>
      <c r="N268" s="607"/>
      <c r="O268" s="610"/>
    </row>
    <row r="269" spans="1:61" ht="24.6" hidden="1" customHeight="1">
      <c r="A269" s="1001"/>
      <c r="B269" s="57" t="s">
        <v>455</v>
      </c>
      <c r="C269" s="57"/>
      <c r="D269" s="57"/>
      <c r="E269" s="57"/>
      <c r="F269" s="57"/>
      <c r="G269" s="80" t="e">
        <f>#REF!</f>
        <v>#REF!</v>
      </c>
      <c r="H269" s="80" t="e">
        <f>#REF!</f>
        <v>#REF!</v>
      </c>
      <c r="I269" s="80" t="e">
        <f>#REF!</f>
        <v>#REF!</v>
      </c>
      <c r="J269" s="80" t="e">
        <f>#REF!</f>
        <v>#REF!</v>
      </c>
      <c r="K269" s="80" t="e">
        <f>#REF!</f>
        <v>#REF!</v>
      </c>
      <c r="L269" s="80"/>
      <c r="M269" s="80"/>
      <c r="N269" s="607"/>
      <c r="O269" s="610"/>
    </row>
    <row r="270" spans="1:61" ht="24.95" customHeight="1">
      <c r="A270" s="1002"/>
      <c r="B270" s="57" t="s">
        <v>436</v>
      </c>
      <c r="C270" s="57"/>
      <c r="D270" s="57"/>
      <c r="E270" s="57"/>
      <c r="F270" s="57"/>
      <c r="G270" s="80">
        <f>G274+G279+G300</f>
        <v>701953.2</v>
      </c>
      <c r="H270" s="80">
        <f t="shared" ref="H270:M270" si="105">H274+H279+H300</f>
        <v>0</v>
      </c>
      <c r="I270" s="80">
        <f t="shared" si="105"/>
        <v>0</v>
      </c>
      <c r="J270" s="80">
        <f t="shared" si="105"/>
        <v>0</v>
      </c>
      <c r="K270" s="80">
        <f t="shared" si="105"/>
        <v>701953.2</v>
      </c>
      <c r="L270" s="80">
        <f t="shared" si="105"/>
        <v>970000</v>
      </c>
      <c r="M270" s="80">
        <f t="shared" si="105"/>
        <v>0</v>
      </c>
      <c r="N270" s="607"/>
      <c r="O270" s="610"/>
    </row>
    <row r="271" spans="1:61" ht="24.95" customHeight="1">
      <c r="A271" s="926" t="s">
        <v>482</v>
      </c>
      <c r="B271" s="546" t="s">
        <v>89</v>
      </c>
      <c r="C271" s="546">
        <v>176</v>
      </c>
      <c r="D271" s="546" t="s">
        <v>15</v>
      </c>
      <c r="E271" s="546">
        <v>6100404</v>
      </c>
      <c r="F271" s="546">
        <v>414</v>
      </c>
      <c r="G271" s="81">
        <v>0</v>
      </c>
      <c r="H271" s="81"/>
      <c r="I271" s="81"/>
      <c r="J271" s="81"/>
      <c r="K271" s="81"/>
      <c r="L271" s="81">
        <v>8.6999999999999993</v>
      </c>
      <c r="M271" s="81">
        <v>4.5</v>
      </c>
      <c r="N271" s="607"/>
      <c r="O271" s="944" t="s">
        <v>902</v>
      </c>
      <c r="P271" s="47"/>
      <c r="V271" s="43">
        <v>24.7</v>
      </c>
    </row>
    <row r="272" spans="1:61" ht="30.75" customHeight="1">
      <c r="A272" s="927"/>
      <c r="B272" s="546" t="s">
        <v>235</v>
      </c>
      <c r="C272" s="546"/>
      <c r="D272" s="546"/>
      <c r="E272" s="546"/>
      <c r="F272" s="546"/>
      <c r="G272" s="81">
        <f>G273+G274</f>
        <v>653003.19999999995</v>
      </c>
      <c r="H272" s="81">
        <f t="shared" ref="H272:M272" si="106">H273+H274</f>
        <v>0</v>
      </c>
      <c r="I272" s="81">
        <f t="shared" si="106"/>
        <v>0</v>
      </c>
      <c r="J272" s="81">
        <f t="shared" si="106"/>
        <v>0</v>
      </c>
      <c r="K272" s="81">
        <f t="shared" si="106"/>
        <v>653003.19999999995</v>
      </c>
      <c r="L272" s="81">
        <f t="shared" si="106"/>
        <v>880000</v>
      </c>
      <c r="M272" s="81">
        <f t="shared" si="106"/>
        <v>45000</v>
      </c>
      <c r="N272" s="607"/>
      <c r="O272" s="944"/>
      <c r="P272" s="98"/>
    </row>
    <row r="273" spans="1:17" ht="24.95" customHeight="1">
      <c r="A273" s="927"/>
      <c r="B273" s="546" t="s">
        <v>10</v>
      </c>
      <c r="C273" s="546"/>
      <c r="D273" s="546"/>
      <c r="E273" s="546"/>
      <c r="F273" s="546"/>
      <c r="G273" s="81">
        <f>I273+J273+K273</f>
        <v>79050</v>
      </c>
      <c r="H273" s="81"/>
      <c r="I273" s="81"/>
      <c r="J273" s="81"/>
      <c r="K273" s="81">
        <v>79050</v>
      </c>
      <c r="L273" s="81">
        <v>125000</v>
      </c>
      <c r="M273" s="81">
        <f>15000+30000</f>
        <v>45000</v>
      </c>
      <c r="N273" s="607"/>
      <c r="O273" s="944"/>
    </row>
    <row r="274" spans="1:17" ht="24.95" customHeight="1">
      <c r="A274" s="928"/>
      <c r="B274" s="546" t="s">
        <v>436</v>
      </c>
      <c r="C274" s="546"/>
      <c r="D274" s="546"/>
      <c r="E274" s="546"/>
      <c r="F274" s="546"/>
      <c r="G274" s="81">
        <f>K274</f>
        <v>573953.19999999995</v>
      </c>
      <c r="H274" s="81"/>
      <c r="I274" s="81"/>
      <c r="J274" s="81"/>
      <c r="K274" s="81">
        <f>569800+4153.2</f>
        <v>573953.19999999995</v>
      </c>
      <c r="L274" s="81">
        <v>755000</v>
      </c>
      <c r="M274" s="81">
        <v>0</v>
      </c>
      <c r="N274" s="607"/>
      <c r="O274" s="944"/>
    </row>
    <row r="275" spans="1:17" ht="24.95" customHeight="1">
      <c r="A275" s="1006" t="s">
        <v>303</v>
      </c>
      <c r="B275" s="546" t="s">
        <v>89</v>
      </c>
      <c r="C275" s="546">
        <v>176</v>
      </c>
      <c r="D275" s="546" t="s">
        <v>15</v>
      </c>
      <c r="E275" s="546">
        <v>6100404</v>
      </c>
      <c r="F275" s="546">
        <v>414</v>
      </c>
      <c r="G275" s="81"/>
      <c r="H275" s="81"/>
      <c r="I275" s="81"/>
      <c r="J275" s="81"/>
      <c r="K275" s="81"/>
      <c r="L275" s="81">
        <v>1.9</v>
      </c>
      <c r="M275" s="81"/>
      <c r="N275" s="607"/>
      <c r="O275" s="944" t="s">
        <v>903</v>
      </c>
    </row>
    <row r="276" spans="1:17" ht="24.95" customHeight="1">
      <c r="A276" s="1006"/>
      <c r="B276" s="546" t="s">
        <v>235</v>
      </c>
      <c r="C276" s="546"/>
      <c r="D276" s="546"/>
      <c r="E276" s="546"/>
      <c r="F276" s="546"/>
      <c r="G276" s="81">
        <f>G277+G279+G278</f>
        <v>170000</v>
      </c>
      <c r="H276" s="81">
        <f t="shared" ref="H276:K276" si="107">H277+H279+H278</f>
        <v>0</v>
      </c>
      <c r="I276" s="81">
        <f t="shared" si="107"/>
        <v>0</v>
      </c>
      <c r="J276" s="81">
        <f t="shared" si="107"/>
        <v>0</v>
      </c>
      <c r="K276" s="81">
        <f t="shared" si="107"/>
        <v>170000</v>
      </c>
      <c r="L276" s="81">
        <f>L277+L279</f>
        <v>510100</v>
      </c>
      <c r="M276" s="81">
        <f>M277+M279</f>
        <v>235000</v>
      </c>
      <c r="N276" s="607"/>
      <c r="O276" s="944"/>
      <c r="P276" s="98"/>
    </row>
    <row r="277" spans="1:17" ht="24.95" customHeight="1">
      <c r="A277" s="1006"/>
      <c r="B277" s="546" t="s">
        <v>10</v>
      </c>
      <c r="C277" s="546"/>
      <c r="D277" s="546"/>
      <c r="E277" s="546"/>
      <c r="F277" s="546"/>
      <c r="G277" s="81">
        <f>J277+K277</f>
        <v>70000</v>
      </c>
      <c r="H277" s="81"/>
      <c r="I277" s="81"/>
      <c r="J277" s="81"/>
      <c r="K277" s="81">
        <v>70000</v>
      </c>
      <c r="L277" s="81">
        <v>295100</v>
      </c>
      <c r="M277" s="81">
        <v>235000</v>
      </c>
      <c r="N277" s="607"/>
      <c r="O277" s="944"/>
    </row>
    <row r="278" spans="1:17" ht="0.6" customHeight="1">
      <c r="A278" s="1006"/>
      <c r="B278" s="546" t="s">
        <v>436</v>
      </c>
      <c r="C278" s="546"/>
      <c r="D278" s="546"/>
      <c r="E278" s="546"/>
      <c r="F278" s="546"/>
      <c r="G278" s="81">
        <v>0</v>
      </c>
      <c r="H278" s="81"/>
      <c r="I278" s="81"/>
      <c r="J278" s="81"/>
      <c r="K278" s="81"/>
      <c r="L278" s="81"/>
      <c r="M278" s="112"/>
      <c r="N278" s="607"/>
      <c r="O278" s="944"/>
    </row>
    <row r="279" spans="1:17" ht="24.75" customHeight="1">
      <c r="A279" s="1006"/>
      <c r="B279" s="546" t="s">
        <v>436</v>
      </c>
      <c r="C279" s="546"/>
      <c r="D279" s="546"/>
      <c r="E279" s="546"/>
      <c r="F279" s="546"/>
      <c r="G279" s="81">
        <f>K279</f>
        <v>100000</v>
      </c>
      <c r="H279" s="81"/>
      <c r="I279" s="81"/>
      <c r="J279" s="81"/>
      <c r="K279" s="81">
        <v>100000</v>
      </c>
      <c r="L279" s="81">
        <v>215000</v>
      </c>
      <c r="M279" s="107"/>
      <c r="N279" s="607"/>
      <c r="O279" s="944"/>
      <c r="Q279" s="47"/>
    </row>
    <row r="280" spans="1:17" ht="0.6" customHeight="1">
      <c r="A280" s="1004" t="s">
        <v>523</v>
      </c>
      <c r="B280" s="546" t="s">
        <v>89</v>
      </c>
      <c r="C280" s="546">
        <v>176</v>
      </c>
      <c r="D280" s="546" t="s">
        <v>15</v>
      </c>
      <c r="E280" s="546">
        <v>6100404</v>
      </c>
      <c r="F280" s="546">
        <v>414</v>
      </c>
      <c r="G280" s="81"/>
      <c r="H280" s="81"/>
      <c r="I280" s="81"/>
      <c r="J280" s="81"/>
      <c r="K280" s="81"/>
      <c r="L280" s="81"/>
      <c r="M280" s="81"/>
      <c r="N280" s="607"/>
      <c r="O280" s="944" t="s">
        <v>281</v>
      </c>
    </row>
    <row r="281" spans="1:17" ht="24.6" hidden="1" customHeight="1">
      <c r="A281" s="1004"/>
      <c r="B281" s="546" t="s">
        <v>235</v>
      </c>
      <c r="C281" s="546"/>
      <c r="D281" s="546"/>
      <c r="E281" s="546"/>
      <c r="F281" s="546"/>
      <c r="G281" s="81">
        <f t="shared" ref="G281:L281" si="108">G282+G283</f>
        <v>0</v>
      </c>
      <c r="H281" s="81"/>
      <c r="I281" s="81"/>
      <c r="J281" s="81"/>
      <c r="K281" s="81"/>
      <c r="L281" s="81">
        <f t="shared" si="108"/>
        <v>0</v>
      </c>
      <c r="M281" s="81"/>
      <c r="N281" s="607"/>
      <c r="O281" s="944"/>
    </row>
    <row r="282" spans="1:17" ht="24.6" hidden="1" customHeight="1">
      <c r="A282" s="1004"/>
      <c r="B282" s="546" t="s">
        <v>10</v>
      </c>
      <c r="C282" s="546"/>
      <c r="D282" s="546"/>
      <c r="E282" s="546"/>
      <c r="F282" s="546"/>
      <c r="G282" s="81"/>
      <c r="H282" s="81"/>
      <c r="I282" s="81"/>
      <c r="J282" s="81"/>
      <c r="K282" s="81"/>
      <c r="L282" s="81"/>
      <c r="M282" s="81"/>
      <c r="N282" s="607"/>
      <c r="O282" s="944"/>
    </row>
    <row r="283" spans="1:17" ht="24.6" hidden="1" customHeight="1">
      <c r="A283" s="1004"/>
      <c r="B283" s="546" t="s">
        <v>34</v>
      </c>
      <c r="C283" s="546"/>
      <c r="D283" s="546"/>
      <c r="E283" s="546"/>
      <c r="F283" s="546"/>
      <c r="G283" s="81"/>
      <c r="H283" s="81"/>
      <c r="I283" s="81"/>
      <c r="J283" s="81"/>
      <c r="K283" s="81"/>
      <c r="L283" s="81"/>
      <c r="M283" s="81"/>
      <c r="N283" s="607"/>
      <c r="O283" s="944"/>
    </row>
    <row r="284" spans="1:17" ht="24.95" hidden="1" customHeight="1">
      <c r="A284" s="1005" t="s">
        <v>339</v>
      </c>
      <c r="B284" s="546" t="s">
        <v>89</v>
      </c>
      <c r="C284" s="546">
        <v>176</v>
      </c>
      <c r="D284" s="546" t="s">
        <v>15</v>
      </c>
      <c r="E284" s="546">
        <v>6100404</v>
      </c>
      <c r="F284" s="546">
        <v>414</v>
      </c>
      <c r="G284" s="81">
        <f>K284</f>
        <v>0</v>
      </c>
      <c r="H284" s="81"/>
      <c r="I284" s="81"/>
      <c r="J284" s="81"/>
      <c r="K284" s="81"/>
      <c r="L284" s="81"/>
      <c r="M284" s="81"/>
      <c r="N284" s="607"/>
      <c r="O284" s="944" t="s">
        <v>212</v>
      </c>
    </row>
    <row r="285" spans="1:17" ht="24.95" hidden="1" customHeight="1">
      <c r="A285" s="1005"/>
      <c r="B285" s="546" t="s">
        <v>235</v>
      </c>
      <c r="C285" s="546"/>
      <c r="D285" s="546"/>
      <c r="E285" s="546"/>
      <c r="F285" s="546"/>
      <c r="G285" s="81">
        <f>G286+G287</f>
        <v>0</v>
      </c>
      <c r="H285" s="81">
        <f t="shared" ref="H285:K285" si="109">H286+H287</f>
        <v>0</v>
      </c>
      <c r="I285" s="81">
        <f t="shared" si="109"/>
        <v>0</v>
      </c>
      <c r="J285" s="81">
        <f t="shared" si="109"/>
        <v>0</v>
      </c>
      <c r="K285" s="81">
        <f t="shared" si="109"/>
        <v>0</v>
      </c>
      <c r="L285" s="81">
        <f>L286+L287</f>
        <v>0</v>
      </c>
      <c r="M285" s="81"/>
      <c r="N285" s="607"/>
      <c r="O285" s="944"/>
    </row>
    <row r="286" spans="1:17" ht="24.95" hidden="1" customHeight="1">
      <c r="A286" s="1005"/>
      <c r="B286" s="546" t="s">
        <v>10</v>
      </c>
      <c r="C286" s="546"/>
      <c r="D286" s="546"/>
      <c r="E286" s="546"/>
      <c r="F286" s="546"/>
      <c r="G286" s="81">
        <f>I286+J286+K286</f>
        <v>0</v>
      </c>
      <c r="H286" s="81"/>
      <c r="I286" s="81"/>
      <c r="J286" s="81"/>
      <c r="K286" s="81"/>
      <c r="L286" s="81"/>
      <c r="M286" s="81"/>
      <c r="N286" s="607"/>
      <c r="O286" s="944"/>
    </row>
    <row r="287" spans="1:17" ht="0.6" customHeight="1">
      <c r="A287" s="1005"/>
      <c r="B287" s="546" t="s">
        <v>341</v>
      </c>
      <c r="C287" s="546"/>
      <c r="D287" s="546"/>
      <c r="E287" s="546"/>
      <c r="F287" s="546"/>
      <c r="G287" s="81"/>
      <c r="H287" s="81"/>
      <c r="I287" s="81"/>
      <c r="J287" s="81"/>
      <c r="K287" s="81"/>
      <c r="L287" s="81">
        <v>0</v>
      </c>
      <c r="M287" s="81"/>
      <c r="N287" s="607"/>
      <c r="O287" s="944"/>
    </row>
    <row r="288" spans="1:17" ht="24.95" hidden="1" customHeight="1">
      <c r="A288" s="932" t="s">
        <v>319</v>
      </c>
      <c r="B288" s="546" t="s">
        <v>89</v>
      </c>
      <c r="C288" s="546"/>
      <c r="D288" s="546"/>
      <c r="E288" s="546"/>
      <c r="F288" s="546"/>
      <c r="G288" s="81"/>
      <c r="H288" s="81"/>
      <c r="I288" s="81"/>
      <c r="J288" s="81"/>
      <c r="K288" s="81"/>
      <c r="L288" s="81"/>
      <c r="M288" s="81"/>
      <c r="N288" s="607"/>
      <c r="O288" s="944" t="s">
        <v>219</v>
      </c>
    </row>
    <row r="289" spans="1:15" ht="24.95" hidden="1" customHeight="1">
      <c r="A289" s="932"/>
      <c r="B289" s="546" t="s">
        <v>235</v>
      </c>
      <c r="C289" s="546"/>
      <c r="D289" s="546"/>
      <c r="E289" s="546"/>
      <c r="F289" s="546"/>
      <c r="G289" s="81">
        <f>G290</f>
        <v>0</v>
      </c>
      <c r="H289" s="81"/>
      <c r="I289" s="81"/>
      <c r="J289" s="81"/>
      <c r="K289" s="81"/>
      <c r="L289" s="81">
        <f>L291</f>
        <v>0</v>
      </c>
      <c r="M289" s="81">
        <f>M291</f>
        <v>0</v>
      </c>
      <c r="N289" s="607"/>
      <c r="O289" s="944"/>
    </row>
    <row r="290" spans="1:15" ht="27.6" hidden="1" customHeight="1">
      <c r="A290" s="932"/>
      <c r="B290" s="546" t="s">
        <v>10</v>
      </c>
      <c r="C290" s="546"/>
      <c r="D290" s="546"/>
      <c r="E290" s="546"/>
      <c r="F290" s="546"/>
      <c r="G290" s="81"/>
      <c r="H290" s="81"/>
      <c r="I290" s="81"/>
      <c r="J290" s="81"/>
      <c r="K290" s="81"/>
      <c r="L290" s="81"/>
      <c r="M290" s="81"/>
      <c r="N290" s="607"/>
      <c r="O290" s="944"/>
    </row>
    <row r="291" spans="1:15" ht="0.6" hidden="1" customHeight="1">
      <c r="A291" s="932"/>
      <c r="B291" s="546" t="s">
        <v>341</v>
      </c>
      <c r="C291" s="546"/>
      <c r="D291" s="546"/>
      <c r="E291" s="546"/>
      <c r="F291" s="546"/>
      <c r="G291" s="81"/>
      <c r="H291" s="81"/>
      <c r="I291" s="81"/>
      <c r="J291" s="81"/>
      <c r="K291" s="81"/>
      <c r="L291" s="81"/>
      <c r="M291" s="81"/>
      <c r="N291" s="607"/>
      <c r="O291" s="944"/>
    </row>
    <row r="292" spans="1:15" ht="24.6" hidden="1" customHeight="1">
      <c r="A292" s="932" t="s">
        <v>340</v>
      </c>
      <c r="B292" s="546" t="s">
        <v>89</v>
      </c>
      <c r="C292" s="546"/>
      <c r="D292" s="546"/>
      <c r="E292" s="546"/>
      <c r="F292" s="546"/>
      <c r="G292" s="81"/>
      <c r="H292" s="81"/>
      <c r="I292" s="81"/>
      <c r="J292" s="81"/>
      <c r="K292" s="81"/>
      <c r="L292" s="81"/>
      <c r="M292" s="92"/>
      <c r="N292" s="607"/>
      <c r="O292" s="944" t="s">
        <v>322</v>
      </c>
    </row>
    <row r="293" spans="1:15" ht="24.6" hidden="1" customHeight="1">
      <c r="A293" s="932"/>
      <c r="B293" s="546" t="s">
        <v>235</v>
      </c>
      <c r="C293" s="546"/>
      <c r="D293" s="546"/>
      <c r="E293" s="546"/>
      <c r="F293" s="546"/>
      <c r="G293" s="81"/>
      <c r="H293" s="81"/>
      <c r="I293" s="81"/>
      <c r="J293" s="81"/>
      <c r="K293" s="81"/>
      <c r="L293" s="81">
        <f>L296+L294+L295</f>
        <v>0</v>
      </c>
      <c r="M293" s="81"/>
      <c r="N293" s="607"/>
      <c r="O293" s="944"/>
    </row>
    <row r="294" spans="1:15" ht="24.6" hidden="1" customHeight="1">
      <c r="A294" s="932"/>
      <c r="B294" s="546" t="s">
        <v>10</v>
      </c>
      <c r="C294" s="546"/>
      <c r="D294" s="546"/>
      <c r="E294" s="546"/>
      <c r="F294" s="546"/>
      <c r="G294" s="81"/>
      <c r="H294" s="81"/>
      <c r="I294" s="81"/>
      <c r="J294" s="81"/>
      <c r="K294" s="81"/>
      <c r="L294" s="81">
        <v>0</v>
      </c>
      <c r="M294" s="81"/>
      <c r="N294" s="607"/>
      <c r="O294" s="944"/>
    </row>
    <row r="295" spans="1:15" ht="24.6" hidden="1" customHeight="1">
      <c r="A295" s="932"/>
      <c r="B295" s="546" t="s">
        <v>341</v>
      </c>
      <c r="C295" s="546"/>
      <c r="D295" s="546"/>
      <c r="E295" s="546"/>
      <c r="F295" s="546"/>
      <c r="G295" s="81"/>
      <c r="H295" s="81"/>
      <c r="I295" s="81"/>
      <c r="J295" s="81"/>
      <c r="K295" s="81"/>
      <c r="L295" s="81"/>
      <c r="M295" s="81"/>
      <c r="N295" s="607"/>
      <c r="O295" s="944"/>
    </row>
    <row r="296" spans="1:15" ht="24.6" hidden="1" customHeight="1">
      <c r="A296" s="932"/>
      <c r="B296" s="546" t="s">
        <v>34</v>
      </c>
      <c r="C296" s="546"/>
      <c r="D296" s="546"/>
      <c r="E296" s="546"/>
      <c r="F296" s="546"/>
      <c r="G296" s="81"/>
      <c r="H296" s="81"/>
      <c r="I296" s="81"/>
      <c r="J296" s="81"/>
      <c r="K296" s="81"/>
      <c r="L296" s="81">
        <v>0</v>
      </c>
      <c r="M296" s="81"/>
      <c r="N296" s="607"/>
      <c r="O296" s="944"/>
    </row>
    <row r="297" spans="1:15" ht="23.45" customHeight="1">
      <c r="A297" s="954" t="s">
        <v>524</v>
      </c>
      <c r="B297" s="632" t="s">
        <v>89</v>
      </c>
      <c r="C297" s="632"/>
      <c r="D297" s="632"/>
      <c r="E297" s="632"/>
      <c r="F297" s="632"/>
      <c r="G297" s="633"/>
      <c r="H297" s="633"/>
      <c r="I297" s="633"/>
      <c r="J297" s="633"/>
      <c r="K297" s="640">
        <v>1.3</v>
      </c>
      <c r="L297" s="634"/>
      <c r="M297" s="630"/>
      <c r="N297" s="631"/>
      <c r="O297" s="944" t="s">
        <v>771</v>
      </c>
    </row>
    <row r="298" spans="1:15" ht="24.6" customHeight="1">
      <c r="A298" s="955"/>
      <c r="B298" s="632" t="s">
        <v>235</v>
      </c>
      <c r="C298" s="632"/>
      <c r="D298" s="632"/>
      <c r="E298" s="632"/>
      <c r="F298" s="632"/>
      <c r="G298" s="633">
        <f>G299+G300</f>
        <v>65000</v>
      </c>
      <c r="H298" s="633"/>
      <c r="I298" s="633"/>
      <c r="J298" s="633"/>
      <c r="K298" s="640">
        <f>K299+K300</f>
        <v>65000</v>
      </c>
      <c r="L298" s="633">
        <f>L299+L300</f>
        <v>0</v>
      </c>
      <c r="M298" s="630">
        <f>M299+M300</f>
        <v>0</v>
      </c>
      <c r="N298" s="631"/>
      <c r="O298" s="944"/>
    </row>
    <row r="299" spans="1:15" ht="24.6" customHeight="1">
      <c r="A299" s="955"/>
      <c r="B299" s="632" t="s">
        <v>10</v>
      </c>
      <c r="C299" s="632"/>
      <c r="D299" s="632"/>
      <c r="E299" s="632"/>
      <c r="F299" s="632"/>
      <c r="G299" s="633">
        <f>K299</f>
        <v>37000</v>
      </c>
      <c r="H299" s="633"/>
      <c r="I299" s="633"/>
      <c r="J299" s="633"/>
      <c r="K299" s="640">
        <v>37000</v>
      </c>
      <c r="L299" s="633"/>
      <c r="M299" s="630"/>
      <c r="N299" s="631"/>
      <c r="O299" s="944"/>
    </row>
    <row r="300" spans="1:15" ht="24.6" customHeight="1">
      <c r="A300" s="956"/>
      <c r="B300" s="632" t="s">
        <v>436</v>
      </c>
      <c r="C300" s="632"/>
      <c r="D300" s="632"/>
      <c r="E300" s="632"/>
      <c r="F300" s="632"/>
      <c r="G300" s="633">
        <f>K300</f>
        <v>28000</v>
      </c>
      <c r="H300" s="633"/>
      <c r="I300" s="633"/>
      <c r="J300" s="633"/>
      <c r="K300" s="640">
        <v>28000</v>
      </c>
      <c r="L300" s="633"/>
      <c r="M300" s="630"/>
      <c r="N300" s="631"/>
      <c r="O300" s="944"/>
    </row>
    <row r="301" spans="1:15" ht="24.95" customHeight="1">
      <c r="A301" s="926" t="s">
        <v>954</v>
      </c>
      <c r="B301" s="546" t="s">
        <v>89</v>
      </c>
      <c r="C301" s="546">
        <v>176</v>
      </c>
      <c r="D301" s="546" t="s">
        <v>15</v>
      </c>
      <c r="E301" s="546">
        <v>6100404</v>
      </c>
      <c r="F301" s="546">
        <v>414</v>
      </c>
      <c r="G301" s="81"/>
      <c r="H301" s="81"/>
      <c r="I301" s="81"/>
      <c r="J301" s="81"/>
      <c r="K301" s="81"/>
      <c r="L301" s="81"/>
      <c r="M301" s="81"/>
      <c r="N301" s="607"/>
      <c r="O301" s="944" t="s">
        <v>1071</v>
      </c>
    </row>
    <row r="302" spans="1:15" ht="24.95" customHeight="1">
      <c r="A302" s="927"/>
      <c r="B302" s="546" t="s">
        <v>235</v>
      </c>
      <c r="C302" s="546"/>
      <c r="D302" s="546"/>
      <c r="E302" s="546"/>
      <c r="F302" s="546"/>
      <c r="G302" s="81"/>
      <c r="H302" s="81"/>
      <c r="I302" s="81"/>
      <c r="J302" s="81">
        <f>J303</f>
        <v>0</v>
      </c>
      <c r="K302" s="81"/>
      <c r="L302" s="81">
        <f t="shared" ref="L302" si="110">L303+L304</f>
        <v>0</v>
      </c>
      <c r="M302" s="81">
        <f>M303</f>
        <v>80000</v>
      </c>
      <c r="N302" s="607"/>
      <c r="O302" s="944"/>
    </row>
    <row r="303" spans="1:15" ht="24.95" customHeight="1">
      <c r="A303" s="927"/>
      <c r="B303" s="546" t="s">
        <v>10</v>
      </c>
      <c r="C303" s="546"/>
      <c r="D303" s="546"/>
      <c r="E303" s="546"/>
      <c r="F303" s="546"/>
      <c r="G303" s="81">
        <f>H303+I303+J303</f>
        <v>0</v>
      </c>
      <c r="H303" s="81"/>
      <c r="I303" s="81"/>
      <c r="J303" s="81"/>
      <c r="K303" s="81"/>
      <c r="L303" s="81"/>
      <c r="M303" s="81">
        <v>80000</v>
      </c>
      <c r="N303" s="607"/>
      <c r="O303" s="944"/>
    </row>
    <row r="304" spans="1:15" ht="25.5" hidden="1" customHeight="1">
      <c r="A304" s="928"/>
      <c r="B304" s="546" t="s">
        <v>34</v>
      </c>
      <c r="C304" s="546"/>
      <c r="D304" s="546"/>
      <c r="E304" s="546"/>
      <c r="F304" s="546"/>
      <c r="G304" s="81"/>
      <c r="H304" s="81"/>
      <c r="I304" s="81"/>
      <c r="J304" s="81"/>
      <c r="K304" s="81"/>
      <c r="L304" s="81"/>
      <c r="M304" s="81"/>
      <c r="N304" s="607"/>
      <c r="O304" s="944"/>
    </row>
    <row r="305" spans="1:61" ht="24.6" customHeight="1">
      <c r="A305" s="932" t="s">
        <v>827</v>
      </c>
      <c r="B305" s="546" t="s">
        <v>89</v>
      </c>
      <c r="C305" s="546">
        <v>176</v>
      </c>
      <c r="D305" s="546" t="s">
        <v>15</v>
      </c>
      <c r="E305" s="546">
        <v>6100404</v>
      </c>
      <c r="F305" s="546">
        <v>414</v>
      </c>
      <c r="G305" s="81">
        <v>0</v>
      </c>
      <c r="H305" s="81"/>
      <c r="I305" s="81"/>
      <c r="J305" s="81"/>
      <c r="K305" s="81"/>
      <c r="L305" s="81"/>
      <c r="M305" s="92">
        <v>1</v>
      </c>
      <c r="N305" s="607"/>
      <c r="O305" s="944" t="s">
        <v>901</v>
      </c>
    </row>
    <row r="306" spans="1:61" ht="24.6" customHeight="1">
      <c r="A306" s="932"/>
      <c r="B306" s="546" t="s">
        <v>235</v>
      </c>
      <c r="C306" s="546"/>
      <c r="D306" s="546"/>
      <c r="E306" s="546"/>
      <c r="F306" s="546"/>
      <c r="G306" s="81">
        <f t="shared" ref="G306:M306" si="111">G307+G308</f>
        <v>0</v>
      </c>
      <c r="H306" s="81"/>
      <c r="I306" s="81"/>
      <c r="J306" s="81"/>
      <c r="K306" s="81"/>
      <c r="L306" s="81">
        <f t="shared" si="111"/>
        <v>332600</v>
      </c>
      <c r="M306" s="81">
        <f t="shared" si="111"/>
        <v>220000</v>
      </c>
      <c r="N306" s="607"/>
      <c r="O306" s="944"/>
      <c r="S306" s="45"/>
    </row>
    <row r="307" spans="1:61" ht="24.6" customHeight="1">
      <c r="A307" s="932"/>
      <c r="B307" s="546" t="s">
        <v>10</v>
      </c>
      <c r="C307" s="546"/>
      <c r="D307" s="546"/>
      <c r="E307" s="546"/>
      <c r="F307" s="546"/>
      <c r="G307" s="81"/>
      <c r="H307" s="81"/>
      <c r="I307" s="81"/>
      <c r="J307" s="81"/>
      <c r="K307" s="81"/>
      <c r="L307" s="81">
        <f>310000+22600</f>
        <v>332600</v>
      </c>
      <c r="M307" s="81">
        <f>320000-100000</f>
        <v>220000</v>
      </c>
      <c r="N307" s="607"/>
      <c r="O307" s="944"/>
      <c r="P307" s="45"/>
    </row>
    <row r="308" spans="1:61" ht="24.6" hidden="1" customHeight="1">
      <c r="A308" s="932"/>
      <c r="B308" s="546" t="s">
        <v>34</v>
      </c>
      <c r="C308" s="546"/>
      <c r="D308" s="546"/>
      <c r="E308" s="546"/>
      <c r="F308" s="546"/>
      <c r="G308" s="81"/>
      <c r="H308" s="81"/>
      <c r="I308" s="81"/>
      <c r="J308" s="81"/>
      <c r="K308" s="81"/>
      <c r="L308" s="81"/>
      <c r="M308" s="81"/>
      <c r="N308" s="607"/>
      <c r="O308" s="944"/>
    </row>
    <row r="309" spans="1:61" ht="24.95" customHeight="1">
      <c r="A309" s="932" t="s">
        <v>955</v>
      </c>
      <c r="B309" s="546" t="s">
        <v>89</v>
      </c>
      <c r="C309" s="546"/>
      <c r="D309" s="546"/>
      <c r="E309" s="546"/>
      <c r="F309" s="546"/>
      <c r="G309" s="81"/>
      <c r="H309" s="81"/>
      <c r="I309" s="81"/>
      <c r="J309" s="81"/>
      <c r="K309" s="81"/>
      <c r="L309" s="81"/>
      <c r="M309" s="81">
        <v>1</v>
      </c>
      <c r="N309" s="607"/>
      <c r="O309" s="944" t="s">
        <v>1072</v>
      </c>
    </row>
    <row r="310" spans="1:61" ht="24.95" customHeight="1">
      <c r="A310" s="932"/>
      <c r="B310" s="546" t="s">
        <v>235</v>
      </c>
      <c r="C310" s="546"/>
      <c r="D310" s="546"/>
      <c r="E310" s="546"/>
      <c r="F310" s="546"/>
      <c r="G310" s="81"/>
      <c r="H310" s="81">
        <f t="shared" ref="H310:K310" si="112">H311+H312</f>
        <v>0</v>
      </c>
      <c r="I310" s="81">
        <f t="shared" si="112"/>
        <v>0</v>
      </c>
      <c r="J310" s="81">
        <f t="shared" si="112"/>
        <v>0</v>
      </c>
      <c r="K310" s="81">
        <f t="shared" si="112"/>
        <v>0</v>
      </c>
      <c r="L310" s="81">
        <f t="shared" ref="L310" si="113">L311+L312</f>
        <v>0</v>
      </c>
      <c r="M310" s="81">
        <f>M311</f>
        <v>40000</v>
      </c>
      <c r="N310" s="607"/>
      <c r="O310" s="944"/>
    </row>
    <row r="311" spans="1:61" ht="24.95" customHeight="1">
      <c r="A311" s="932"/>
      <c r="B311" s="546" t="s">
        <v>10</v>
      </c>
      <c r="C311" s="546"/>
      <c r="D311" s="546"/>
      <c r="E311" s="546"/>
      <c r="F311" s="546"/>
      <c r="G311" s="81">
        <f>H311+I311+J311+K311</f>
        <v>0</v>
      </c>
      <c r="H311" s="81"/>
      <c r="I311" s="81"/>
      <c r="J311" s="81"/>
      <c r="K311" s="81"/>
      <c r="L311" s="81"/>
      <c r="M311" s="81">
        <v>40000</v>
      </c>
      <c r="N311" s="607"/>
      <c r="O311" s="944"/>
    </row>
    <row r="312" spans="1:61" ht="23.45" hidden="1" customHeight="1">
      <c r="A312" s="932"/>
      <c r="B312" s="546" t="s">
        <v>341</v>
      </c>
      <c r="C312" s="546"/>
      <c r="D312" s="546"/>
      <c r="E312" s="546"/>
      <c r="F312" s="546"/>
      <c r="G312" s="81">
        <v>0</v>
      </c>
      <c r="H312" s="81"/>
      <c r="I312" s="81"/>
      <c r="J312" s="81"/>
      <c r="K312" s="81"/>
      <c r="L312" s="81"/>
      <c r="M312" s="81"/>
      <c r="N312" s="607"/>
      <c r="O312" s="944"/>
    </row>
    <row r="313" spans="1:61" ht="24.6" hidden="1" customHeight="1">
      <c r="A313" s="926" t="s">
        <v>304</v>
      </c>
      <c r="B313" s="546" t="s">
        <v>89</v>
      </c>
      <c r="C313" s="546"/>
      <c r="D313" s="546"/>
      <c r="E313" s="546"/>
      <c r="F313" s="546"/>
      <c r="G313" s="81"/>
      <c r="H313" s="81"/>
      <c r="I313" s="81"/>
      <c r="J313" s="81"/>
      <c r="K313" s="81"/>
      <c r="L313" s="81"/>
      <c r="M313" s="81"/>
      <c r="N313" s="607"/>
      <c r="O313" s="944" t="s">
        <v>433</v>
      </c>
    </row>
    <row r="314" spans="1:61" s="44" customFormat="1" ht="12.75" hidden="1" customHeight="1">
      <c r="A314" s="927"/>
      <c r="B314" s="546" t="s">
        <v>235</v>
      </c>
      <c r="C314" s="546"/>
      <c r="D314" s="546"/>
      <c r="E314" s="546"/>
      <c r="F314" s="546"/>
      <c r="G314" s="81">
        <f>G315+G324</f>
        <v>0</v>
      </c>
      <c r="H314" s="81"/>
      <c r="I314" s="81"/>
      <c r="J314" s="81"/>
      <c r="K314" s="81"/>
      <c r="L314" s="81">
        <f>L316</f>
        <v>0</v>
      </c>
      <c r="M314" s="81">
        <f>M316</f>
        <v>0</v>
      </c>
      <c r="N314" s="607"/>
      <c r="O314" s="944"/>
      <c r="AJ314" s="91"/>
      <c r="AK314" s="91"/>
      <c r="AL314" s="91"/>
      <c r="AM314" s="91"/>
      <c r="AN314" s="91"/>
      <c r="AO314" s="91"/>
      <c r="AP314" s="91"/>
      <c r="AQ314" s="91"/>
      <c r="AR314" s="91"/>
      <c r="AS314" s="91"/>
      <c r="AT314" s="91"/>
      <c r="AU314" s="91"/>
      <c r="AV314" s="91"/>
      <c r="AW314" s="91"/>
      <c r="AX314" s="91"/>
      <c r="AY314" s="91"/>
      <c r="AZ314" s="91"/>
      <c r="BA314" s="91"/>
      <c r="BB314" s="91"/>
      <c r="BC314" s="91"/>
      <c r="BD314" s="91"/>
      <c r="BE314" s="91"/>
      <c r="BF314" s="91"/>
      <c r="BG314" s="91"/>
      <c r="BH314" s="91"/>
      <c r="BI314" s="91"/>
    </row>
    <row r="315" spans="1:61" s="44" customFormat="1" ht="17.25" hidden="1" customHeight="1">
      <c r="A315" s="927"/>
      <c r="B315" s="546" t="s">
        <v>10</v>
      </c>
      <c r="C315" s="546"/>
      <c r="D315" s="546"/>
      <c r="E315" s="546"/>
      <c r="F315" s="546"/>
      <c r="G315" s="81"/>
      <c r="H315" s="81"/>
      <c r="I315" s="81"/>
      <c r="J315" s="81"/>
      <c r="K315" s="81"/>
      <c r="L315" s="81"/>
      <c r="M315" s="81"/>
      <c r="N315" s="607"/>
      <c r="O315" s="944"/>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91"/>
      <c r="AN315" s="91"/>
      <c r="AO315" s="91"/>
      <c r="AP315" s="91"/>
      <c r="AQ315" s="91"/>
      <c r="AR315" s="91"/>
      <c r="AS315" s="91"/>
      <c r="AT315" s="91"/>
      <c r="AU315" s="91"/>
      <c r="AV315" s="91"/>
      <c r="AW315" s="91"/>
      <c r="AX315" s="91"/>
      <c r="AY315" s="91"/>
      <c r="AZ315" s="91"/>
      <c r="BA315" s="91"/>
      <c r="BB315" s="91"/>
      <c r="BC315" s="91"/>
      <c r="BD315" s="91"/>
      <c r="BE315" s="91"/>
      <c r="BF315" s="91"/>
      <c r="BG315" s="91"/>
      <c r="BH315" s="91"/>
      <c r="BI315" s="91"/>
    </row>
    <row r="316" spans="1:61" s="44" customFormat="1" ht="15.75" hidden="1" customHeight="1">
      <c r="A316" s="928"/>
      <c r="B316" s="542" t="s">
        <v>34</v>
      </c>
      <c r="C316" s="542"/>
      <c r="D316" s="542"/>
      <c r="E316" s="542"/>
      <c r="F316" s="542"/>
      <c r="G316" s="97"/>
      <c r="H316" s="97"/>
      <c r="I316" s="97"/>
      <c r="J316" s="97"/>
      <c r="K316" s="97"/>
      <c r="L316" s="85">
        <v>0</v>
      </c>
      <c r="M316" s="85"/>
      <c r="N316" s="607"/>
      <c r="O316" s="944"/>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91"/>
      <c r="AN316" s="91"/>
      <c r="AO316" s="91"/>
      <c r="AP316" s="91"/>
      <c r="AQ316" s="91"/>
      <c r="AR316" s="91"/>
      <c r="AS316" s="91"/>
      <c r="AT316" s="91"/>
      <c r="AU316" s="91"/>
      <c r="AV316" s="91"/>
      <c r="AW316" s="91"/>
      <c r="AX316" s="91"/>
      <c r="AY316" s="91"/>
      <c r="AZ316" s="91"/>
      <c r="BA316" s="91"/>
      <c r="BB316" s="91"/>
      <c r="BC316" s="91"/>
      <c r="BD316" s="91"/>
      <c r="BE316" s="91"/>
      <c r="BF316" s="91"/>
      <c r="BG316" s="91"/>
      <c r="BH316" s="91"/>
      <c r="BI316" s="91"/>
    </row>
    <row r="317" spans="1:61" s="44" customFormat="1" ht="24.6" hidden="1" customHeight="1">
      <c r="A317" s="926" t="s">
        <v>305</v>
      </c>
      <c r="B317" s="542" t="s">
        <v>89</v>
      </c>
      <c r="C317" s="542"/>
      <c r="D317" s="542"/>
      <c r="E317" s="542"/>
      <c r="F317" s="542"/>
      <c r="G317" s="85">
        <f>K317</f>
        <v>0</v>
      </c>
      <c r="H317" s="85"/>
      <c r="I317" s="85"/>
      <c r="J317" s="85"/>
      <c r="K317" s="85"/>
      <c r="L317" s="85"/>
      <c r="M317" s="85"/>
      <c r="N317" s="607"/>
      <c r="O317" s="944" t="s">
        <v>484</v>
      </c>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91"/>
      <c r="AN317" s="91"/>
      <c r="AO317" s="91"/>
      <c r="AP317" s="91"/>
      <c r="AQ317" s="91"/>
      <c r="AR317" s="91"/>
      <c r="AS317" s="91"/>
      <c r="AT317" s="91"/>
      <c r="AU317" s="91"/>
      <c r="AV317" s="91"/>
      <c r="AW317" s="91"/>
      <c r="AX317" s="91"/>
      <c r="AY317" s="91"/>
      <c r="AZ317" s="91"/>
      <c r="BA317" s="91"/>
      <c r="BB317" s="91"/>
      <c r="BC317" s="91"/>
      <c r="BD317" s="91"/>
      <c r="BE317" s="91"/>
      <c r="BF317" s="91"/>
      <c r="BG317" s="91"/>
      <c r="BH317" s="91"/>
      <c r="BI317" s="91"/>
    </row>
    <row r="318" spans="1:61" s="44" customFormat="1" ht="24.6" hidden="1" customHeight="1">
      <c r="A318" s="927"/>
      <c r="B318" s="542" t="s">
        <v>235</v>
      </c>
      <c r="C318" s="542"/>
      <c r="D318" s="542"/>
      <c r="E318" s="542"/>
      <c r="F318" s="542"/>
      <c r="G318" s="85">
        <f t="shared" ref="G318:G319" si="114">K318</f>
        <v>0</v>
      </c>
      <c r="H318" s="85"/>
      <c r="I318" s="85"/>
      <c r="J318" s="85"/>
      <c r="K318" s="85">
        <f>K319</f>
        <v>0</v>
      </c>
      <c r="L318" s="85"/>
      <c r="M318" s="85">
        <f>M320</f>
        <v>0</v>
      </c>
      <c r="N318" s="607"/>
      <c r="O318" s="944"/>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c r="BI318" s="91"/>
    </row>
    <row r="319" spans="1:61" s="44" customFormat="1" ht="24.6" hidden="1" customHeight="1">
      <c r="A319" s="927"/>
      <c r="B319" s="542" t="s">
        <v>10</v>
      </c>
      <c r="C319" s="542"/>
      <c r="D319" s="542"/>
      <c r="E319" s="542"/>
      <c r="F319" s="542"/>
      <c r="G319" s="85">
        <f t="shared" si="114"/>
        <v>0</v>
      </c>
      <c r="H319" s="85"/>
      <c r="I319" s="85"/>
      <c r="J319" s="85"/>
      <c r="K319" s="85"/>
      <c r="L319" s="85"/>
      <c r="M319" s="85"/>
      <c r="N319" s="558"/>
      <c r="O319" s="944"/>
      <c r="P319" s="91"/>
      <c r="Q319" s="91"/>
      <c r="R319" s="91"/>
      <c r="S319" s="91"/>
      <c r="T319" s="91"/>
      <c r="U319" s="91"/>
      <c r="V319" s="91"/>
      <c r="W319" s="91"/>
      <c r="X319" s="91"/>
      <c r="Y319" s="91"/>
      <c r="Z319" s="91"/>
      <c r="AA319" s="91"/>
      <c r="AB319" s="91"/>
      <c r="AC319" s="91"/>
      <c r="AD319" s="91"/>
      <c r="AE319" s="91"/>
      <c r="AF319" s="91"/>
      <c r="AG319" s="91"/>
      <c r="AH319" s="91"/>
      <c r="AI319" s="91"/>
      <c r="AJ319" s="91"/>
      <c r="AK319" s="91"/>
      <c r="AL319" s="91"/>
      <c r="AM319" s="91"/>
      <c r="AN319" s="91"/>
      <c r="AO319" s="91"/>
      <c r="AP319" s="91"/>
      <c r="AQ319" s="91"/>
      <c r="AR319" s="91"/>
      <c r="AS319" s="91"/>
      <c r="AT319" s="91"/>
      <c r="AU319" s="91"/>
      <c r="AV319" s="91"/>
      <c r="AW319" s="91"/>
      <c r="AX319" s="91"/>
      <c r="AY319" s="91"/>
      <c r="AZ319" s="91"/>
      <c r="BA319" s="91"/>
      <c r="BB319" s="91"/>
      <c r="BC319" s="91"/>
      <c r="BD319" s="91"/>
      <c r="BE319" s="91"/>
      <c r="BF319" s="91"/>
      <c r="BG319" s="91"/>
      <c r="BH319" s="91"/>
      <c r="BI319" s="91"/>
    </row>
    <row r="320" spans="1:61" s="88" customFormat="1" ht="24.6" hidden="1" customHeight="1">
      <c r="A320" s="928"/>
      <c r="B320" s="546" t="s">
        <v>436</v>
      </c>
      <c r="C320" s="546"/>
      <c r="D320" s="546"/>
      <c r="E320" s="546"/>
      <c r="F320" s="546"/>
      <c r="G320" s="81"/>
      <c r="H320" s="81"/>
      <c r="I320" s="81"/>
      <c r="J320" s="81"/>
      <c r="K320" s="81"/>
      <c r="L320" s="81"/>
      <c r="M320" s="81"/>
      <c r="N320" s="607"/>
      <c r="O320" s="944"/>
    </row>
    <row r="321" spans="1:64" s="44" customFormat="1" ht="24.6" hidden="1" customHeight="1">
      <c r="A321" s="926" t="s">
        <v>504</v>
      </c>
      <c r="B321" s="543" t="s">
        <v>89</v>
      </c>
      <c r="C321" s="543"/>
      <c r="D321" s="543"/>
      <c r="E321" s="543"/>
      <c r="F321" s="543"/>
      <c r="G321" s="112">
        <f>K321</f>
        <v>0</v>
      </c>
      <c r="H321" s="112"/>
      <c r="I321" s="112"/>
      <c r="J321" s="112"/>
      <c r="K321" s="112"/>
      <c r="L321" s="112"/>
      <c r="M321" s="112"/>
      <c r="N321" s="72"/>
      <c r="O321" s="944" t="s">
        <v>738</v>
      </c>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91"/>
      <c r="AN321" s="91"/>
      <c r="AO321" s="91"/>
      <c r="AP321" s="91"/>
      <c r="AQ321" s="91"/>
      <c r="AR321" s="91"/>
      <c r="AS321" s="91"/>
      <c r="AT321" s="91"/>
      <c r="AU321" s="91"/>
      <c r="AV321" s="91"/>
      <c r="AW321" s="91"/>
      <c r="AX321" s="91"/>
      <c r="AY321" s="91"/>
      <c r="AZ321" s="91"/>
      <c r="BA321" s="91"/>
      <c r="BB321" s="91"/>
      <c r="BC321" s="91"/>
      <c r="BD321" s="91"/>
      <c r="BE321" s="91"/>
      <c r="BF321" s="91"/>
      <c r="BG321" s="91"/>
      <c r="BH321" s="91"/>
      <c r="BI321" s="91"/>
    </row>
    <row r="322" spans="1:64" s="44" customFormat="1" ht="24.6" hidden="1" customHeight="1">
      <c r="A322" s="927"/>
      <c r="B322" s="542" t="s">
        <v>235</v>
      </c>
      <c r="C322" s="542"/>
      <c r="D322" s="542"/>
      <c r="E322" s="542"/>
      <c r="F322" s="542"/>
      <c r="G322" s="85">
        <f t="shared" ref="G322:G323" si="115">K322</f>
        <v>0</v>
      </c>
      <c r="H322" s="85"/>
      <c r="I322" s="85"/>
      <c r="J322" s="85"/>
      <c r="K322" s="85">
        <f>K323</f>
        <v>0</v>
      </c>
      <c r="L322" s="85">
        <f>L323</f>
        <v>0</v>
      </c>
      <c r="M322" s="85">
        <f>M324</f>
        <v>0</v>
      </c>
      <c r="N322" s="607"/>
      <c r="O322" s="944"/>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91"/>
      <c r="AN322" s="91"/>
      <c r="AO322" s="91"/>
      <c r="AP322" s="91"/>
      <c r="AQ322" s="91"/>
      <c r="AR322" s="91"/>
      <c r="AS322" s="91"/>
      <c r="AT322" s="91"/>
      <c r="AU322" s="91"/>
      <c r="AV322" s="91"/>
      <c r="AW322" s="91"/>
      <c r="AX322" s="91"/>
      <c r="AY322" s="91"/>
      <c r="AZ322" s="91"/>
      <c r="BA322" s="91"/>
      <c r="BB322" s="91"/>
      <c r="BC322" s="91"/>
      <c r="BD322" s="91"/>
      <c r="BE322" s="91"/>
      <c r="BF322" s="91"/>
      <c r="BG322" s="91"/>
      <c r="BH322" s="91"/>
      <c r="BI322" s="91"/>
    </row>
    <row r="323" spans="1:64" s="44" customFormat="1" ht="24.6" hidden="1" customHeight="1">
      <c r="A323" s="927"/>
      <c r="B323" s="542" t="s">
        <v>10</v>
      </c>
      <c r="C323" s="542"/>
      <c r="D323" s="542"/>
      <c r="E323" s="542"/>
      <c r="F323" s="542"/>
      <c r="G323" s="85">
        <f t="shared" si="115"/>
        <v>0</v>
      </c>
      <c r="H323" s="85"/>
      <c r="I323" s="85"/>
      <c r="J323" s="85"/>
      <c r="K323" s="85"/>
      <c r="L323" s="85"/>
      <c r="M323" s="85"/>
      <c r="N323" s="607"/>
      <c r="O323" s="944"/>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91"/>
      <c r="AN323" s="91"/>
      <c r="AO323" s="91"/>
      <c r="AP323" s="91"/>
      <c r="AQ323" s="91"/>
      <c r="AR323" s="91"/>
      <c r="AS323" s="91"/>
      <c r="AT323" s="91"/>
      <c r="AU323" s="91"/>
      <c r="AV323" s="91"/>
      <c r="AW323" s="91"/>
      <c r="AX323" s="91"/>
      <c r="AY323" s="91"/>
      <c r="AZ323" s="91"/>
      <c r="BA323" s="91"/>
      <c r="BB323" s="91"/>
      <c r="BC323" s="91"/>
      <c r="BD323" s="91"/>
      <c r="BE323" s="91"/>
      <c r="BF323" s="91"/>
      <c r="BG323" s="91"/>
      <c r="BH323" s="91"/>
      <c r="BI323" s="91"/>
    </row>
    <row r="324" spans="1:64" s="88" customFormat="1" ht="24.6" hidden="1" customHeight="1">
      <c r="A324" s="928"/>
      <c r="B324" s="546" t="s">
        <v>436</v>
      </c>
      <c r="C324" s="546"/>
      <c r="D324" s="546"/>
      <c r="E324" s="546"/>
      <c r="F324" s="546"/>
      <c r="G324" s="81"/>
      <c r="H324" s="81"/>
      <c r="I324" s="81"/>
      <c r="J324" s="81"/>
      <c r="K324" s="81"/>
      <c r="L324" s="81"/>
      <c r="M324" s="81"/>
      <c r="N324" s="607"/>
      <c r="O324" s="944"/>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91"/>
      <c r="AN324" s="91"/>
      <c r="AO324" s="91"/>
      <c r="AP324" s="91"/>
      <c r="AQ324" s="91"/>
      <c r="AR324" s="91"/>
      <c r="AS324" s="91"/>
      <c r="AT324" s="91"/>
      <c r="AU324" s="91"/>
      <c r="AV324" s="91"/>
      <c r="AW324" s="91"/>
      <c r="AX324" s="91"/>
      <c r="AY324" s="91"/>
      <c r="AZ324" s="91"/>
      <c r="BA324" s="91"/>
      <c r="BB324" s="91"/>
      <c r="BC324" s="91"/>
      <c r="BD324" s="91"/>
      <c r="BE324" s="91"/>
      <c r="BF324" s="91"/>
      <c r="BG324" s="91"/>
      <c r="BH324" s="91"/>
      <c r="BI324" s="91"/>
      <c r="BJ324" s="91"/>
      <c r="BK324" s="91"/>
      <c r="BL324" s="90"/>
    </row>
    <row r="325" spans="1:64" s="44" customFormat="1" ht="24.6" hidden="1" customHeight="1">
      <c r="A325" s="1000" t="s">
        <v>104</v>
      </c>
      <c r="B325" s="57" t="s">
        <v>89</v>
      </c>
      <c r="C325" s="57"/>
      <c r="D325" s="57"/>
      <c r="E325" s="57"/>
      <c r="F325" s="57"/>
      <c r="G325" s="80">
        <f t="shared" ref="G325:L325" si="116">G329+G333</f>
        <v>0</v>
      </c>
      <c r="H325" s="80"/>
      <c r="I325" s="80"/>
      <c r="J325" s="80"/>
      <c r="K325" s="80"/>
      <c r="L325" s="80">
        <f t="shared" si="116"/>
        <v>0</v>
      </c>
      <c r="M325" s="80"/>
      <c r="N325" s="607"/>
      <c r="O325" s="610"/>
      <c r="AJ325" s="91"/>
      <c r="AK325" s="91"/>
      <c r="AL325" s="91"/>
      <c r="AM325" s="91"/>
      <c r="AN325" s="91"/>
      <c r="AO325" s="91"/>
      <c r="AP325" s="91"/>
      <c r="AQ325" s="91"/>
      <c r="AR325" s="91"/>
      <c r="AS325" s="91"/>
      <c r="AT325" s="91"/>
      <c r="AU325" s="91"/>
      <c r="AV325" s="91"/>
      <c r="AW325" s="91"/>
      <c r="AX325" s="91"/>
      <c r="AY325" s="91"/>
      <c r="AZ325" s="91"/>
      <c r="BA325" s="91"/>
      <c r="BB325" s="91"/>
      <c r="BC325" s="91"/>
      <c r="BD325" s="91"/>
      <c r="BE325" s="91"/>
      <c r="BF325" s="91"/>
      <c r="BG325" s="91"/>
      <c r="BH325" s="91"/>
      <c r="BI325" s="91"/>
    </row>
    <row r="326" spans="1:64" ht="24.6" hidden="1" customHeight="1">
      <c r="A326" s="1001"/>
      <c r="B326" s="57" t="s">
        <v>235</v>
      </c>
      <c r="C326" s="57"/>
      <c r="D326" s="57"/>
      <c r="E326" s="57"/>
      <c r="F326" s="57"/>
      <c r="G326" s="80">
        <f t="shared" ref="G326:L326" si="117">G327+G328</f>
        <v>0</v>
      </c>
      <c r="H326" s="80"/>
      <c r="I326" s="80"/>
      <c r="J326" s="80"/>
      <c r="K326" s="80"/>
      <c r="L326" s="80">
        <f t="shared" si="117"/>
        <v>0</v>
      </c>
      <c r="M326" s="80"/>
      <c r="N326" s="607"/>
      <c r="O326" s="610"/>
      <c r="V326" s="43">
        <v>55</v>
      </c>
    </row>
    <row r="327" spans="1:64" ht="28.15" hidden="1" customHeight="1">
      <c r="A327" s="1001"/>
      <c r="B327" s="57" t="s">
        <v>10</v>
      </c>
      <c r="C327" s="57"/>
      <c r="D327" s="57"/>
      <c r="E327" s="57"/>
      <c r="F327" s="57"/>
      <c r="G327" s="80"/>
      <c r="H327" s="80"/>
      <c r="I327" s="80"/>
      <c r="J327" s="80"/>
      <c r="K327" s="80"/>
      <c r="L327" s="80"/>
      <c r="M327" s="80"/>
      <c r="N327" s="607"/>
      <c r="O327" s="610"/>
    </row>
    <row r="328" spans="1:64" ht="24.6" hidden="1" customHeight="1">
      <c r="A328" s="1002"/>
      <c r="B328" s="57" t="s">
        <v>436</v>
      </c>
      <c r="C328" s="57"/>
      <c r="D328" s="57"/>
      <c r="E328" s="57"/>
      <c r="F328" s="57"/>
      <c r="G328" s="80">
        <f t="shared" ref="G328:L328" si="118">G336+G332</f>
        <v>0</v>
      </c>
      <c r="H328" s="80"/>
      <c r="I328" s="80"/>
      <c r="J328" s="80"/>
      <c r="K328" s="80"/>
      <c r="L328" s="80">
        <f t="shared" si="118"/>
        <v>0</v>
      </c>
      <c r="M328" s="80"/>
      <c r="N328" s="607"/>
      <c r="O328" s="610"/>
    </row>
    <row r="329" spans="1:64" ht="0.6" hidden="1" customHeight="1">
      <c r="A329" s="943" t="s">
        <v>240</v>
      </c>
      <c r="B329" s="546" t="s">
        <v>89</v>
      </c>
      <c r="C329" s="546">
        <v>176</v>
      </c>
      <c r="D329" s="546" t="s">
        <v>15</v>
      </c>
      <c r="E329" s="546">
        <v>6100404</v>
      </c>
      <c r="F329" s="546">
        <v>414</v>
      </c>
      <c r="G329" s="81"/>
      <c r="H329" s="81"/>
      <c r="I329" s="81"/>
      <c r="J329" s="81"/>
      <c r="K329" s="81"/>
      <c r="L329" s="81">
        <v>0</v>
      </c>
      <c r="M329" s="81"/>
      <c r="N329" s="607"/>
      <c r="O329" s="944" t="s">
        <v>507</v>
      </c>
    </row>
    <row r="330" spans="1:64" ht="24.6" hidden="1" customHeight="1">
      <c r="A330" s="943"/>
      <c r="B330" s="546" t="s">
        <v>235</v>
      </c>
      <c r="C330" s="546"/>
      <c r="D330" s="546"/>
      <c r="E330" s="546"/>
      <c r="F330" s="546"/>
      <c r="G330" s="81"/>
      <c r="H330" s="81"/>
      <c r="I330" s="81"/>
      <c r="J330" s="81"/>
      <c r="K330" s="81"/>
      <c r="L330" s="81">
        <f>L332</f>
        <v>0</v>
      </c>
      <c r="M330" s="81"/>
      <c r="N330" s="607"/>
      <c r="O330" s="944"/>
    </row>
    <row r="331" spans="1:64" ht="24.6" hidden="1" customHeight="1">
      <c r="A331" s="943"/>
      <c r="B331" s="546" t="s">
        <v>10</v>
      </c>
      <c r="C331" s="546"/>
      <c r="D331" s="546"/>
      <c r="E331" s="546"/>
      <c r="F331" s="546"/>
      <c r="G331" s="81"/>
      <c r="H331" s="81"/>
      <c r="I331" s="81"/>
      <c r="J331" s="81"/>
      <c r="K331" s="81"/>
      <c r="L331" s="81"/>
      <c r="M331" s="81"/>
      <c r="N331" s="607"/>
      <c r="O331" s="944"/>
    </row>
    <row r="332" spans="1:64" ht="24.6" hidden="1" customHeight="1">
      <c r="A332" s="943"/>
      <c r="B332" s="546" t="s">
        <v>436</v>
      </c>
      <c r="C332" s="546"/>
      <c r="D332" s="546"/>
      <c r="E332" s="546"/>
      <c r="F332" s="546"/>
      <c r="G332" s="81"/>
      <c r="H332" s="81"/>
      <c r="I332" s="81"/>
      <c r="J332" s="81"/>
      <c r="K332" s="81"/>
      <c r="L332" s="81">
        <v>0</v>
      </c>
      <c r="M332" s="81"/>
      <c r="N332" s="607"/>
      <c r="O332" s="944"/>
    </row>
    <row r="333" spans="1:64" ht="0.6" hidden="1" customHeight="1">
      <c r="A333" s="943" t="s">
        <v>233</v>
      </c>
      <c r="B333" s="546" t="s">
        <v>89</v>
      </c>
      <c r="C333" s="546"/>
      <c r="D333" s="546"/>
      <c r="E333" s="546"/>
      <c r="F333" s="546"/>
      <c r="G333" s="81">
        <v>0</v>
      </c>
      <c r="H333" s="81"/>
      <c r="I333" s="81"/>
      <c r="J333" s="81"/>
      <c r="K333" s="81"/>
      <c r="L333" s="81"/>
      <c r="M333" s="81"/>
      <c r="N333" s="607"/>
      <c r="O333" s="944" t="s">
        <v>511</v>
      </c>
    </row>
    <row r="334" spans="1:64" ht="24.6" hidden="1" customHeight="1">
      <c r="A334" s="943"/>
      <c r="B334" s="546" t="s">
        <v>235</v>
      </c>
      <c r="C334" s="546"/>
      <c r="D334" s="546"/>
      <c r="E334" s="546"/>
      <c r="F334" s="546"/>
      <c r="G334" s="81">
        <f>G336</f>
        <v>0</v>
      </c>
      <c r="H334" s="81"/>
      <c r="I334" s="81"/>
      <c r="J334" s="81"/>
      <c r="K334" s="81"/>
      <c r="L334" s="81">
        <f>L336</f>
        <v>0</v>
      </c>
      <c r="M334" s="81"/>
      <c r="N334" s="607"/>
      <c r="O334" s="944"/>
    </row>
    <row r="335" spans="1:64" ht="24.6" hidden="1" customHeight="1">
      <c r="A335" s="943"/>
      <c r="B335" s="546" t="s">
        <v>10</v>
      </c>
      <c r="C335" s="546"/>
      <c r="D335" s="546"/>
      <c r="E335" s="546"/>
      <c r="F335" s="546"/>
      <c r="G335" s="81"/>
      <c r="H335" s="81"/>
      <c r="I335" s="81"/>
      <c r="J335" s="81"/>
      <c r="K335" s="81"/>
      <c r="L335" s="81"/>
      <c r="M335" s="81"/>
      <c r="N335" s="607"/>
      <c r="O335" s="944"/>
    </row>
    <row r="336" spans="1:64" ht="24.6" hidden="1" customHeight="1">
      <c r="A336" s="943"/>
      <c r="B336" s="546" t="s">
        <v>436</v>
      </c>
      <c r="C336" s="546"/>
      <c r="D336" s="546"/>
      <c r="E336" s="546"/>
      <c r="F336" s="546"/>
      <c r="G336" s="81"/>
      <c r="H336" s="81"/>
      <c r="I336" s="81"/>
      <c r="J336" s="81"/>
      <c r="K336" s="81"/>
      <c r="L336" s="81"/>
      <c r="M336" s="81"/>
      <c r="N336" s="607"/>
      <c r="O336" s="944"/>
    </row>
    <row r="337" spans="1:61" ht="25.5" hidden="1" customHeight="1">
      <c r="A337" s="945" t="s">
        <v>161</v>
      </c>
      <c r="B337" s="57" t="s">
        <v>89</v>
      </c>
      <c r="C337" s="546"/>
      <c r="D337" s="546"/>
      <c r="E337" s="546"/>
      <c r="F337" s="546"/>
      <c r="G337" s="80">
        <f t="shared" ref="G337:M337" si="119">G341</f>
        <v>0</v>
      </c>
      <c r="H337" s="80"/>
      <c r="I337" s="80"/>
      <c r="J337" s="80"/>
      <c r="K337" s="80"/>
      <c r="L337" s="80">
        <f t="shared" si="119"/>
        <v>0</v>
      </c>
      <c r="M337" s="80">
        <f t="shared" si="119"/>
        <v>0</v>
      </c>
      <c r="N337" s="607"/>
      <c r="O337" s="604"/>
    </row>
    <row r="338" spans="1:61" ht="24.6" hidden="1" customHeight="1">
      <c r="A338" s="945"/>
      <c r="B338" s="57" t="s">
        <v>235</v>
      </c>
      <c r="C338" s="546"/>
      <c r="D338" s="546"/>
      <c r="E338" s="546"/>
      <c r="F338" s="546"/>
      <c r="G338" s="80">
        <f t="shared" ref="G338:M338" si="120">G339+G340</f>
        <v>0</v>
      </c>
      <c r="H338" s="80"/>
      <c r="I338" s="80"/>
      <c r="J338" s="80"/>
      <c r="K338" s="80"/>
      <c r="L338" s="80">
        <f t="shared" si="120"/>
        <v>0</v>
      </c>
      <c r="M338" s="80">
        <f t="shared" si="120"/>
        <v>0</v>
      </c>
      <c r="N338" s="607"/>
      <c r="O338" s="604"/>
    </row>
    <row r="339" spans="1:61" ht="24.6" hidden="1" customHeight="1">
      <c r="A339" s="945"/>
      <c r="B339" s="57" t="s">
        <v>10</v>
      </c>
      <c r="C339" s="546"/>
      <c r="D339" s="546"/>
      <c r="E339" s="546"/>
      <c r="F339" s="546"/>
      <c r="G339" s="80"/>
      <c r="H339" s="80"/>
      <c r="I339" s="80"/>
      <c r="J339" s="80"/>
      <c r="K339" s="80"/>
      <c r="L339" s="80"/>
      <c r="M339" s="80"/>
      <c r="N339" s="607"/>
      <c r="O339" s="604"/>
    </row>
    <row r="340" spans="1:61" ht="24.6" hidden="1" customHeight="1">
      <c r="A340" s="945"/>
      <c r="B340" s="57" t="s">
        <v>436</v>
      </c>
      <c r="C340" s="546"/>
      <c r="D340" s="546"/>
      <c r="E340" s="546"/>
      <c r="F340" s="546"/>
      <c r="G340" s="80">
        <f t="shared" ref="G340:M340" si="121">G344</f>
        <v>0</v>
      </c>
      <c r="H340" s="80"/>
      <c r="I340" s="80"/>
      <c r="J340" s="80"/>
      <c r="K340" s="80"/>
      <c r="L340" s="80">
        <f t="shared" si="121"/>
        <v>0</v>
      </c>
      <c r="M340" s="80">
        <f t="shared" si="121"/>
        <v>0</v>
      </c>
      <c r="N340" s="607"/>
      <c r="O340" s="604"/>
    </row>
    <row r="341" spans="1:61" ht="24.6" hidden="1" customHeight="1">
      <c r="A341" s="943" t="s">
        <v>241</v>
      </c>
      <c r="B341" s="546" t="s">
        <v>89</v>
      </c>
      <c r="C341" s="546"/>
      <c r="D341" s="546"/>
      <c r="E341" s="546"/>
      <c r="F341" s="546"/>
      <c r="G341" s="81">
        <v>0</v>
      </c>
      <c r="H341" s="81"/>
      <c r="I341" s="81"/>
      <c r="J341" s="81"/>
      <c r="K341" s="81"/>
      <c r="L341" s="81"/>
      <c r="M341" s="81"/>
      <c r="N341" s="607"/>
      <c r="O341" s="944" t="s">
        <v>508</v>
      </c>
    </row>
    <row r="342" spans="1:61" s="44" customFormat="1" ht="24.6" hidden="1" customHeight="1">
      <c r="A342" s="943"/>
      <c r="B342" s="546" t="s">
        <v>235</v>
      </c>
      <c r="C342" s="546"/>
      <c r="D342" s="546"/>
      <c r="E342" s="546"/>
      <c r="F342" s="546"/>
      <c r="G342" s="81">
        <f t="shared" ref="G342:M342" si="122">G343+G344</f>
        <v>0</v>
      </c>
      <c r="H342" s="81"/>
      <c r="I342" s="81"/>
      <c r="J342" s="81"/>
      <c r="K342" s="81"/>
      <c r="L342" s="81">
        <f t="shared" si="122"/>
        <v>0</v>
      </c>
      <c r="M342" s="81">
        <f t="shared" si="122"/>
        <v>0</v>
      </c>
      <c r="N342" s="607"/>
      <c r="O342" s="944"/>
      <c r="AJ342" s="91"/>
      <c r="AK342" s="91"/>
      <c r="AL342" s="91"/>
      <c r="AM342" s="91"/>
      <c r="AN342" s="91"/>
      <c r="AO342" s="91"/>
      <c r="AP342" s="91"/>
      <c r="AQ342" s="91"/>
      <c r="AR342" s="91"/>
      <c r="AS342" s="91"/>
      <c r="AT342" s="91"/>
      <c r="AU342" s="91"/>
      <c r="AV342" s="91"/>
      <c r="AW342" s="91"/>
      <c r="AX342" s="91"/>
      <c r="AY342" s="91"/>
      <c r="AZ342" s="91"/>
      <c r="BA342" s="91"/>
      <c r="BB342" s="91"/>
      <c r="BC342" s="91"/>
      <c r="BD342" s="91"/>
      <c r="BE342" s="91"/>
      <c r="BF342" s="91"/>
      <c r="BG342" s="91"/>
      <c r="BH342" s="91"/>
      <c r="BI342" s="91"/>
    </row>
    <row r="343" spans="1:61" s="44" customFormat="1" ht="24.6" hidden="1" customHeight="1">
      <c r="A343" s="943"/>
      <c r="B343" s="546" t="s">
        <v>10</v>
      </c>
      <c r="C343" s="546"/>
      <c r="D343" s="546"/>
      <c r="E343" s="546"/>
      <c r="F343" s="546"/>
      <c r="G343" s="81"/>
      <c r="H343" s="81"/>
      <c r="I343" s="81"/>
      <c r="J343" s="81"/>
      <c r="K343" s="81"/>
      <c r="L343" s="81"/>
      <c r="M343" s="81"/>
      <c r="N343" s="607"/>
      <c r="O343" s="944"/>
      <c r="AJ343" s="91"/>
      <c r="AK343" s="91"/>
      <c r="AL343" s="91"/>
      <c r="AM343" s="91"/>
      <c r="AN343" s="91"/>
      <c r="AO343" s="91"/>
      <c r="AP343" s="91"/>
      <c r="AQ343" s="91"/>
      <c r="AR343" s="91"/>
      <c r="AS343" s="91"/>
      <c r="AT343" s="91"/>
      <c r="AU343" s="91"/>
      <c r="AV343" s="91"/>
      <c r="AW343" s="91"/>
      <c r="AX343" s="91"/>
      <c r="AY343" s="91"/>
      <c r="AZ343" s="91"/>
      <c r="BA343" s="91"/>
      <c r="BB343" s="91"/>
      <c r="BC343" s="91"/>
      <c r="BD343" s="91"/>
      <c r="BE343" s="91"/>
      <c r="BF343" s="91"/>
      <c r="BG343" s="91"/>
      <c r="BH343" s="91"/>
      <c r="BI343" s="91"/>
    </row>
    <row r="344" spans="1:61" s="44" customFormat="1" ht="24.6" hidden="1" customHeight="1">
      <c r="A344" s="943"/>
      <c r="B344" s="546" t="s">
        <v>436</v>
      </c>
      <c r="C344" s="546"/>
      <c r="D344" s="546"/>
      <c r="E344" s="546"/>
      <c r="F344" s="546"/>
      <c r="G344" s="81">
        <v>0</v>
      </c>
      <c r="H344" s="81"/>
      <c r="I344" s="81"/>
      <c r="J344" s="81"/>
      <c r="K344" s="81"/>
      <c r="L344" s="81"/>
      <c r="M344" s="81"/>
      <c r="N344" s="607"/>
      <c r="O344" s="944"/>
      <c r="AJ344" s="91"/>
      <c r="AK344" s="91"/>
      <c r="AL344" s="91"/>
      <c r="AM344" s="91"/>
      <c r="AN344" s="91"/>
      <c r="AO344" s="91"/>
      <c r="AP344" s="91"/>
      <c r="AQ344" s="91"/>
      <c r="AR344" s="91"/>
      <c r="AS344" s="91"/>
      <c r="AT344" s="91"/>
      <c r="AU344" s="91"/>
      <c r="AV344" s="91"/>
      <c r="AW344" s="91"/>
      <c r="AX344" s="91"/>
      <c r="AY344" s="91"/>
      <c r="AZ344" s="91"/>
      <c r="BA344" s="91"/>
      <c r="BB344" s="91"/>
      <c r="BC344" s="91"/>
      <c r="BD344" s="91"/>
      <c r="BE344" s="91"/>
      <c r="BF344" s="91"/>
      <c r="BG344" s="91"/>
      <c r="BH344" s="91"/>
      <c r="BI344" s="91"/>
    </row>
    <row r="345" spans="1:61" s="44" customFormat="1" ht="24.95" hidden="1" customHeight="1">
      <c r="A345" s="945" t="s">
        <v>105</v>
      </c>
      <c r="B345" s="57" t="s">
        <v>89</v>
      </c>
      <c r="C345" s="57"/>
      <c r="D345" s="57"/>
      <c r="E345" s="57"/>
      <c r="F345" s="57"/>
      <c r="G345" s="80">
        <f>+G357</f>
        <v>0</v>
      </c>
      <c r="H345" s="80">
        <f t="shared" ref="H345:K345" si="123">+H357</f>
        <v>0</v>
      </c>
      <c r="I345" s="80">
        <f t="shared" si="123"/>
        <v>0</v>
      </c>
      <c r="J345" s="80">
        <f t="shared" si="123"/>
        <v>0</v>
      </c>
      <c r="K345" s="80">
        <f t="shared" si="123"/>
        <v>0</v>
      </c>
      <c r="L345" s="80">
        <f t="shared" ref="L345:M345" si="124">+L357</f>
        <v>0</v>
      </c>
      <c r="M345" s="80">
        <f t="shared" si="124"/>
        <v>0</v>
      </c>
      <c r="N345" s="607"/>
      <c r="O345" s="610"/>
      <c r="AJ345" s="91"/>
      <c r="AK345" s="91"/>
      <c r="AL345" s="91"/>
      <c r="AM345" s="91"/>
      <c r="AN345" s="91"/>
      <c r="AO345" s="91"/>
      <c r="AP345" s="91"/>
      <c r="AQ345" s="91"/>
      <c r="AR345" s="91"/>
      <c r="AS345" s="91"/>
      <c r="AT345" s="91"/>
      <c r="AU345" s="91"/>
      <c r="AV345" s="91"/>
      <c r="AW345" s="91"/>
      <c r="AX345" s="91"/>
      <c r="AY345" s="91"/>
      <c r="AZ345" s="91"/>
      <c r="BA345" s="91"/>
      <c r="BB345" s="91"/>
      <c r="BC345" s="91"/>
      <c r="BD345" s="91"/>
      <c r="BE345" s="91"/>
      <c r="BF345" s="91"/>
      <c r="BG345" s="91"/>
      <c r="BH345" s="91"/>
      <c r="BI345" s="91"/>
    </row>
    <row r="346" spans="1:61" ht="24" hidden="1" customHeight="1">
      <c r="A346" s="945"/>
      <c r="B346" s="57" t="s">
        <v>235</v>
      </c>
      <c r="C346" s="57"/>
      <c r="D346" s="57"/>
      <c r="E346" s="57"/>
      <c r="F346" s="57"/>
      <c r="G346" s="80">
        <f>G347+G348</f>
        <v>0</v>
      </c>
      <c r="H346" s="80">
        <f t="shared" ref="H346:K346" si="125">H347+H348</f>
        <v>0</v>
      </c>
      <c r="I346" s="80">
        <f t="shared" si="125"/>
        <v>0</v>
      </c>
      <c r="J346" s="80">
        <f t="shared" si="125"/>
        <v>0</v>
      </c>
      <c r="K346" s="80">
        <f t="shared" si="125"/>
        <v>0</v>
      </c>
      <c r="L346" s="80">
        <f t="shared" ref="L346:M346" si="126">L347+L348</f>
        <v>0</v>
      </c>
      <c r="M346" s="80">
        <f t="shared" si="126"/>
        <v>0</v>
      </c>
      <c r="N346" s="607"/>
      <c r="O346" s="610"/>
    </row>
    <row r="347" spans="1:61" ht="21" hidden="1" customHeight="1">
      <c r="A347" s="945"/>
      <c r="B347" s="57" t="s">
        <v>10</v>
      </c>
      <c r="C347" s="57"/>
      <c r="D347" s="57"/>
      <c r="E347" s="57"/>
      <c r="F347" s="57"/>
      <c r="G347" s="80">
        <f>G359</f>
        <v>0</v>
      </c>
      <c r="H347" s="80">
        <f t="shared" ref="H347:K347" si="127">H359</f>
        <v>0</v>
      </c>
      <c r="I347" s="80">
        <f t="shared" si="127"/>
        <v>0</v>
      </c>
      <c r="J347" s="80">
        <f t="shared" si="127"/>
        <v>0</v>
      </c>
      <c r="K347" s="80">
        <f t="shared" si="127"/>
        <v>0</v>
      </c>
      <c r="L347" s="80">
        <f t="shared" ref="L347:M347" si="128">L359</f>
        <v>0</v>
      </c>
      <c r="M347" s="80">
        <f t="shared" si="128"/>
        <v>0</v>
      </c>
      <c r="N347" s="607"/>
      <c r="O347" s="610"/>
    </row>
    <row r="348" spans="1:61" ht="25.15" hidden="1" customHeight="1">
      <c r="A348" s="945"/>
      <c r="B348" s="57" t="s">
        <v>436</v>
      </c>
      <c r="C348" s="57"/>
      <c r="D348" s="57"/>
      <c r="E348" s="57"/>
      <c r="F348" s="57"/>
      <c r="G348" s="80">
        <f>G360</f>
        <v>0</v>
      </c>
      <c r="H348" s="80"/>
      <c r="I348" s="80"/>
      <c r="J348" s="80"/>
      <c r="K348" s="80"/>
      <c r="L348" s="80">
        <f t="shared" ref="L348:M348" si="129">L360</f>
        <v>0</v>
      </c>
      <c r="M348" s="80">
        <f t="shared" si="129"/>
        <v>0</v>
      </c>
      <c r="N348" s="607"/>
      <c r="O348" s="610"/>
    </row>
    <row r="349" spans="1:61" ht="21.75" hidden="1" customHeight="1">
      <c r="A349" s="967" t="s">
        <v>20</v>
      </c>
      <c r="B349" s="546" t="s">
        <v>89</v>
      </c>
      <c r="C349" s="546">
        <v>176</v>
      </c>
      <c r="D349" s="546" t="s">
        <v>15</v>
      </c>
      <c r="E349" s="546">
        <v>6100404</v>
      </c>
      <c r="F349" s="546">
        <v>414</v>
      </c>
      <c r="G349" s="81">
        <v>0</v>
      </c>
      <c r="H349" s="81"/>
      <c r="I349" s="81"/>
      <c r="J349" s="81"/>
      <c r="K349" s="81"/>
      <c r="L349" s="81"/>
      <c r="M349" s="81"/>
      <c r="N349" s="607"/>
      <c r="O349" s="944" t="s">
        <v>195</v>
      </c>
    </row>
    <row r="350" spans="1:61" ht="24.95" hidden="1" customHeight="1">
      <c r="A350" s="968"/>
      <c r="B350" s="546" t="s">
        <v>235</v>
      </c>
      <c r="C350" s="546"/>
      <c r="D350" s="546"/>
      <c r="E350" s="546"/>
      <c r="F350" s="546"/>
      <c r="G350" s="81">
        <f t="shared" ref="G350:L350" si="130">G351+G352</f>
        <v>0</v>
      </c>
      <c r="H350" s="81"/>
      <c r="I350" s="81"/>
      <c r="J350" s="81"/>
      <c r="K350" s="81"/>
      <c r="L350" s="81">
        <f t="shared" si="130"/>
        <v>0</v>
      </c>
      <c r="M350" s="81"/>
      <c r="N350" s="607"/>
      <c r="O350" s="944"/>
    </row>
    <row r="351" spans="1:61" ht="28.5" hidden="1" customHeight="1">
      <c r="A351" s="968"/>
      <c r="B351" s="546" t="s">
        <v>10</v>
      </c>
      <c r="C351" s="546"/>
      <c r="D351" s="546"/>
      <c r="E351" s="546"/>
      <c r="F351" s="546"/>
      <c r="G351" s="81"/>
      <c r="H351" s="81"/>
      <c r="I351" s="81"/>
      <c r="J351" s="81"/>
      <c r="K351" s="81"/>
      <c r="L351" s="81"/>
      <c r="M351" s="81"/>
      <c r="N351" s="607"/>
      <c r="O351" s="944"/>
    </row>
    <row r="352" spans="1:61" ht="24.95" hidden="1" customHeight="1">
      <c r="A352" s="969"/>
      <c r="B352" s="546" t="s">
        <v>34</v>
      </c>
      <c r="C352" s="546"/>
      <c r="D352" s="546"/>
      <c r="E352" s="546"/>
      <c r="F352" s="546"/>
      <c r="G352" s="81"/>
      <c r="H352" s="81"/>
      <c r="I352" s="81"/>
      <c r="J352" s="81"/>
      <c r="K352" s="81"/>
      <c r="L352" s="81"/>
      <c r="M352" s="81"/>
      <c r="N352" s="607"/>
      <c r="O352" s="944"/>
    </row>
    <row r="353" spans="1:61" ht="24.6" hidden="1" customHeight="1">
      <c r="A353" s="943" t="s">
        <v>220</v>
      </c>
      <c r="B353" s="546" t="s">
        <v>89</v>
      </c>
      <c r="C353" s="546"/>
      <c r="D353" s="546"/>
      <c r="E353" s="546"/>
      <c r="F353" s="546"/>
      <c r="G353" s="81"/>
      <c r="H353" s="81"/>
      <c r="I353" s="81"/>
      <c r="J353" s="81"/>
      <c r="K353" s="81"/>
      <c r="L353" s="81"/>
      <c r="M353" s="81"/>
      <c r="N353" s="607"/>
      <c r="O353" s="944" t="s">
        <v>212</v>
      </c>
    </row>
    <row r="354" spans="1:61" s="44" customFormat="1" ht="24.6" hidden="1" customHeight="1">
      <c r="A354" s="943"/>
      <c r="B354" s="546" t="s">
        <v>235</v>
      </c>
      <c r="C354" s="546"/>
      <c r="D354" s="546"/>
      <c r="E354" s="546"/>
      <c r="F354" s="546"/>
      <c r="G354" s="81">
        <f t="shared" ref="G354:L354" si="131">G355+G356</f>
        <v>0</v>
      </c>
      <c r="H354" s="81"/>
      <c r="I354" s="81"/>
      <c r="J354" s="81"/>
      <c r="K354" s="81"/>
      <c r="L354" s="81">
        <f t="shared" si="131"/>
        <v>0</v>
      </c>
      <c r="M354" s="81"/>
      <c r="N354" s="607"/>
      <c r="O354" s="944"/>
      <c r="AJ354" s="91"/>
      <c r="AK354" s="91"/>
      <c r="AL354" s="91"/>
      <c r="AM354" s="91"/>
      <c r="AN354" s="91"/>
      <c r="AO354" s="91"/>
      <c r="AP354" s="91"/>
      <c r="AQ354" s="91"/>
      <c r="AR354" s="91"/>
      <c r="AS354" s="91"/>
      <c r="AT354" s="91"/>
      <c r="AU354" s="91"/>
      <c r="AV354" s="91"/>
      <c r="AW354" s="91"/>
      <c r="AX354" s="91"/>
      <c r="AY354" s="91"/>
      <c r="AZ354" s="91"/>
      <c r="BA354" s="91"/>
      <c r="BB354" s="91"/>
      <c r="BC354" s="91"/>
      <c r="BD354" s="91"/>
      <c r="BE354" s="91"/>
      <c r="BF354" s="91"/>
      <c r="BG354" s="91"/>
      <c r="BH354" s="91"/>
      <c r="BI354" s="91"/>
    </row>
    <row r="355" spans="1:61" s="44" customFormat="1" ht="24.6" hidden="1" customHeight="1">
      <c r="A355" s="943"/>
      <c r="B355" s="546" t="s">
        <v>10</v>
      </c>
      <c r="C355" s="546"/>
      <c r="D355" s="546"/>
      <c r="E355" s="546"/>
      <c r="F355" s="546"/>
      <c r="G355" s="81"/>
      <c r="H355" s="81"/>
      <c r="I355" s="81"/>
      <c r="J355" s="81"/>
      <c r="K355" s="81"/>
      <c r="L355" s="81"/>
      <c r="M355" s="81"/>
      <c r="N355" s="607"/>
      <c r="O355" s="944"/>
      <c r="AJ355" s="91"/>
      <c r="AK355" s="91"/>
      <c r="AL355" s="91"/>
      <c r="AM355" s="91"/>
      <c r="AN355" s="91"/>
      <c r="AO355" s="91"/>
      <c r="AP355" s="91"/>
      <c r="AQ355" s="91"/>
      <c r="AR355" s="91"/>
      <c r="AS355" s="91"/>
      <c r="AT355" s="91"/>
      <c r="AU355" s="91"/>
      <c r="AV355" s="91"/>
      <c r="AW355" s="91"/>
      <c r="AX355" s="91"/>
      <c r="AY355" s="91"/>
      <c r="AZ355" s="91"/>
      <c r="BA355" s="91"/>
      <c r="BB355" s="91"/>
      <c r="BC355" s="91"/>
      <c r="BD355" s="91"/>
      <c r="BE355" s="91"/>
      <c r="BF355" s="91"/>
      <c r="BG355" s="91"/>
      <c r="BH355" s="91"/>
      <c r="BI355" s="91"/>
    </row>
    <row r="356" spans="1:61" s="44" customFormat="1" ht="24.6" hidden="1" customHeight="1">
      <c r="A356" s="943"/>
      <c r="B356" s="546" t="s">
        <v>34</v>
      </c>
      <c r="C356" s="546"/>
      <c r="D356" s="546"/>
      <c r="E356" s="546"/>
      <c r="F356" s="546"/>
      <c r="G356" s="81"/>
      <c r="H356" s="81"/>
      <c r="I356" s="81"/>
      <c r="J356" s="81"/>
      <c r="K356" s="81"/>
      <c r="L356" s="81"/>
      <c r="M356" s="81"/>
      <c r="N356" s="607"/>
      <c r="O356" s="944"/>
      <c r="AJ356" s="91"/>
      <c r="AK356" s="91"/>
      <c r="AL356" s="91"/>
      <c r="AM356" s="91"/>
      <c r="AN356" s="91"/>
      <c r="AO356" s="91"/>
      <c r="AP356" s="91"/>
      <c r="AQ356" s="91"/>
      <c r="AR356" s="91"/>
      <c r="AS356" s="91"/>
      <c r="AT356" s="91"/>
      <c r="AU356" s="91"/>
      <c r="AV356" s="91"/>
      <c r="AW356" s="91"/>
      <c r="AX356" s="91"/>
      <c r="AY356" s="91"/>
      <c r="AZ356" s="91"/>
      <c r="BA356" s="91"/>
      <c r="BB356" s="91"/>
      <c r="BC356" s="91"/>
      <c r="BD356" s="91"/>
      <c r="BE356" s="91"/>
      <c r="BF356" s="91"/>
      <c r="BG356" s="91"/>
      <c r="BH356" s="91"/>
      <c r="BI356" s="91"/>
    </row>
    <row r="357" spans="1:61" s="44" customFormat="1" ht="24.95" hidden="1" customHeight="1">
      <c r="A357" s="967" t="s">
        <v>306</v>
      </c>
      <c r="B357" s="546" t="s">
        <v>89</v>
      </c>
      <c r="C357" s="546"/>
      <c r="D357" s="546"/>
      <c r="E357" s="546"/>
      <c r="F357" s="546"/>
      <c r="G357" s="81">
        <f>K357</f>
        <v>0</v>
      </c>
      <c r="H357" s="81"/>
      <c r="I357" s="81"/>
      <c r="J357" s="81"/>
      <c r="K357" s="81"/>
      <c r="L357" s="81"/>
      <c r="M357" s="81"/>
      <c r="N357" s="607"/>
      <c r="O357" s="944" t="s">
        <v>484</v>
      </c>
      <c r="AJ357" s="91"/>
      <c r="AK357" s="91"/>
      <c r="AL357" s="91"/>
      <c r="AM357" s="91"/>
      <c r="AN357" s="91"/>
      <c r="AO357" s="91"/>
      <c r="AP357" s="91"/>
      <c r="AQ357" s="91"/>
      <c r="AR357" s="91"/>
      <c r="AS357" s="91"/>
      <c r="AT357" s="91"/>
      <c r="AU357" s="91"/>
      <c r="AV357" s="91"/>
      <c r="AW357" s="91"/>
      <c r="AX357" s="91"/>
      <c r="AY357" s="91"/>
      <c r="AZ357" s="91"/>
      <c r="BA357" s="91"/>
      <c r="BB357" s="91"/>
      <c r="BC357" s="91"/>
      <c r="BD357" s="91"/>
      <c r="BE357" s="91"/>
      <c r="BF357" s="91"/>
      <c r="BG357" s="91"/>
      <c r="BH357" s="91"/>
      <c r="BI357" s="91"/>
    </row>
    <row r="358" spans="1:61" s="44" customFormat="1" ht="24.95" hidden="1" customHeight="1">
      <c r="A358" s="968"/>
      <c r="B358" s="546" t="s">
        <v>235</v>
      </c>
      <c r="C358" s="546"/>
      <c r="D358" s="546"/>
      <c r="E358" s="546"/>
      <c r="F358" s="546"/>
      <c r="G358" s="81">
        <f>G359</f>
        <v>0</v>
      </c>
      <c r="H358" s="81">
        <f t="shared" ref="H358:K358" si="132">H359</f>
        <v>0</v>
      </c>
      <c r="I358" s="81">
        <f t="shared" si="132"/>
        <v>0</v>
      </c>
      <c r="J358" s="81">
        <f t="shared" si="132"/>
        <v>0</v>
      </c>
      <c r="K358" s="81">
        <f t="shared" si="132"/>
        <v>0</v>
      </c>
      <c r="L358" s="81">
        <f>L359</f>
        <v>0</v>
      </c>
      <c r="M358" s="81"/>
      <c r="N358" s="607"/>
      <c r="O358" s="944"/>
      <c r="AJ358" s="91"/>
      <c r="AK358" s="91"/>
      <c r="AL358" s="91"/>
      <c r="AM358" s="91"/>
      <c r="AN358" s="91"/>
      <c r="AO358" s="91"/>
      <c r="AP358" s="91"/>
      <c r="AQ358" s="91"/>
      <c r="AR358" s="91"/>
      <c r="AS358" s="91"/>
      <c r="AT358" s="91"/>
      <c r="AU358" s="91"/>
      <c r="AV358" s="91"/>
      <c r="AW358" s="91"/>
      <c r="AX358" s="91"/>
      <c r="AY358" s="91"/>
      <c r="AZ358" s="91"/>
      <c r="BA358" s="91"/>
      <c r="BB358" s="91"/>
      <c r="BC358" s="91"/>
      <c r="BD358" s="91"/>
      <c r="BE358" s="91"/>
      <c r="BF358" s="91"/>
      <c r="BG358" s="91"/>
      <c r="BH358" s="91"/>
      <c r="BI358" s="91"/>
    </row>
    <row r="359" spans="1:61" s="44" customFormat="1" ht="24.95" hidden="1" customHeight="1">
      <c r="A359" s="968"/>
      <c r="B359" s="546" t="s">
        <v>10</v>
      </c>
      <c r="C359" s="546"/>
      <c r="D359" s="546"/>
      <c r="E359" s="546"/>
      <c r="F359" s="546"/>
      <c r="G359" s="81">
        <f>J359+K359</f>
        <v>0</v>
      </c>
      <c r="H359" s="81"/>
      <c r="I359" s="81"/>
      <c r="J359" s="81"/>
      <c r="K359" s="81"/>
      <c r="L359" s="81"/>
      <c r="M359" s="81"/>
      <c r="N359" s="607"/>
      <c r="O359" s="944"/>
      <c r="AJ359" s="91"/>
      <c r="AK359" s="91"/>
      <c r="AL359" s="91"/>
      <c r="AM359" s="91"/>
      <c r="AN359" s="91"/>
      <c r="AO359" s="91"/>
      <c r="AP359" s="91"/>
      <c r="AQ359" s="91"/>
      <c r="AR359" s="91"/>
      <c r="AS359" s="91"/>
      <c r="AT359" s="91"/>
      <c r="AU359" s="91"/>
      <c r="AV359" s="91"/>
      <c r="AW359" s="91"/>
      <c r="AX359" s="91"/>
      <c r="AY359" s="91"/>
      <c r="AZ359" s="91"/>
      <c r="BA359" s="91"/>
      <c r="BB359" s="91"/>
      <c r="BC359" s="91"/>
      <c r="BD359" s="91"/>
      <c r="BE359" s="91"/>
      <c r="BF359" s="91"/>
      <c r="BG359" s="91"/>
      <c r="BH359" s="91"/>
      <c r="BI359" s="91"/>
    </row>
    <row r="360" spans="1:61" s="44" customFormat="1" ht="24.95" hidden="1" customHeight="1">
      <c r="A360" s="969"/>
      <c r="B360" s="546" t="s">
        <v>436</v>
      </c>
      <c r="C360" s="546"/>
      <c r="D360" s="546"/>
      <c r="E360" s="546"/>
      <c r="F360" s="546"/>
      <c r="G360" s="81"/>
      <c r="H360" s="81"/>
      <c r="I360" s="81"/>
      <c r="J360" s="81"/>
      <c r="K360" s="81"/>
      <c r="L360" s="81"/>
      <c r="M360" s="81"/>
      <c r="N360" s="607"/>
      <c r="O360" s="944"/>
      <c r="AJ360" s="91"/>
      <c r="AK360" s="91"/>
      <c r="AL360" s="91"/>
      <c r="AM360" s="91"/>
      <c r="AN360" s="91"/>
      <c r="AO360" s="91"/>
      <c r="AP360" s="91"/>
      <c r="AQ360" s="91"/>
      <c r="AR360" s="91"/>
      <c r="AS360" s="91"/>
      <c r="AT360" s="91"/>
      <c r="AU360" s="91"/>
      <c r="AV360" s="91"/>
      <c r="AW360" s="91"/>
      <c r="AX360" s="91"/>
      <c r="AY360" s="91"/>
      <c r="AZ360" s="91"/>
      <c r="BA360" s="91"/>
      <c r="BB360" s="91"/>
      <c r="BC360" s="91"/>
      <c r="BD360" s="91"/>
      <c r="BE360" s="91"/>
      <c r="BF360" s="91"/>
      <c r="BG360" s="91"/>
      <c r="BH360" s="91"/>
      <c r="BI360" s="91"/>
    </row>
    <row r="361" spans="1:61" s="44" customFormat="1" ht="24.95" customHeight="1">
      <c r="A361" s="887" t="s">
        <v>106</v>
      </c>
      <c r="B361" s="57" t="s">
        <v>89</v>
      </c>
      <c r="C361" s="57"/>
      <c r="D361" s="57"/>
      <c r="E361" s="57"/>
      <c r="F361" s="57"/>
      <c r="G361" s="80">
        <f>G365+G369</f>
        <v>3.9</v>
      </c>
      <c r="H361" s="80">
        <f t="shared" ref="H361:K361" si="133">H365+H369</f>
        <v>0</v>
      </c>
      <c r="I361" s="80">
        <f t="shared" si="133"/>
        <v>0</v>
      </c>
      <c r="J361" s="80">
        <f t="shared" si="133"/>
        <v>0</v>
      </c>
      <c r="K361" s="80">
        <f t="shared" si="133"/>
        <v>3.9</v>
      </c>
      <c r="L361" s="80">
        <f>L365+L369</f>
        <v>0</v>
      </c>
      <c r="M361" s="80">
        <f>M365+M369</f>
        <v>0</v>
      </c>
      <c r="N361" s="607"/>
      <c r="O361" s="610"/>
      <c r="AJ361" s="91"/>
      <c r="AK361" s="91"/>
      <c r="AL361" s="91"/>
      <c r="AM361" s="91"/>
      <c r="AN361" s="91"/>
      <c r="AO361" s="91"/>
      <c r="AP361" s="91"/>
      <c r="AQ361" s="91"/>
      <c r="AR361" s="91"/>
      <c r="AS361" s="91"/>
      <c r="AT361" s="91"/>
      <c r="AU361" s="91"/>
      <c r="AV361" s="91"/>
      <c r="AW361" s="91"/>
      <c r="AX361" s="91"/>
      <c r="AY361" s="91"/>
      <c r="AZ361" s="91"/>
      <c r="BA361" s="91"/>
      <c r="BB361" s="91"/>
      <c r="BC361" s="91"/>
      <c r="BD361" s="91"/>
      <c r="BE361" s="91"/>
      <c r="BF361" s="91"/>
      <c r="BG361" s="91"/>
      <c r="BH361" s="91"/>
      <c r="BI361" s="91"/>
    </row>
    <row r="362" spans="1:61" ht="24.95" customHeight="1">
      <c r="A362" s="888"/>
      <c r="B362" s="57" t="s">
        <v>235</v>
      </c>
      <c r="C362" s="57"/>
      <c r="D362" s="57"/>
      <c r="E362" s="57"/>
      <c r="F362" s="57"/>
      <c r="G362" s="80">
        <f t="shared" ref="G362:M362" si="134">G364+G363</f>
        <v>110000</v>
      </c>
      <c r="H362" s="80">
        <f t="shared" si="134"/>
        <v>0</v>
      </c>
      <c r="I362" s="80">
        <f t="shared" si="134"/>
        <v>0</v>
      </c>
      <c r="J362" s="80">
        <f t="shared" si="134"/>
        <v>0</v>
      </c>
      <c r="K362" s="80">
        <f t="shared" si="134"/>
        <v>110000</v>
      </c>
      <c r="L362" s="80">
        <f t="shared" si="134"/>
        <v>0</v>
      </c>
      <c r="M362" s="80">
        <f t="shared" si="134"/>
        <v>0</v>
      </c>
      <c r="N362" s="607"/>
      <c r="O362" s="610"/>
    </row>
    <row r="363" spans="1:61" ht="24.95" customHeight="1">
      <c r="A363" s="888"/>
      <c r="B363" s="57" t="s">
        <v>10</v>
      </c>
      <c r="C363" s="57"/>
      <c r="D363" s="57"/>
      <c r="E363" s="57"/>
      <c r="F363" s="57"/>
      <c r="G363" s="80">
        <f t="shared" ref="G363:M364" si="135">G367+G371</f>
        <v>110000</v>
      </c>
      <c r="H363" s="80">
        <f t="shared" si="135"/>
        <v>0</v>
      </c>
      <c r="I363" s="80">
        <f t="shared" si="135"/>
        <v>0</v>
      </c>
      <c r="J363" s="80">
        <f t="shared" si="135"/>
        <v>0</v>
      </c>
      <c r="K363" s="80">
        <f t="shared" si="135"/>
        <v>110000</v>
      </c>
      <c r="L363" s="80">
        <f t="shared" si="135"/>
        <v>0</v>
      </c>
      <c r="M363" s="80">
        <f t="shared" si="135"/>
        <v>0</v>
      </c>
      <c r="N363" s="607"/>
      <c r="O363" s="610"/>
    </row>
    <row r="364" spans="1:61" ht="24.6" customHeight="1">
      <c r="A364" s="889"/>
      <c r="B364" s="57" t="s">
        <v>436</v>
      </c>
      <c r="C364" s="57"/>
      <c r="D364" s="57"/>
      <c r="E364" s="57"/>
      <c r="F364" s="57"/>
      <c r="G364" s="80">
        <f t="shared" si="135"/>
        <v>0</v>
      </c>
      <c r="H364" s="80">
        <f t="shared" si="135"/>
        <v>0</v>
      </c>
      <c r="I364" s="80">
        <f t="shared" si="135"/>
        <v>0</v>
      </c>
      <c r="J364" s="80">
        <f t="shared" si="135"/>
        <v>0</v>
      </c>
      <c r="K364" s="80">
        <f t="shared" si="135"/>
        <v>0</v>
      </c>
      <c r="L364" s="80">
        <f t="shared" si="135"/>
        <v>0</v>
      </c>
      <c r="M364" s="80">
        <f t="shared" si="135"/>
        <v>0</v>
      </c>
      <c r="N364" s="607"/>
      <c r="O364" s="610"/>
    </row>
    <row r="365" spans="1:61" ht="0.6" customHeight="1">
      <c r="A365" s="943" t="s">
        <v>21</v>
      </c>
      <c r="B365" s="553" t="s">
        <v>89</v>
      </c>
      <c r="C365" s="553">
        <v>176</v>
      </c>
      <c r="D365" s="553" t="s">
        <v>15</v>
      </c>
      <c r="E365" s="553">
        <v>6100404</v>
      </c>
      <c r="F365" s="553">
        <v>414</v>
      </c>
      <c r="G365" s="82"/>
      <c r="H365" s="82"/>
      <c r="I365" s="82"/>
      <c r="J365" s="82"/>
      <c r="K365" s="82"/>
      <c r="L365" s="82"/>
      <c r="M365" s="82"/>
      <c r="N365" s="607"/>
      <c r="O365" s="1003" t="s">
        <v>198</v>
      </c>
    </row>
    <row r="366" spans="1:61" ht="24.6" hidden="1" customHeight="1">
      <c r="A366" s="943"/>
      <c r="B366" s="553" t="s">
        <v>235</v>
      </c>
      <c r="C366" s="553"/>
      <c r="D366" s="553"/>
      <c r="E366" s="553"/>
      <c r="F366" s="553"/>
      <c r="G366" s="82">
        <f t="shared" ref="G366:L366" si="136">G367+G368</f>
        <v>0</v>
      </c>
      <c r="H366" s="82"/>
      <c r="I366" s="82"/>
      <c r="J366" s="82"/>
      <c r="K366" s="82"/>
      <c r="L366" s="82">
        <f t="shared" si="136"/>
        <v>0</v>
      </c>
      <c r="M366" s="82"/>
      <c r="N366" s="607"/>
      <c r="O366" s="1003"/>
    </row>
    <row r="367" spans="1:61" ht="24.6" hidden="1" customHeight="1">
      <c r="A367" s="943"/>
      <c r="B367" s="553" t="s">
        <v>10</v>
      </c>
      <c r="C367" s="553"/>
      <c r="D367" s="553"/>
      <c r="E367" s="553"/>
      <c r="F367" s="553"/>
      <c r="G367" s="82"/>
      <c r="H367" s="82"/>
      <c r="I367" s="82"/>
      <c r="J367" s="82"/>
      <c r="K367" s="82"/>
      <c r="L367" s="82"/>
      <c r="M367" s="82"/>
      <c r="N367" s="607"/>
      <c r="O367" s="1003"/>
    </row>
    <row r="368" spans="1:61" ht="24.6" hidden="1" customHeight="1">
      <c r="A368" s="943"/>
      <c r="B368" s="553" t="s">
        <v>34</v>
      </c>
      <c r="C368" s="553"/>
      <c r="D368" s="553"/>
      <c r="E368" s="553"/>
      <c r="F368" s="553"/>
      <c r="G368" s="82"/>
      <c r="H368" s="82"/>
      <c r="I368" s="82"/>
      <c r="J368" s="82"/>
      <c r="K368" s="82"/>
      <c r="L368" s="82"/>
      <c r="M368" s="82"/>
      <c r="N368" s="607"/>
      <c r="O368" s="1003"/>
    </row>
    <row r="369" spans="1:61" ht="24" customHeight="1">
      <c r="A369" s="943" t="s">
        <v>1091</v>
      </c>
      <c r="B369" s="546" t="s">
        <v>89</v>
      </c>
      <c r="C369" s="546"/>
      <c r="D369" s="546"/>
      <c r="E369" s="546"/>
      <c r="F369" s="546"/>
      <c r="G369" s="81">
        <f>K369</f>
        <v>3.9</v>
      </c>
      <c r="H369" s="81"/>
      <c r="I369" s="81"/>
      <c r="J369" s="81"/>
      <c r="K369" s="81">
        <v>3.9</v>
      </c>
      <c r="L369" s="81"/>
      <c r="M369" s="81"/>
      <c r="N369" s="607"/>
      <c r="O369" s="944" t="s">
        <v>1121</v>
      </c>
    </row>
    <row r="370" spans="1:61" ht="24.6" customHeight="1">
      <c r="A370" s="943"/>
      <c r="B370" s="546" t="s">
        <v>235</v>
      </c>
      <c r="C370" s="546"/>
      <c r="D370" s="546"/>
      <c r="E370" s="546"/>
      <c r="F370" s="546"/>
      <c r="G370" s="81">
        <f>K370</f>
        <v>110000</v>
      </c>
      <c r="H370" s="81"/>
      <c r="I370" s="81"/>
      <c r="J370" s="81"/>
      <c r="K370" s="81">
        <f>K371+K372</f>
        <v>110000</v>
      </c>
      <c r="L370" s="81">
        <f t="shared" ref="L370:M370" si="137">L371+L372</f>
        <v>0</v>
      </c>
      <c r="M370" s="81">
        <f t="shared" si="137"/>
        <v>0</v>
      </c>
      <c r="N370" s="607"/>
      <c r="O370" s="944"/>
    </row>
    <row r="371" spans="1:61" ht="24.6" customHeight="1">
      <c r="A371" s="943"/>
      <c r="B371" s="546" t="s">
        <v>10</v>
      </c>
      <c r="C371" s="546"/>
      <c r="D371" s="546"/>
      <c r="E371" s="546"/>
      <c r="F371" s="546"/>
      <c r="G371" s="81">
        <f t="shared" ref="G371:G372" si="138">K371</f>
        <v>110000</v>
      </c>
      <c r="H371" s="81"/>
      <c r="I371" s="81"/>
      <c r="J371" s="81"/>
      <c r="K371" s="81">
        <v>110000</v>
      </c>
      <c r="L371" s="81"/>
      <c r="M371" s="81">
        <v>0</v>
      </c>
      <c r="N371" s="607"/>
      <c r="O371" s="944"/>
    </row>
    <row r="372" spans="1:61" ht="24.6" hidden="1" customHeight="1">
      <c r="A372" s="943"/>
      <c r="B372" s="546" t="s">
        <v>436</v>
      </c>
      <c r="C372" s="546"/>
      <c r="D372" s="546"/>
      <c r="E372" s="546"/>
      <c r="F372" s="546"/>
      <c r="G372" s="81">
        <f t="shared" si="138"/>
        <v>0</v>
      </c>
      <c r="H372" s="81"/>
      <c r="I372" s="81"/>
      <c r="J372" s="81"/>
      <c r="K372" s="81"/>
      <c r="L372" s="81"/>
      <c r="M372" s="81"/>
      <c r="N372" s="607"/>
      <c r="O372" s="944"/>
    </row>
    <row r="373" spans="1:61" s="44" customFormat="1" ht="24.95" customHeight="1">
      <c r="A373" s="945" t="s">
        <v>137</v>
      </c>
      <c r="B373" s="57" t="s">
        <v>89</v>
      </c>
      <c r="C373" s="57"/>
      <c r="D373" s="57"/>
      <c r="E373" s="57"/>
      <c r="F373" s="57"/>
      <c r="G373" s="80">
        <f>K373</f>
        <v>3.4</v>
      </c>
      <c r="H373" s="80">
        <f t="shared" ref="H373:J373" si="139">H381</f>
        <v>0</v>
      </c>
      <c r="I373" s="80">
        <f t="shared" si="139"/>
        <v>0</v>
      </c>
      <c r="J373" s="80">
        <f t="shared" si="139"/>
        <v>0</v>
      </c>
      <c r="K373" s="80">
        <f>K377</f>
        <v>3.4</v>
      </c>
      <c r="L373" s="80">
        <f>L377+L381</f>
        <v>0.6</v>
      </c>
      <c r="M373" s="80">
        <f>M377+M381</f>
        <v>0</v>
      </c>
      <c r="N373" s="607"/>
      <c r="O373" s="610"/>
      <c r="AJ373" s="91"/>
      <c r="AK373" s="91"/>
      <c r="AL373" s="91"/>
      <c r="AM373" s="91"/>
      <c r="AN373" s="91"/>
      <c r="AO373" s="91"/>
      <c r="AP373" s="91"/>
      <c r="AQ373" s="91"/>
      <c r="AR373" s="91"/>
      <c r="AS373" s="91"/>
      <c r="AT373" s="91"/>
      <c r="AU373" s="91"/>
      <c r="AV373" s="91"/>
      <c r="AW373" s="91"/>
      <c r="AX373" s="91"/>
      <c r="AY373" s="91"/>
      <c r="AZ373" s="91"/>
      <c r="BA373" s="91"/>
      <c r="BB373" s="91"/>
      <c r="BC373" s="91"/>
      <c r="BD373" s="91"/>
      <c r="BE373" s="91"/>
      <c r="BF373" s="91"/>
      <c r="BG373" s="91"/>
      <c r="BH373" s="91"/>
      <c r="BI373" s="91"/>
    </row>
    <row r="374" spans="1:61" ht="24.95" customHeight="1">
      <c r="A374" s="945"/>
      <c r="B374" s="57" t="s">
        <v>235</v>
      </c>
      <c r="C374" s="57"/>
      <c r="D374" s="57"/>
      <c r="E374" s="57"/>
      <c r="F374" s="57"/>
      <c r="G374" s="80">
        <f t="shared" ref="G374:M374" si="140">G375+G376</f>
        <v>238653.5</v>
      </c>
      <c r="H374" s="80">
        <f t="shared" si="140"/>
        <v>0</v>
      </c>
      <c r="I374" s="80">
        <f t="shared" si="140"/>
        <v>0</v>
      </c>
      <c r="J374" s="80">
        <f t="shared" si="140"/>
        <v>0</v>
      </c>
      <c r="K374" s="80">
        <f t="shared" si="140"/>
        <v>238653.5</v>
      </c>
      <c r="L374" s="80">
        <f t="shared" si="140"/>
        <v>60000</v>
      </c>
      <c r="M374" s="80">
        <f t="shared" si="140"/>
        <v>0</v>
      </c>
      <c r="N374" s="607"/>
      <c r="O374" s="610"/>
    </row>
    <row r="375" spans="1:61" ht="24.95" customHeight="1">
      <c r="A375" s="945"/>
      <c r="B375" s="57" t="s">
        <v>10</v>
      </c>
      <c r="C375" s="57"/>
      <c r="D375" s="57"/>
      <c r="E375" s="57"/>
      <c r="F375" s="57"/>
      <c r="G375" s="80">
        <f>K375</f>
        <v>78653.5</v>
      </c>
      <c r="H375" s="80">
        <f t="shared" ref="H375:J375" si="141">H383</f>
        <v>0</v>
      </c>
      <c r="I375" s="80">
        <f t="shared" si="141"/>
        <v>0</v>
      </c>
      <c r="J375" s="80">
        <f t="shared" si="141"/>
        <v>0</v>
      </c>
      <c r="K375" s="80">
        <f>K379</f>
        <v>78653.5</v>
      </c>
      <c r="L375" s="80">
        <f>L379+L383</f>
        <v>60000</v>
      </c>
      <c r="M375" s="80">
        <f>M378+M383</f>
        <v>0</v>
      </c>
      <c r="N375" s="607"/>
      <c r="O375" s="610"/>
    </row>
    <row r="376" spans="1:61" ht="24.95" customHeight="1">
      <c r="A376" s="945"/>
      <c r="B376" s="57" t="s">
        <v>436</v>
      </c>
      <c r="C376" s="57"/>
      <c r="D376" s="57"/>
      <c r="E376" s="57"/>
      <c r="F376" s="57"/>
      <c r="G376" s="80">
        <f>G380</f>
        <v>160000</v>
      </c>
      <c r="H376" s="80">
        <f t="shared" ref="H376:K376" si="142">H380</f>
        <v>0</v>
      </c>
      <c r="I376" s="80">
        <f t="shared" si="142"/>
        <v>0</v>
      </c>
      <c r="J376" s="80">
        <f t="shared" si="142"/>
        <v>0</v>
      </c>
      <c r="K376" s="80">
        <f t="shared" si="142"/>
        <v>160000</v>
      </c>
      <c r="L376" s="80">
        <f>L380+L384</f>
        <v>0</v>
      </c>
      <c r="M376" s="80">
        <f>M380+M384</f>
        <v>0</v>
      </c>
      <c r="N376" s="607"/>
      <c r="O376" s="610"/>
    </row>
    <row r="377" spans="1:61" ht="24.95" customHeight="1">
      <c r="A377" s="943" t="s">
        <v>524</v>
      </c>
      <c r="B377" s="546" t="s">
        <v>89</v>
      </c>
      <c r="C377" s="546">
        <v>176</v>
      </c>
      <c r="D377" s="546" t="s">
        <v>15</v>
      </c>
      <c r="E377" s="546">
        <v>6100404</v>
      </c>
      <c r="F377" s="546">
        <v>414</v>
      </c>
      <c r="G377" s="81">
        <f>K377</f>
        <v>3.4</v>
      </c>
      <c r="H377" s="81"/>
      <c r="I377" s="81"/>
      <c r="J377" s="81"/>
      <c r="K377" s="81">
        <v>3.4</v>
      </c>
      <c r="L377" s="81">
        <v>0.6</v>
      </c>
      <c r="M377" s="81">
        <v>0</v>
      </c>
      <c r="N377" s="607"/>
      <c r="O377" s="944" t="s">
        <v>550</v>
      </c>
    </row>
    <row r="378" spans="1:61" ht="24.95" customHeight="1">
      <c r="A378" s="943"/>
      <c r="B378" s="546" t="s">
        <v>235</v>
      </c>
      <c r="C378" s="546"/>
      <c r="D378" s="546"/>
      <c r="E378" s="546"/>
      <c r="F378" s="546"/>
      <c r="G378" s="81">
        <f t="shared" ref="G378:K378" si="143">G379+G380</f>
        <v>238653.5</v>
      </c>
      <c r="H378" s="81">
        <f t="shared" si="143"/>
        <v>0</v>
      </c>
      <c r="I378" s="81">
        <f t="shared" si="143"/>
        <v>0</v>
      </c>
      <c r="J378" s="81">
        <f t="shared" si="143"/>
        <v>0</v>
      </c>
      <c r="K378" s="81">
        <f t="shared" si="143"/>
        <v>238653.5</v>
      </c>
      <c r="L378" s="81">
        <f>L379+L380</f>
        <v>60000</v>
      </c>
      <c r="M378" s="81">
        <f>M379+M380</f>
        <v>0</v>
      </c>
      <c r="N378" s="607"/>
      <c r="O378" s="944"/>
    </row>
    <row r="379" spans="1:61" ht="28.5" customHeight="1">
      <c r="A379" s="943"/>
      <c r="B379" s="546" t="s">
        <v>10</v>
      </c>
      <c r="C379" s="546"/>
      <c r="D379" s="546"/>
      <c r="E379" s="546"/>
      <c r="F379" s="546"/>
      <c r="G379" s="81">
        <f>J379+K379</f>
        <v>78653.5</v>
      </c>
      <c r="H379" s="81"/>
      <c r="I379" s="81"/>
      <c r="J379" s="81"/>
      <c r="K379" s="81">
        <v>78653.5</v>
      </c>
      <c r="L379" s="81">
        <v>60000</v>
      </c>
      <c r="M379" s="81">
        <v>0</v>
      </c>
      <c r="N379" s="607"/>
      <c r="O379" s="944"/>
    </row>
    <row r="380" spans="1:61" ht="21.75" customHeight="1">
      <c r="A380" s="943"/>
      <c r="B380" s="546" t="s">
        <v>436</v>
      </c>
      <c r="C380" s="546"/>
      <c r="D380" s="546"/>
      <c r="E380" s="546"/>
      <c r="F380" s="546"/>
      <c r="G380" s="81">
        <f>J380+K380</f>
        <v>160000</v>
      </c>
      <c r="H380" s="81"/>
      <c r="I380" s="81"/>
      <c r="J380" s="81"/>
      <c r="K380" s="81">
        <v>160000</v>
      </c>
      <c r="L380" s="81">
        <v>0</v>
      </c>
      <c r="M380" s="81"/>
      <c r="N380" s="607"/>
      <c r="O380" s="944"/>
    </row>
    <row r="381" spans="1:61" ht="24.95" hidden="1" customHeight="1">
      <c r="A381" s="943" t="s">
        <v>542</v>
      </c>
      <c r="B381" s="546" t="s">
        <v>89</v>
      </c>
      <c r="C381" s="546">
        <v>176</v>
      </c>
      <c r="D381" s="546" t="s">
        <v>15</v>
      </c>
      <c r="E381" s="546">
        <v>6100404</v>
      </c>
      <c r="F381" s="546">
        <v>414</v>
      </c>
      <c r="G381" s="81">
        <f>K381</f>
        <v>0</v>
      </c>
      <c r="H381" s="81"/>
      <c r="I381" s="81"/>
      <c r="J381" s="81"/>
      <c r="K381" s="81"/>
      <c r="L381" s="81"/>
      <c r="M381" s="81"/>
      <c r="N381" s="607"/>
      <c r="O381" s="944" t="s">
        <v>549</v>
      </c>
    </row>
    <row r="382" spans="1:61" ht="24.95" hidden="1" customHeight="1">
      <c r="A382" s="943"/>
      <c r="B382" s="546" t="s">
        <v>235</v>
      </c>
      <c r="C382" s="546"/>
      <c r="D382" s="546"/>
      <c r="E382" s="546"/>
      <c r="F382" s="546"/>
      <c r="G382" s="81">
        <f t="shared" ref="G382" si="144">G383+G384</f>
        <v>0</v>
      </c>
      <c r="H382" s="81"/>
      <c r="I382" s="81"/>
      <c r="J382" s="81"/>
      <c r="K382" s="81">
        <f>K383</f>
        <v>0</v>
      </c>
      <c r="L382" s="81">
        <f>L383</f>
        <v>0</v>
      </c>
      <c r="M382" s="81">
        <f>M383</f>
        <v>0</v>
      </c>
      <c r="N382" s="607"/>
      <c r="O382" s="944"/>
    </row>
    <row r="383" spans="1:61" ht="28.5" hidden="1" customHeight="1">
      <c r="A383" s="943"/>
      <c r="B383" s="546" t="s">
        <v>10</v>
      </c>
      <c r="C383" s="546"/>
      <c r="D383" s="546"/>
      <c r="E383" s="546"/>
      <c r="F383" s="546"/>
      <c r="G383" s="81">
        <f>J383+K383</f>
        <v>0</v>
      </c>
      <c r="H383" s="81"/>
      <c r="I383" s="81"/>
      <c r="J383" s="81"/>
      <c r="K383" s="81"/>
      <c r="L383" s="81"/>
      <c r="M383" s="81"/>
      <c r="N383" s="607"/>
      <c r="O383" s="944"/>
    </row>
    <row r="384" spans="1:61" ht="21.75" hidden="1" customHeight="1">
      <c r="A384" s="943"/>
      <c r="B384" s="546" t="s">
        <v>436</v>
      </c>
      <c r="C384" s="546"/>
      <c r="D384" s="546"/>
      <c r="E384" s="546"/>
      <c r="F384" s="546"/>
      <c r="G384" s="81">
        <f>J384+K384</f>
        <v>0</v>
      </c>
      <c r="H384" s="81"/>
      <c r="I384" s="81"/>
      <c r="J384" s="81"/>
      <c r="K384" s="81"/>
      <c r="L384" s="81"/>
      <c r="M384" s="81"/>
      <c r="N384" s="607"/>
      <c r="O384" s="944"/>
    </row>
    <row r="385" spans="1:61" ht="21.75" hidden="1" customHeight="1">
      <c r="A385" s="945" t="s">
        <v>140</v>
      </c>
      <c r="B385" s="57" t="s">
        <v>89</v>
      </c>
      <c r="C385" s="546"/>
      <c r="D385" s="546"/>
      <c r="E385" s="546"/>
      <c r="F385" s="546"/>
      <c r="G385" s="80">
        <f t="shared" ref="G385" si="145">G389</f>
        <v>0</v>
      </c>
      <c r="H385" s="80"/>
      <c r="I385" s="80"/>
      <c r="J385" s="80"/>
      <c r="K385" s="80"/>
      <c r="L385" s="80">
        <f>L393</f>
        <v>0</v>
      </c>
      <c r="M385" s="80"/>
      <c r="N385" s="607"/>
      <c r="O385" s="604"/>
    </row>
    <row r="386" spans="1:61" ht="21.75" hidden="1" customHeight="1">
      <c r="A386" s="945"/>
      <c r="B386" s="57" t="s">
        <v>235</v>
      </c>
      <c r="C386" s="546"/>
      <c r="D386" s="546"/>
      <c r="E386" s="546"/>
      <c r="F386" s="546"/>
      <c r="G386" s="80">
        <f>G387+G388</f>
        <v>0</v>
      </c>
      <c r="H386" s="80"/>
      <c r="I386" s="80"/>
      <c r="J386" s="80"/>
      <c r="K386" s="80"/>
      <c r="L386" s="80">
        <f t="shared" ref="L386" si="146">L387+L388</f>
        <v>0</v>
      </c>
      <c r="M386" s="80"/>
      <c r="N386" s="607"/>
      <c r="O386" s="604"/>
    </row>
    <row r="387" spans="1:61" ht="24.6" hidden="1" customHeight="1">
      <c r="A387" s="945"/>
      <c r="B387" s="57" t="s">
        <v>10</v>
      </c>
      <c r="C387" s="546"/>
      <c r="D387" s="546"/>
      <c r="E387" s="546"/>
      <c r="F387" s="546"/>
      <c r="G387" s="80"/>
      <c r="H387" s="80"/>
      <c r="I387" s="80"/>
      <c r="J387" s="80"/>
      <c r="K387" s="80"/>
      <c r="L387" s="80">
        <f t="shared" ref="L387" si="147">L391</f>
        <v>0</v>
      </c>
      <c r="M387" s="80"/>
      <c r="N387" s="607"/>
      <c r="O387" s="604"/>
    </row>
    <row r="388" spans="1:61" ht="24" hidden="1" customHeight="1">
      <c r="A388" s="945"/>
      <c r="B388" s="57" t="s">
        <v>34</v>
      </c>
      <c r="C388" s="546"/>
      <c r="D388" s="546"/>
      <c r="E388" s="546"/>
      <c r="F388" s="546"/>
      <c r="G388" s="80">
        <f>G392</f>
        <v>0</v>
      </c>
      <c r="H388" s="80"/>
      <c r="I388" s="80"/>
      <c r="J388" s="80"/>
      <c r="K388" s="80"/>
      <c r="L388" s="80">
        <f>L396</f>
        <v>0</v>
      </c>
      <c r="M388" s="80"/>
      <c r="N388" s="607"/>
      <c r="O388" s="604"/>
    </row>
    <row r="389" spans="1:61" ht="24.6" hidden="1" customHeight="1">
      <c r="A389" s="943" t="s">
        <v>525</v>
      </c>
      <c r="B389" s="546" t="s">
        <v>89</v>
      </c>
      <c r="C389" s="546"/>
      <c r="D389" s="546"/>
      <c r="E389" s="546"/>
      <c r="F389" s="546"/>
      <c r="G389" s="81"/>
      <c r="H389" s="81"/>
      <c r="I389" s="81"/>
      <c r="J389" s="81"/>
      <c r="K389" s="81"/>
      <c r="L389" s="81"/>
      <c r="M389" s="81"/>
      <c r="N389" s="607"/>
      <c r="O389" s="944" t="s">
        <v>221</v>
      </c>
    </row>
    <row r="390" spans="1:61" s="44" customFormat="1" ht="24.6" hidden="1" customHeight="1">
      <c r="A390" s="943"/>
      <c r="B390" s="546" t="s">
        <v>235</v>
      </c>
      <c r="C390" s="546"/>
      <c r="D390" s="546"/>
      <c r="E390" s="546"/>
      <c r="F390" s="546"/>
      <c r="G390" s="81"/>
      <c r="H390" s="81"/>
      <c r="I390" s="81"/>
      <c r="J390" s="81"/>
      <c r="K390" s="81"/>
      <c r="L390" s="81">
        <f t="shared" ref="L390" si="148">L391+L392</f>
        <v>0</v>
      </c>
      <c r="M390" s="81"/>
      <c r="N390" s="607"/>
      <c r="O390" s="944"/>
      <c r="AJ390" s="91"/>
      <c r="AK390" s="91"/>
      <c r="AL390" s="91"/>
      <c r="AM390" s="91"/>
      <c r="AN390" s="91"/>
      <c r="AO390" s="91"/>
      <c r="AP390" s="91"/>
      <c r="AQ390" s="91"/>
      <c r="AR390" s="91"/>
      <c r="AS390" s="91"/>
      <c r="AT390" s="91"/>
      <c r="AU390" s="91"/>
      <c r="AV390" s="91"/>
      <c r="AW390" s="91"/>
      <c r="AX390" s="91"/>
      <c r="AY390" s="91"/>
      <c r="AZ390" s="91"/>
      <c r="BA390" s="91"/>
      <c r="BB390" s="91"/>
      <c r="BC390" s="91"/>
      <c r="BD390" s="91"/>
      <c r="BE390" s="91"/>
      <c r="BF390" s="91"/>
      <c r="BG390" s="91"/>
      <c r="BH390" s="91"/>
      <c r="BI390" s="91"/>
    </row>
    <row r="391" spans="1:61" s="44" customFormat="1" ht="28.15" hidden="1" customHeight="1">
      <c r="A391" s="943"/>
      <c r="B391" s="546" t="s">
        <v>10</v>
      </c>
      <c r="C391" s="546"/>
      <c r="D391" s="546"/>
      <c r="E391" s="546"/>
      <c r="F391" s="546"/>
      <c r="G391" s="81"/>
      <c r="H391" s="81"/>
      <c r="I391" s="81"/>
      <c r="J391" s="81"/>
      <c r="K391" s="81"/>
      <c r="L391" s="81"/>
      <c r="M391" s="81"/>
      <c r="N391" s="607"/>
      <c r="O391" s="944"/>
      <c r="AJ391" s="91"/>
      <c r="AK391" s="91"/>
      <c r="AL391" s="91"/>
      <c r="AM391" s="91"/>
      <c r="AN391" s="91"/>
      <c r="AO391" s="91"/>
      <c r="AP391" s="91"/>
      <c r="AQ391" s="91"/>
      <c r="AR391" s="91"/>
      <c r="AS391" s="91"/>
      <c r="AT391" s="91"/>
      <c r="AU391" s="91"/>
      <c r="AV391" s="91"/>
      <c r="AW391" s="91"/>
      <c r="AX391" s="91"/>
      <c r="AY391" s="91"/>
      <c r="AZ391" s="91"/>
      <c r="BA391" s="91"/>
      <c r="BB391" s="91"/>
      <c r="BC391" s="91"/>
      <c r="BD391" s="91"/>
      <c r="BE391" s="91"/>
      <c r="BF391" s="91"/>
      <c r="BG391" s="91"/>
      <c r="BH391" s="91"/>
      <c r="BI391" s="91"/>
    </row>
    <row r="392" spans="1:61" s="44" customFormat="1" ht="24.6" hidden="1" customHeight="1">
      <c r="A392" s="943"/>
      <c r="B392" s="546" t="s">
        <v>34</v>
      </c>
      <c r="C392" s="546"/>
      <c r="D392" s="546"/>
      <c r="E392" s="546"/>
      <c r="F392" s="546"/>
      <c r="G392" s="81"/>
      <c r="H392" s="81"/>
      <c r="I392" s="81"/>
      <c r="J392" s="81"/>
      <c r="K392" s="81"/>
      <c r="L392" s="81"/>
      <c r="M392" s="81"/>
      <c r="N392" s="607"/>
      <c r="O392" s="944"/>
      <c r="AJ392" s="91"/>
      <c r="AK392" s="91"/>
      <c r="AL392" s="91"/>
      <c r="AM392" s="91"/>
      <c r="AN392" s="91"/>
      <c r="AO392" s="91"/>
      <c r="AP392" s="91"/>
      <c r="AQ392" s="91"/>
      <c r="AR392" s="91"/>
      <c r="AS392" s="91"/>
      <c r="AT392" s="91"/>
      <c r="AU392" s="91"/>
      <c r="AV392" s="91"/>
      <c r="AW392" s="91"/>
      <c r="AX392" s="91"/>
      <c r="AY392" s="91"/>
      <c r="AZ392" s="91"/>
      <c r="BA392" s="91"/>
      <c r="BB392" s="91"/>
      <c r="BC392" s="91"/>
      <c r="BD392" s="91"/>
      <c r="BE392" s="91"/>
      <c r="BF392" s="91"/>
      <c r="BG392" s="91"/>
      <c r="BH392" s="91"/>
      <c r="BI392" s="91"/>
    </row>
    <row r="393" spans="1:61" s="44" customFormat="1" ht="24.6" hidden="1" customHeight="1">
      <c r="A393" s="967" t="s">
        <v>288</v>
      </c>
      <c r="B393" s="546" t="s">
        <v>89</v>
      </c>
      <c r="C393" s="546"/>
      <c r="D393" s="546"/>
      <c r="E393" s="546"/>
      <c r="F393" s="546"/>
      <c r="G393" s="81"/>
      <c r="H393" s="81"/>
      <c r="I393" s="81"/>
      <c r="J393" s="81"/>
      <c r="K393" s="81"/>
      <c r="L393" s="81"/>
      <c r="M393" s="81"/>
      <c r="N393" s="607"/>
      <c r="O393" s="944" t="s">
        <v>217</v>
      </c>
      <c r="AJ393" s="91"/>
      <c r="AK393" s="91"/>
      <c r="AL393" s="91"/>
      <c r="AM393" s="91"/>
      <c r="AN393" s="91"/>
      <c r="AO393" s="91"/>
      <c r="AP393" s="91"/>
      <c r="AQ393" s="91"/>
      <c r="AR393" s="91"/>
      <c r="AS393" s="91"/>
      <c r="AT393" s="91"/>
      <c r="AU393" s="91"/>
      <c r="AV393" s="91"/>
      <c r="AW393" s="91"/>
      <c r="AX393" s="91"/>
      <c r="AY393" s="91"/>
      <c r="AZ393" s="91"/>
      <c r="BA393" s="91"/>
      <c r="BB393" s="91"/>
      <c r="BC393" s="91"/>
      <c r="BD393" s="91"/>
      <c r="BE393" s="91"/>
      <c r="BF393" s="91"/>
      <c r="BG393" s="91"/>
      <c r="BH393" s="91"/>
      <c r="BI393" s="91"/>
    </row>
    <row r="394" spans="1:61" s="44" customFormat="1" ht="24.6" hidden="1" customHeight="1">
      <c r="A394" s="968"/>
      <c r="B394" s="546" t="s">
        <v>235</v>
      </c>
      <c r="C394" s="546"/>
      <c r="D394" s="546"/>
      <c r="E394" s="546"/>
      <c r="F394" s="546"/>
      <c r="G394" s="81"/>
      <c r="H394" s="81"/>
      <c r="I394" s="81"/>
      <c r="J394" s="81"/>
      <c r="K394" s="81"/>
      <c r="L394" s="81">
        <f>L396</f>
        <v>0</v>
      </c>
      <c r="M394" s="81"/>
      <c r="N394" s="607"/>
      <c r="O394" s="944"/>
      <c r="AJ394" s="91"/>
      <c r="AK394" s="91"/>
      <c r="AL394" s="91"/>
      <c r="AM394" s="91"/>
      <c r="AN394" s="91"/>
      <c r="AO394" s="91"/>
      <c r="AP394" s="91"/>
      <c r="AQ394" s="91"/>
      <c r="AR394" s="91"/>
      <c r="AS394" s="91"/>
      <c r="AT394" s="91"/>
      <c r="AU394" s="91"/>
      <c r="AV394" s="91"/>
      <c r="AW394" s="91"/>
      <c r="AX394" s="91"/>
      <c r="AY394" s="91"/>
      <c r="AZ394" s="91"/>
      <c r="BA394" s="91"/>
      <c r="BB394" s="91"/>
      <c r="BC394" s="91"/>
      <c r="BD394" s="91"/>
      <c r="BE394" s="91"/>
      <c r="BF394" s="91"/>
      <c r="BG394" s="91"/>
      <c r="BH394" s="91"/>
      <c r="BI394" s="91"/>
    </row>
    <row r="395" spans="1:61" s="44" customFormat="1" ht="27.75" hidden="1" customHeight="1">
      <c r="A395" s="968"/>
      <c r="B395" s="546" t="s">
        <v>10</v>
      </c>
      <c r="C395" s="546"/>
      <c r="D395" s="546"/>
      <c r="E395" s="546"/>
      <c r="F395" s="546"/>
      <c r="G395" s="81"/>
      <c r="H395" s="81"/>
      <c r="I395" s="81"/>
      <c r="J395" s="81"/>
      <c r="K395" s="81"/>
      <c r="L395" s="81"/>
      <c r="M395" s="81"/>
      <c r="N395" s="607"/>
      <c r="O395" s="944"/>
      <c r="AJ395" s="91"/>
      <c r="AK395" s="91"/>
      <c r="AL395" s="91"/>
      <c r="AM395" s="91"/>
      <c r="AN395" s="91"/>
      <c r="AO395" s="91"/>
      <c r="AP395" s="91"/>
      <c r="AQ395" s="91"/>
      <c r="AR395" s="91"/>
      <c r="AS395" s="91"/>
      <c r="AT395" s="91"/>
      <c r="AU395" s="91"/>
      <c r="AV395" s="91"/>
      <c r="AW395" s="91"/>
      <c r="AX395" s="91"/>
      <c r="AY395" s="91"/>
      <c r="AZ395" s="91"/>
      <c r="BA395" s="91"/>
      <c r="BB395" s="91"/>
      <c r="BC395" s="91"/>
      <c r="BD395" s="91"/>
      <c r="BE395" s="91"/>
      <c r="BF395" s="91"/>
      <c r="BG395" s="91"/>
      <c r="BH395" s="91"/>
      <c r="BI395" s="91"/>
    </row>
    <row r="396" spans="1:61" s="44" customFormat="1" ht="27.75" hidden="1" customHeight="1">
      <c r="A396" s="969"/>
      <c r="B396" s="546" t="s">
        <v>34</v>
      </c>
      <c r="C396" s="546"/>
      <c r="D396" s="546"/>
      <c r="E396" s="546"/>
      <c r="F396" s="546"/>
      <c r="G396" s="81"/>
      <c r="H396" s="81"/>
      <c r="I396" s="81"/>
      <c r="J396" s="81"/>
      <c r="K396" s="81"/>
      <c r="L396" s="81"/>
      <c r="M396" s="81"/>
      <c r="N396" s="607"/>
      <c r="O396" s="944"/>
      <c r="AJ396" s="91"/>
      <c r="AK396" s="91"/>
      <c r="AL396" s="91"/>
      <c r="AM396" s="91"/>
      <c r="AN396" s="91"/>
      <c r="AO396" s="91"/>
      <c r="AP396" s="91"/>
      <c r="AQ396" s="91"/>
      <c r="AR396" s="91"/>
      <c r="AS396" s="91"/>
      <c r="AT396" s="91"/>
      <c r="AU396" s="91"/>
      <c r="AV396" s="91"/>
      <c r="AW396" s="91"/>
      <c r="AX396" s="91"/>
      <c r="AY396" s="91"/>
      <c r="AZ396" s="91"/>
      <c r="BA396" s="91"/>
      <c r="BB396" s="91"/>
      <c r="BC396" s="91"/>
      <c r="BD396" s="91"/>
      <c r="BE396" s="91"/>
      <c r="BF396" s="91"/>
      <c r="BG396" s="91"/>
      <c r="BH396" s="91"/>
      <c r="BI396" s="91"/>
    </row>
    <row r="397" spans="1:61" s="44" customFormat="1" ht="27.75" customHeight="1">
      <c r="A397" s="945" t="s">
        <v>107</v>
      </c>
      <c r="B397" s="57" t="s">
        <v>89</v>
      </c>
      <c r="C397" s="57"/>
      <c r="D397" s="57"/>
      <c r="E397" s="57"/>
      <c r="F397" s="57"/>
      <c r="G397" s="80">
        <f t="shared" ref="G397:M397" si="149">G401+G405+G409</f>
        <v>0</v>
      </c>
      <c r="H397" s="80">
        <f t="shared" si="149"/>
        <v>0</v>
      </c>
      <c r="I397" s="80">
        <f t="shared" si="149"/>
        <v>0</v>
      </c>
      <c r="J397" s="80">
        <f t="shared" si="149"/>
        <v>0</v>
      </c>
      <c r="K397" s="80">
        <f t="shared" si="149"/>
        <v>0</v>
      </c>
      <c r="L397" s="80">
        <f t="shared" si="149"/>
        <v>0</v>
      </c>
      <c r="M397" s="80">
        <f t="shared" si="149"/>
        <v>3</v>
      </c>
      <c r="N397" s="607"/>
      <c r="O397" s="610"/>
      <c r="AJ397" s="91"/>
      <c r="AK397" s="91"/>
      <c r="AL397" s="91"/>
      <c r="AM397" s="91"/>
      <c r="AN397" s="91"/>
      <c r="AO397" s="91"/>
      <c r="AP397" s="91"/>
      <c r="AQ397" s="91"/>
      <c r="AR397" s="91"/>
      <c r="AS397" s="91"/>
      <c r="AT397" s="91"/>
      <c r="AU397" s="91"/>
      <c r="AV397" s="91"/>
      <c r="AW397" s="91"/>
      <c r="AX397" s="91"/>
      <c r="AY397" s="91"/>
      <c r="AZ397" s="91"/>
      <c r="BA397" s="91"/>
      <c r="BB397" s="91"/>
      <c r="BC397" s="91"/>
      <c r="BD397" s="91"/>
      <c r="BE397" s="91"/>
      <c r="BF397" s="91"/>
      <c r="BG397" s="91"/>
      <c r="BH397" s="91"/>
      <c r="BI397" s="91"/>
    </row>
    <row r="398" spans="1:61" ht="24.95" customHeight="1">
      <c r="A398" s="945"/>
      <c r="B398" s="57" t="s">
        <v>235</v>
      </c>
      <c r="C398" s="57"/>
      <c r="D398" s="57"/>
      <c r="E398" s="57"/>
      <c r="F398" s="57"/>
      <c r="G398" s="80">
        <f t="shared" ref="G398:M398" si="150">G399+G400</f>
        <v>0</v>
      </c>
      <c r="H398" s="80">
        <f t="shared" si="150"/>
        <v>0</v>
      </c>
      <c r="I398" s="80">
        <f t="shared" si="150"/>
        <v>0</v>
      </c>
      <c r="J398" s="80">
        <f t="shared" si="150"/>
        <v>0</v>
      </c>
      <c r="K398" s="80">
        <f t="shared" si="150"/>
        <v>0</v>
      </c>
      <c r="L398" s="80">
        <f t="shared" si="150"/>
        <v>0</v>
      </c>
      <c r="M398" s="80">
        <f t="shared" si="150"/>
        <v>110524.9</v>
      </c>
      <c r="N398" s="607"/>
      <c r="O398" s="610"/>
    </row>
    <row r="399" spans="1:61" ht="24.95" customHeight="1">
      <c r="A399" s="945"/>
      <c r="B399" s="57" t="s">
        <v>10</v>
      </c>
      <c r="C399" s="57"/>
      <c r="D399" s="57"/>
      <c r="E399" s="57"/>
      <c r="F399" s="57"/>
      <c r="G399" s="80">
        <f t="shared" ref="G399:M400" si="151">G403+G407+G411</f>
        <v>0</v>
      </c>
      <c r="H399" s="80">
        <f t="shared" si="151"/>
        <v>0</v>
      </c>
      <c r="I399" s="80">
        <f t="shared" si="151"/>
        <v>0</v>
      </c>
      <c r="J399" s="80">
        <f t="shared" si="151"/>
        <v>0</v>
      </c>
      <c r="K399" s="80">
        <f t="shared" si="151"/>
        <v>0</v>
      </c>
      <c r="L399" s="80">
        <f t="shared" si="151"/>
        <v>0</v>
      </c>
      <c r="M399" s="80">
        <f t="shared" si="151"/>
        <v>110524.9</v>
      </c>
      <c r="N399" s="607"/>
      <c r="O399" s="610"/>
    </row>
    <row r="400" spans="1:61" ht="24.6" customHeight="1">
      <c r="A400" s="945"/>
      <c r="B400" s="57" t="s">
        <v>436</v>
      </c>
      <c r="C400" s="57"/>
      <c r="D400" s="57"/>
      <c r="E400" s="57"/>
      <c r="F400" s="57"/>
      <c r="G400" s="80">
        <f t="shared" si="151"/>
        <v>0</v>
      </c>
      <c r="H400" s="80"/>
      <c r="I400" s="80"/>
      <c r="J400" s="80"/>
      <c r="K400" s="80">
        <f>K412</f>
        <v>0</v>
      </c>
      <c r="L400" s="80">
        <f t="shared" si="151"/>
        <v>0</v>
      </c>
      <c r="M400" s="80">
        <f t="shared" si="151"/>
        <v>0</v>
      </c>
      <c r="N400" s="607"/>
      <c r="O400" s="610"/>
    </row>
    <row r="401" spans="1:15" ht="24.95" hidden="1" customHeight="1">
      <c r="A401" s="932" t="s">
        <v>200</v>
      </c>
      <c r="B401" s="546" t="s">
        <v>89</v>
      </c>
      <c r="C401" s="546">
        <v>176</v>
      </c>
      <c r="D401" s="546" t="s">
        <v>15</v>
      </c>
      <c r="E401" s="546">
        <v>6100404</v>
      </c>
      <c r="F401" s="546">
        <v>414</v>
      </c>
      <c r="G401" s="81">
        <v>0</v>
      </c>
      <c r="H401" s="81"/>
      <c r="I401" s="81"/>
      <c r="J401" s="81"/>
      <c r="K401" s="81"/>
      <c r="L401" s="81"/>
      <c r="M401" s="81"/>
      <c r="N401" s="607"/>
      <c r="O401" s="944" t="s">
        <v>199</v>
      </c>
    </row>
    <row r="402" spans="1:15" ht="21.75" hidden="1" customHeight="1">
      <c r="A402" s="932"/>
      <c r="B402" s="546" t="s">
        <v>235</v>
      </c>
      <c r="C402" s="546"/>
      <c r="D402" s="546"/>
      <c r="E402" s="546"/>
      <c r="F402" s="546"/>
      <c r="G402" s="81">
        <f t="shared" ref="G402:L402" si="152">G403+G404</f>
        <v>0</v>
      </c>
      <c r="H402" s="81"/>
      <c r="I402" s="81"/>
      <c r="J402" s="81"/>
      <c r="K402" s="81"/>
      <c r="L402" s="81">
        <f t="shared" si="152"/>
        <v>0</v>
      </c>
      <c r="M402" s="81"/>
      <c r="N402" s="607"/>
      <c r="O402" s="944"/>
    </row>
    <row r="403" spans="1:15" ht="24.95" hidden="1" customHeight="1">
      <c r="A403" s="932"/>
      <c r="B403" s="546" t="s">
        <v>10</v>
      </c>
      <c r="C403" s="546"/>
      <c r="D403" s="546"/>
      <c r="E403" s="546"/>
      <c r="F403" s="546"/>
      <c r="G403" s="81"/>
      <c r="H403" s="81"/>
      <c r="I403" s="81"/>
      <c r="J403" s="81"/>
      <c r="K403" s="81"/>
      <c r="L403" s="81"/>
      <c r="M403" s="81"/>
      <c r="N403" s="607"/>
      <c r="O403" s="944"/>
    </row>
    <row r="404" spans="1:15" ht="24.95" hidden="1" customHeight="1">
      <c r="A404" s="932"/>
      <c r="B404" s="546" t="s">
        <v>34</v>
      </c>
      <c r="C404" s="546"/>
      <c r="D404" s="546"/>
      <c r="E404" s="546"/>
      <c r="F404" s="546"/>
      <c r="G404" s="81"/>
      <c r="H404" s="81"/>
      <c r="I404" s="81"/>
      <c r="J404" s="81"/>
      <c r="K404" s="81"/>
      <c r="L404" s="81"/>
      <c r="M404" s="81"/>
      <c r="N404" s="607"/>
      <c r="O404" s="944"/>
    </row>
    <row r="405" spans="1:15" ht="24.6" hidden="1" customHeight="1">
      <c r="A405" s="1008" t="s">
        <v>267</v>
      </c>
      <c r="B405" s="546" t="s">
        <v>89</v>
      </c>
      <c r="C405" s="546"/>
      <c r="D405" s="546"/>
      <c r="E405" s="546"/>
      <c r="F405" s="546"/>
      <c r="G405" s="81"/>
      <c r="H405" s="81"/>
      <c r="I405" s="81"/>
      <c r="J405" s="81"/>
      <c r="K405" s="81"/>
      <c r="L405" s="81"/>
      <c r="M405" s="81"/>
      <c r="N405" s="607"/>
      <c r="O405" s="944" t="s">
        <v>244</v>
      </c>
    </row>
    <row r="406" spans="1:15" ht="24.6" hidden="1" customHeight="1">
      <c r="A406" s="1009"/>
      <c r="B406" s="546" t="s">
        <v>235</v>
      </c>
      <c r="C406" s="546"/>
      <c r="D406" s="546"/>
      <c r="E406" s="546"/>
      <c r="F406" s="546"/>
      <c r="G406" s="81">
        <f t="shared" ref="G406:L406" si="153">G407+G408</f>
        <v>0</v>
      </c>
      <c r="H406" s="81"/>
      <c r="I406" s="81"/>
      <c r="J406" s="81"/>
      <c r="K406" s="81"/>
      <c r="L406" s="81">
        <f t="shared" si="153"/>
        <v>0</v>
      </c>
      <c r="M406" s="81"/>
      <c r="N406" s="607"/>
      <c r="O406" s="944"/>
    </row>
    <row r="407" spans="1:15" ht="27" hidden="1" customHeight="1">
      <c r="A407" s="1009"/>
      <c r="B407" s="546" t="s">
        <v>10</v>
      </c>
      <c r="C407" s="546"/>
      <c r="D407" s="546"/>
      <c r="E407" s="546"/>
      <c r="F407" s="546"/>
      <c r="G407" s="81"/>
      <c r="H407" s="81"/>
      <c r="I407" s="81"/>
      <c r="J407" s="81"/>
      <c r="K407" s="81"/>
      <c r="L407" s="81"/>
      <c r="M407" s="81"/>
      <c r="N407" s="607"/>
      <c r="O407" s="944"/>
    </row>
    <row r="408" spans="1:15" ht="24.6" hidden="1" customHeight="1">
      <c r="A408" s="1010"/>
      <c r="B408" s="546" t="s">
        <v>34</v>
      </c>
      <c r="C408" s="546"/>
      <c r="D408" s="546"/>
      <c r="E408" s="546"/>
      <c r="F408" s="546"/>
      <c r="G408" s="81"/>
      <c r="H408" s="81"/>
      <c r="I408" s="81"/>
      <c r="J408" s="81"/>
      <c r="K408" s="81"/>
      <c r="L408" s="81"/>
      <c r="M408" s="81"/>
      <c r="N408" s="607"/>
      <c r="O408" s="944"/>
    </row>
    <row r="409" spans="1:15" ht="24.95" customHeight="1">
      <c r="A409" s="964" t="s">
        <v>1090</v>
      </c>
      <c r="B409" s="553" t="s">
        <v>89</v>
      </c>
      <c r="C409" s="553"/>
      <c r="D409" s="553"/>
      <c r="E409" s="553"/>
      <c r="F409" s="553"/>
      <c r="G409" s="81">
        <f>K409</f>
        <v>0</v>
      </c>
      <c r="H409" s="81"/>
      <c r="I409" s="81"/>
      <c r="J409" s="81"/>
      <c r="K409" s="81"/>
      <c r="L409" s="81"/>
      <c r="M409" s="81">
        <v>3</v>
      </c>
      <c r="N409" s="607"/>
      <c r="O409" s="944" t="s">
        <v>899</v>
      </c>
    </row>
    <row r="410" spans="1:15" ht="24.95" customHeight="1">
      <c r="A410" s="964"/>
      <c r="B410" s="553" t="s">
        <v>235</v>
      </c>
      <c r="C410" s="553"/>
      <c r="D410" s="553"/>
      <c r="E410" s="553"/>
      <c r="F410" s="553"/>
      <c r="G410" s="81">
        <f t="shared" ref="G410:L410" si="154">G411+G412</f>
        <v>0</v>
      </c>
      <c r="H410" s="81">
        <f t="shared" si="154"/>
        <v>0</v>
      </c>
      <c r="I410" s="81">
        <f t="shared" si="154"/>
        <v>0</v>
      </c>
      <c r="J410" s="81">
        <f t="shared" si="154"/>
        <v>0</v>
      </c>
      <c r="K410" s="81">
        <f t="shared" si="154"/>
        <v>0</v>
      </c>
      <c r="L410" s="81">
        <f t="shared" si="154"/>
        <v>0</v>
      </c>
      <c r="M410" s="81">
        <f>M411+M412</f>
        <v>110524.9</v>
      </c>
      <c r="N410" s="607"/>
      <c r="O410" s="944"/>
    </row>
    <row r="411" spans="1:15" ht="27" customHeight="1">
      <c r="A411" s="964"/>
      <c r="B411" s="553" t="s">
        <v>10</v>
      </c>
      <c r="C411" s="553"/>
      <c r="D411" s="553"/>
      <c r="E411" s="553"/>
      <c r="F411" s="553"/>
      <c r="G411" s="81">
        <f>J411+K411</f>
        <v>0</v>
      </c>
      <c r="H411" s="81"/>
      <c r="I411" s="81"/>
      <c r="J411" s="81"/>
      <c r="K411" s="81"/>
      <c r="L411" s="81"/>
      <c r="M411" s="81">
        <f>130524.9-20000</f>
        <v>110524.9</v>
      </c>
      <c r="N411" s="607"/>
      <c r="O411" s="944"/>
    </row>
    <row r="412" spans="1:15" ht="24.95" customHeight="1">
      <c r="A412" s="964"/>
      <c r="B412" s="553" t="s">
        <v>436</v>
      </c>
      <c r="C412" s="553"/>
      <c r="D412" s="553"/>
      <c r="E412" s="553"/>
      <c r="F412" s="553"/>
      <c r="G412" s="81">
        <f>K412</f>
        <v>0</v>
      </c>
      <c r="H412" s="81"/>
      <c r="I412" s="81"/>
      <c r="J412" s="81"/>
      <c r="K412" s="81"/>
      <c r="L412" s="81"/>
      <c r="M412" s="81"/>
      <c r="N412" s="607"/>
      <c r="O412" s="944"/>
    </row>
    <row r="413" spans="1:15" ht="21" hidden="1" customHeight="1">
      <c r="A413" s="981" t="s">
        <v>862</v>
      </c>
      <c r="B413" s="57" t="s">
        <v>89</v>
      </c>
      <c r="C413" s="546"/>
      <c r="D413" s="546"/>
      <c r="E413" s="546"/>
      <c r="F413" s="546"/>
      <c r="G413" s="80">
        <f>G417+G429+G421</f>
        <v>0</v>
      </c>
      <c r="H413" s="80"/>
      <c r="I413" s="80"/>
      <c r="J413" s="80"/>
      <c r="K413" s="80"/>
      <c r="L413" s="80">
        <f>L417+L429+L421</f>
        <v>0</v>
      </c>
      <c r="M413" s="80"/>
      <c r="N413" s="607"/>
      <c r="O413" s="604"/>
    </row>
    <row r="414" spans="1:15" ht="24.6" hidden="1" customHeight="1">
      <c r="A414" s="981"/>
      <c r="B414" s="57" t="s">
        <v>235</v>
      </c>
      <c r="C414" s="546"/>
      <c r="D414" s="546"/>
      <c r="E414" s="546"/>
      <c r="F414" s="546"/>
      <c r="G414" s="80">
        <f t="shared" ref="G414:L414" si="155">G415+G416</f>
        <v>0</v>
      </c>
      <c r="H414" s="80">
        <f t="shared" si="155"/>
        <v>0</v>
      </c>
      <c r="I414" s="80">
        <f t="shared" si="155"/>
        <v>0</v>
      </c>
      <c r="J414" s="80">
        <f t="shared" si="155"/>
        <v>0</v>
      </c>
      <c r="K414" s="80">
        <f t="shared" si="155"/>
        <v>0</v>
      </c>
      <c r="L414" s="80">
        <f t="shared" si="155"/>
        <v>0</v>
      </c>
      <c r="M414" s="80"/>
      <c r="N414" s="867" t="s">
        <v>758</v>
      </c>
      <c r="O414" s="867" t="s">
        <v>780</v>
      </c>
    </row>
    <row r="415" spans="1:15" ht="24.6" hidden="1" customHeight="1">
      <c r="A415" s="981"/>
      <c r="B415" s="57" t="s">
        <v>10</v>
      </c>
      <c r="C415" s="546"/>
      <c r="D415" s="546"/>
      <c r="E415" s="546"/>
      <c r="F415" s="546"/>
      <c r="G415" s="80">
        <f>G419+G431</f>
        <v>0</v>
      </c>
      <c r="H415" s="80"/>
      <c r="I415" s="80"/>
      <c r="J415" s="80"/>
      <c r="K415" s="80"/>
      <c r="L415" s="80">
        <f>L419+L431</f>
        <v>0</v>
      </c>
      <c r="M415" s="80"/>
      <c r="N415" s="906"/>
      <c r="O415" s="906"/>
    </row>
    <row r="416" spans="1:15" ht="22.9" hidden="1" customHeight="1">
      <c r="A416" s="981"/>
      <c r="B416" s="57" t="s">
        <v>34</v>
      </c>
      <c r="C416" s="546"/>
      <c r="D416" s="546"/>
      <c r="E416" s="546"/>
      <c r="F416" s="546"/>
      <c r="G416" s="80">
        <f>G420+G432+G424</f>
        <v>0</v>
      </c>
      <c r="H416" s="80">
        <f t="shared" ref="H416:K416" si="156">H420+H432+H424</f>
        <v>0</v>
      </c>
      <c r="I416" s="80">
        <f t="shared" si="156"/>
        <v>0</v>
      </c>
      <c r="J416" s="80">
        <f t="shared" si="156"/>
        <v>0</v>
      </c>
      <c r="K416" s="80">
        <f t="shared" si="156"/>
        <v>0</v>
      </c>
      <c r="L416" s="80">
        <f>L420+L432+L424</f>
        <v>0</v>
      </c>
      <c r="M416" s="80"/>
      <c r="N416" s="906"/>
      <c r="O416" s="868"/>
    </row>
    <row r="417" spans="1:15" ht="24.6" hidden="1" customHeight="1">
      <c r="A417" s="957" t="s">
        <v>860</v>
      </c>
      <c r="B417" s="553" t="s">
        <v>89</v>
      </c>
      <c r="C417" s="553"/>
      <c r="D417" s="553"/>
      <c r="E417" s="553"/>
      <c r="F417" s="553"/>
      <c r="G417" s="81"/>
      <c r="H417" s="81"/>
      <c r="I417" s="81"/>
      <c r="J417" s="81"/>
      <c r="K417" s="81"/>
      <c r="L417" s="81"/>
      <c r="M417" s="81"/>
      <c r="N417" s="906"/>
      <c r="O417" s="961" t="s">
        <v>872</v>
      </c>
    </row>
    <row r="418" spans="1:15" ht="24.6" hidden="1" customHeight="1">
      <c r="A418" s="958"/>
      <c r="B418" s="553" t="s">
        <v>235</v>
      </c>
      <c r="C418" s="553"/>
      <c r="D418" s="553"/>
      <c r="E418" s="553"/>
      <c r="F418" s="553"/>
      <c r="G418" s="81">
        <f t="shared" ref="G418:L418" si="157">G419+G420</f>
        <v>0</v>
      </c>
      <c r="H418" s="81">
        <f t="shared" si="157"/>
        <v>0</v>
      </c>
      <c r="I418" s="81">
        <f t="shared" si="157"/>
        <v>0</v>
      </c>
      <c r="J418" s="81">
        <f t="shared" si="157"/>
        <v>0</v>
      </c>
      <c r="K418" s="81">
        <f t="shared" si="157"/>
        <v>0</v>
      </c>
      <c r="L418" s="81">
        <f t="shared" si="157"/>
        <v>0</v>
      </c>
      <c r="M418" s="81"/>
      <c r="N418" s="906"/>
      <c r="O418" s="962"/>
    </row>
    <row r="419" spans="1:15" ht="47.25" hidden="1" customHeight="1">
      <c r="A419" s="958"/>
      <c r="B419" s="553" t="s">
        <v>10</v>
      </c>
      <c r="C419" s="553"/>
      <c r="D419" s="553"/>
      <c r="E419" s="553"/>
      <c r="F419" s="553"/>
      <c r="G419" s="81"/>
      <c r="H419" s="81"/>
      <c r="I419" s="81"/>
      <c r="J419" s="81"/>
      <c r="K419" s="81"/>
      <c r="L419" s="81"/>
      <c r="M419" s="81"/>
      <c r="N419" s="906"/>
      <c r="O419" s="962"/>
    </row>
    <row r="420" spans="1:15" ht="201.75" hidden="1" customHeight="1">
      <c r="A420" s="959"/>
      <c r="B420" s="553" t="s">
        <v>34</v>
      </c>
      <c r="C420" s="553"/>
      <c r="D420" s="553"/>
      <c r="E420" s="553"/>
      <c r="F420" s="553"/>
      <c r="G420" s="81">
        <f>K420</f>
        <v>0</v>
      </c>
      <c r="H420" s="81"/>
      <c r="I420" s="81"/>
      <c r="J420" s="81"/>
      <c r="K420" s="81"/>
      <c r="L420" s="81"/>
      <c r="M420" s="81"/>
      <c r="N420" s="906"/>
      <c r="O420" s="963"/>
    </row>
    <row r="421" spans="1:15" ht="0.6" customHeight="1">
      <c r="A421" s="957" t="s">
        <v>861</v>
      </c>
      <c r="B421" s="546" t="s">
        <v>89</v>
      </c>
      <c r="C421" s="546"/>
      <c r="D421" s="546"/>
      <c r="E421" s="546"/>
      <c r="F421" s="546"/>
      <c r="G421" s="81"/>
      <c r="H421" s="81"/>
      <c r="I421" s="81"/>
      <c r="J421" s="81"/>
      <c r="K421" s="81"/>
      <c r="L421" s="81"/>
      <c r="M421" s="81"/>
      <c r="N421" s="906"/>
      <c r="O421" s="960" t="s">
        <v>871</v>
      </c>
    </row>
    <row r="422" spans="1:15" ht="30.75" hidden="1" customHeight="1">
      <c r="A422" s="958"/>
      <c r="B422" s="546" t="s">
        <v>235</v>
      </c>
      <c r="C422" s="546"/>
      <c r="D422" s="546"/>
      <c r="E422" s="546"/>
      <c r="F422" s="546"/>
      <c r="G422" s="81">
        <f>G423+G424</f>
        <v>0</v>
      </c>
      <c r="H422" s="81"/>
      <c r="I422" s="81"/>
      <c r="J422" s="81"/>
      <c r="K422" s="81">
        <f>K424</f>
        <v>0</v>
      </c>
      <c r="L422" s="81">
        <f t="shared" ref="L422" si="158">L423+L424</f>
        <v>0</v>
      </c>
      <c r="M422" s="81"/>
      <c r="N422" s="906"/>
      <c r="O422" s="960"/>
    </row>
    <row r="423" spans="1:15" ht="24.6" hidden="1" customHeight="1">
      <c r="A423" s="958"/>
      <c r="B423" s="546" t="s">
        <v>10</v>
      </c>
      <c r="C423" s="546"/>
      <c r="D423" s="546"/>
      <c r="E423" s="546"/>
      <c r="F423" s="546"/>
      <c r="G423" s="81"/>
      <c r="H423" s="81"/>
      <c r="I423" s="81"/>
      <c r="J423" s="81"/>
      <c r="K423" s="81"/>
      <c r="L423" s="81"/>
      <c r="M423" s="81"/>
      <c r="N423" s="906"/>
      <c r="O423" s="960"/>
    </row>
    <row r="424" spans="1:15" ht="172.5" hidden="1" customHeight="1">
      <c r="A424" s="959"/>
      <c r="B424" s="546" t="s">
        <v>34</v>
      </c>
      <c r="C424" s="546"/>
      <c r="D424" s="546"/>
      <c r="E424" s="546"/>
      <c r="F424" s="546"/>
      <c r="G424" s="81">
        <f>K424</f>
        <v>0</v>
      </c>
      <c r="H424" s="81"/>
      <c r="I424" s="81"/>
      <c r="J424" s="81"/>
      <c r="K424" s="81"/>
      <c r="L424" s="81"/>
      <c r="M424" s="81"/>
      <c r="N424" s="868"/>
      <c r="O424" s="960"/>
    </row>
    <row r="425" spans="1:15" ht="24.6" hidden="1" customHeight="1">
      <c r="A425" s="957" t="s">
        <v>274</v>
      </c>
      <c r="B425" s="546" t="s">
        <v>89</v>
      </c>
      <c r="C425" s="546"/>
      <c r="D425" s="546"/>
      <c r="E425" s="546"/>
      <c r="F425" s="546"/>
      <c r="G425" s="81"/>
      <c r="H425" s="81"/>
      <c r="I425" s="81"/>
      <c r="J425" s="81"/>
      <c r="K425" s="81"/>
      <c r="L425" s="81"/>
      <c r="M425" s="81"/>
      <c r="N425" s="607"/>
      <c r="O425" s="944" t="s">
        <v>273</v>
      </c>
    </row>
    <row r="426" spans="1:15" ht="24.6" hidden="1" customHeight="1">
      <c r="A426" s="958"/>
      <c r="B426" s="546" t="s">
        <v>235</v>
      </c>
      <c r="C426" s="546"/>
      <c r="D426" s="546"/>
      <c r="E426" s="546"/>
      <c r="F426" s="546"/>
      <c r="G426" s="81">
        <f>G427+G428</f>
        <v>0</v>
      </c>
      <c r="H426" s="81"/>
      <c r="I426" s="81"/>
      <c r="J426" s="81"/>
      <c r="K426" s="81"/>
      <c r="L426" s="81">
        <f t="shared" ref="L426" si="159">L427+L428</f>
        <v>0</v>
      </c>
      <c r="M426" s="81"/>
      <c r="N426" s="607"/>
      <c r="O426" s="944"/>
    </row>
    <row r="427" spans="1:15" ht="24.6" hidden="1" customHeight="1">
      <c r="A427" s="958"/>
      <c r="B427" s="546" t="s">
        <v>10</v>
      </c>
      <c r="C427" s="546"/>
      <c r="D427" s="546"/>
      <c r="E427" s="546"/>
      <c r="F427" s="546"/>
      <c r="G427" s="81"/>
      <c r="H427" s="81"/>
      <c r="I427" s="81"/>
      <c r="J427" s="81"/>
      <c r="K427" s="81"/>
      <c r="L427" s="81"/>
      <c r="M427" s="81"/>
      <c r="N427" s="607"/>
      <c r="O427" s="944"/>
    </row>
    <row r="428" spans="1:15" ht="24.6" hidden="1" customHeight="1">
      <c r="A428" s="959"/>
      <c r="B428" s="546" t="s">
        <v>34</v>
      </c>
      <c r="C428" s="546"/>
      <c r="D428" s="546"/>
      <c r="E428" s="546"/>
      <c r="F428" s="546"/>
      <c r="G428" s="81"/>
      <c r="H428" s="81"/>
      <c r="I428" s="81"/>
      <c r="J428" s="81"/>
      <c r="K428" s="81"/>
      <c r="L428" s="81"/>
      <c r="M428" s="81"/>
      <c r="N428" s="607"/>
      <c r="O428" s="944"/>
    </row>
    <row r="429" spans="1:15" ht="24.6" hidden="1" customHeight="1">
      <c r="A429" s="964" t="s">
        <v>222</v>
      </c>
      <c r="B429" s="546" t="s">
        <v>89</v>
      </c>
      <c r="C429" s="546"/>
      <c r="D429" s="546"/>
      <c r="E429" s="546"/>
      <c r="F429" s="546"/>
      <c r="G429" s="81">
        <v>0</v>
      </c>
      <c r="H429" s="81"/>
      <c r="I429" s="81"/>
      <c r="J429" s="81"/>
      <c r="K429" s="81"/>
      <c r="L429" s="81">
        <v>0</v>
      </c>
      <c r="M429" s="81"/>
      <c r="N429" s="607"/>
      <c r="O429" s="944" t="s">
        <v>219</v>
      </c>
    </row>
    <row r="430" spans="1:15" ht="31.15" hidden="1" customHeight="1">
      <c r="A430" s="964"/>
      <c r="B430" s="546" t="s">
        <v>235</v>
      </c>
      <c r="C430" s="546"/>
      <c r="D430" s="546"/>
      <c r="E430" s="546"/>
      <c r="F430" s="546"/>
      <c r="G430" s="81">
        <f t="shared" ref="G430:L430" si="160">G431+G432</f>
        <v>0</v>
      </c>
      <c r="H430" s="81"/>
      <c r="I430" s="81"/>
      <c r="J430" s="81"/>
      <c r="K430" s="81"/>
      <c r="L430" s="81">
        <f t="shared" si="160"/>
        <v>0</v>
      </c>
      <c r="M430" s="81"/>
      <c r="N430" s="607"/>
      <c r="O430" s="944"/>
    </row>
    <row r="431" spans="1:15" ht="27" hidden="1" customHeight="1">
      <c r="A431" s="964"/>
      <c r="B431" s="546" t="s">
        <v>10</v>
      </c>
      <c r="C431" s="546"/>
      <c r="D431" s="546"/>
      <c r="E431" s="546"/>
      <c r="F431" s="546"/>
      <c r="G431" s="81"/>
      <c r="H431" s="81"/>
      <c r="I431" s="81"/>
      <c r="J431" s="81"/>
      <c r="K431" s="81"/>
      <c r="L431" s="81"/>
      <c r="M431" s="81"/>
      <c r="N431" s="607"/>
      <c r="O431" s="944"/>
    </row>
    <row r="432" spans="1:15" ht="24.6" hidden="1" customHeight="1">
      <c r="A432" s="964"/>
      <c r="B432" s="546" t="s">
        <v>34</v>
      </c>
      <c r="C432" s="546"/>
      <c r="D432" s="546"/>
      <c r="E432" s="546"/>
      <c r="F432" s="546"/>
      <c r="G432" s="81"/>
      <c r="H432" s="81"/>
      <c r="I432" s="81"/>
      <c r="J432" s="81"/>
      <c r="K432" s="81"/>
      <c r="L432" s="81"/>
      <c r="M432" s="81"/>
      <c r="N432" s="607"/>
      <c r="O432" s="944"/>
    </row>
    <row r="433" spans="1:61" ht="35.25" hidden="1" customHeight="1">
      <c r="A433" s="1007" t="s">
        <v>22</v>
      </c>
      <c r="B433" s="57" t="s">
        <v>235</v>
      </c>
      <c r="C433" s="57"/>
      <c r="D433" s="57"/>
      <c r="E433" s="57"/>
      <c r="F433" s="57"/>
      <c r="G433" s="80">
        <f t="shared" ref="G433:M433" si="161">G434+G435</f>
        <v>0</v>
      </c>
      <c r="H433" s="80">
        <f t="shared" si="161"/>
        <v>0</v>
      </c>
      <c r="I433" s="80">
        <f t="shared" si="161"/>
        <v>0</v>
      </c>
      <c r="J433" s="80">
        <f t="shared" si="161"/>
        <v>0</v>
      </c>
      <c r="K433" s="80">
        <f t="shared" si="161"/>
        <v>0</v>
      </c>
      <c r="L433" s="80">
        <f t="shared" si="161"/>
        <v>0</v>
      </c>
      <c r="M433" s="80">
        <f t="shared" si="161"/>
        <v>0</v>
      </c>
      <c r="N433" s="607"/>
      <c r="O433" s="944" t="s">
        <v>512</v>
      </c>
    </row>
    <row r="434" spans="1:61" ht="33.75" hidden="1" customHeight="1">
      <c r="A434" s="1007"/>
      <c r="B434" s="57" t="s">
        <v>10</v>
      </c>
      <c r="C434" s="57"/>
      <c r="D434" s="57"/>
      <c r="E434" s="57"/>
      <c r="F434" s="57"/>
      <c r="G434" s="80">
        <f>I434+J434+K434</f>
        <v>0</v>
      </c>
      <c r="H434" s="80"/>
      <c r="I434" s="80"/>
      <c r="J434" s="80"/>
      <c r="K434" s="80"/>
      <c r="L434" s="80"/>
      <c r="M434" s="80">
        <v>0</v>
      </c>
      <c r="N434" s="607"/>
      <c r="O434" s="944"/>
    </row>
    <row r="435" spans="1:61" ht="40.5" hidden="1" customHeight="1">
      <c r="A435" s="1007"/>
      <c r="B435" s="57" t="s">
        <v>436</v>
      </c>
      <c r="C435" s="57"/>
      <c r="D435" s="57"/>
      <c r="E435" s="57"/>
      <c r="F435" s="57"/>
      <c r="G435" s="80"/>
      <c r="H435" s="80"/>
      <c r="I435" s="80"/>
      <c r="J435" s="80"/>
      <c r="K435" s="80"/>
      <c r="L435" s="80"/>
      <c r="M435" s="80"/>
      <c r="N435" s="607"/>
      <c r="O435" s="944"/>
    </row>
    <row r="436" spans="1:61" ht="26.25" customHeight="1">
      <c r="A436" s="1011" t="s">
        <v>897</v>
      </c>
      <c r="B436" s="57" t="s">
        <v>235</v>
      </c>
      <c r="C436" s="57"/>
      <c r="D436" s="57"/>
      <c r="E436" s="57"/>
      <c r="F436" s="57"/>
      <c r="G436" s="80">
        <f>G437</f>
        <v>5736.3</v>
      </c>
      <c r="H436" s="80">
        <f>H437</f>
        <v>5736.3</v>
      </c>
      <c r="I436" s="80"/>
      <c r="J436" s="80"/>
      <c r="K436" s="80"/>
      <c r="L436" s="80"/>
      <c r="M436" s="80"/>
      <c r="N436" s="1014"/>
      <c r="O436" s="933" t="s">
        <v>898</v>
      </c>
    </row>
    <row r="437" spans="1:61" ht="18.75" customHeight="1">
      <c r="A437" s="1012"/>
      <c r="B437" s="57" t="s">
        <v>10</v>
      </c>
      <c r="C437" s="57"/>
      <c r="D437" s="57"/>
      <c r="E437" s="57"/>
      <c r="F437" s="57"/>
      <c r="G437" s="80">
        <f>H437</f>
        <v>5736.3</v>
      </c>
      <c r="H437" s="80">
        <v>5736.3</v>
      </c>
      <c r="I437" s="80"/>
      <c r="J437" s="80"/>
      <c r="K437" s="80"/>
      <c r="L437" s="80"/>
      <c r="M437" s="80"/>
      <c r="N437" s="1015"/>
      <c r="O437" s="946"/>
    </row>
    <row r="438" spans="1:61" ht="18.75" customHeight="1">
      <c r="A438" s="1013"/>
      <c r="B438" s="57" t="s">
        <v>436</v>
      </c>
      <c r="C438" s="57"/>
      <c r="D438" s="57"/>
      <c r="E438" s="57"/>
      <c r="F438" s="57"/>
      <c r="G438" s="80"/>
      <c r="H438" s="80"/>
      <c r="I438" s="80"/>
      <c r="J438" s="80"/>
      <c r="K438" s="80"/>
      <c r="L438" s="80"/>
      <c r="M438" s="80"/>
      <c r="N438" s="1016"/>
      <c r="O438" s="934"/>
    </row>
    <row r="439" spans="1:61" ht="24.95" customHeight="1">
      <c r="A439" s="887" t="s">
        <v>785</v>
      </c>
      <c r="B439" s="658" t="s">
        <v>721</v>
      </c>
      <c r="C439" s="658"/>
      <c r="D439" s="658"/>
      <c r="E439" s="658"/>
      <c r="F439" s="658"/>
      <c r="G439" s="80">
        <f>G446</f>
        <v>5.048</v>
      </c>
      <c r="H439" s="80">
        <f t="shared" ref="H439:M439" si="162">H446</f>
        <v>0</v>
      </c>
      <c r="I439" s="80">
        <f t="shared" si="162"/>
        <v>0</v>
      </c>
      <c r="J439" s="80">
        <f t="shared" si="162"/>
        <v>0</v>
      </c>
      <c r="K439" s="80">
        <f t="shared" si="162"/>
        <v>5.048</v>
      </c>
      <c r="L439" s="80">
        <f t="shared" si="162"/>
        <v>4</v>
      </c>
      <c r="M439" s="80">
        <f t="shared" si="162"/>
        <v>1</v>
      </c>
      <c r="N439" s="944" t="s">
        <v>26</v>
      </c>
      <c r="O439" s="944" t="s">
        <v>1148</v>
      </c>
    </row>
    <row r="440" spans="1:61" ht="24.95" customHeight="1">
      <c r="A440" s="888"/>
      <c r="B440" s="658" t="s">
        <v>24</v>
      </c>
      <c r="C440" s="658"/>
      <c r="D440" s="658"/>
      <c r="E440" s="658"/>
      <c r="F440" s="658"/>
      <c r="G440" s="638">
        <f>G441/G439</f>
        <v>39378.070522979389</v>
      </c>
      <c r="H440" s="638"/>
      <c r="I440" s="638"/>
      <c r="J440" s="638"/>
      <c r="K440" s="638"/>
      <c r="L440" s="638">
        <f t="shared" ref="L440" si="163">L441/L439</f>
        <v>77961.125</v>
      </c>
      <c r="M440" s="638">
        <v>0</v>
      </c>
      <c r="N440" s="944"/>
      <c r="O440" s="944"/>
    </row>
    <row r="441" spans="1:61" ht="24.95" customHeight="1">
      <c r="A441" s="888"/>
      <c r="B441" s="658" t="s">
        <v>25</v>
      </c>
      <c r="C441" s="658">
        <v>176</v>
      </c>
      <c r="D441" s="658" t="s">
        <v>15</v>
      </c>
      <c r="E441" s="658">
        <v>6100404</v>
      </c>
      <c r="F441" s="658">
        <v>243</v>
      </c>
      <c r="G441" s="80">
        <f>G448+G768</f>
        <v>198780.49999999997</v>
      </c>
      <c r="H441" s="80">
        <f t="shared" ref="H441:K441" si="164">H448+H768</f>
        <v>3846.5</v>
      </c>
      <c r="I441" s="80">
        <f t="shared" si="164"/>
        <v>0</v>
      </c>
      <c r="J441" s="80">
        <f t="shared" si="164"/>
        <v>0</v>
      </c>
      <c r="K441" s="80">
        <f t="shared" si="164"/>
        <v>194933.99999999997</v>
      </c>
      <c r="L441" s="80">
        <f t="shared" ref="L441:M441" si="165">L448+L769</f>
        <v>311844.5</v>
      </c>
      <c r="M441" s="80">
        <f t="shared" si="165"/>
        <v>68000</v>
      </c>
      <c r="N441" s="944"/>
      <c r="O441" s="944"/>
    </row>
    <row r="442" spans="1:61" ht="23.45" customHeight="1">
      <c r="A442" s="888"/>
      <c r="B442" s="658" t="s">
        <v>10</v>
      </c>
      <c r="C442" s="658">
        <v>176</v>
      </c>
      <c r="D442" s="658" t="s">
        <v>15</v>
      </c>
      <c r="E442" s="658">
        <v>6100404</v>
      </c>
      <c r="F442" s="658">
        <v>243</v>
      </c>
      <c r="G442" s="80">
        <f>G449+G769</f>
        <v>188088.09999999998</v>
      </c>
      <c r="H442" s="80">
        <f t="shared" ref="H442:M442" si="166">H449+H769</f>
        <v>3846.5</v>
      </c>
      <c r="I442" s="80">
        <f t="shared" si="166"/>
        <v>0</v>
      </c>
      <c r="J442" s="80">
        <f t="shared" si="166"/>
        <v>0</v>
      </c>
      <c r="K442" s="80">
        <f t="shared" si="166"/>
        <v>184241.59999999998</v>
      </c>
      <c r="L442" s="80">
        <f t="shared" si="166"/>
        <v>311844.5</v>
      </c>
      <c r="M442" s="80">
        <f t="shared" si="166"/>
        <v>68000</v>
      </c>
      <c r="N442" s="944"/>
      <c r="O442" s="944"/>
    </row>
    <row r="443" spans="1:61" s="44" customFormat="1" ht="24.6" customHeight="1">
      <c r="A443" s="888"/>
      <c r="B443" s="658" t="s">
        <v>436</v>
      </c>
      <c r="C443" s="658"/>
      <c r="D443" s="658"/>
      <c r="E443" s="658"/>
      <c r="F443" s="658"/>
      <c r="G443" s="80">
        <f>G450+G770</f>
        <v>10692.4</v>
      </c>
      <c r="H443" s="80">
        <f t="shared" ref="H443:M443" si="167">H450+H770</f>
        <v>0</v>
      </c>
      <c r="I443" s="80">
        <f t="shared" si="167"/>
        <v>0</v>
      </c>
      <c r="J443" s="80">
        <f t="shared" si="167"/>
        <v>0</v>
      </c>
      <c r="K443" s="80">
        <f t="shared" si="167"/>
        <v>10692.4</v>
      </c>
      <c r="L443" s="80">
        <f t="shared" si="167"/>
        <v>0</v>
      </c>
      <c r="M443" s="80">
        <f t="shared" si="167"/>
        <v>0</v>
      </c>
      <c r="N443" s="944"/>
      <c r="O443" s="944"/>
      <c r="R443" s="935">
        <v>2019</v>
      </c>
      <c r="S443" s="936"/>
      <c r="T443" s="935">
        <v>2020</v>
      </c>
      <c r="U443" s="936"/>
      <c r="V443" s="937">
        <v>2021</v>
      </c>
      <c r="W443" s="937"/>
      <c r="AJ443" s="91"/>
      <c r="AK443" s="91"/>
      <c r="AL443" s="91"/>
      <c r="AM443" s="91"/>
      <c r="AN443" s="91"/>
      <c r="AO443" s="91"/>
      <c r="AP443" s="91"/>
      <c r="AQ443" s="91"/>
      <c r="AR443" s="91"/>
      <c r="AS443" s="91"/>
      <c r="AT443" s="91"/>
      <c r="AU443" s="91"/>
      <c r="AV443" s="91"/>
      <c r="AW443" s="91"/>
      <c r="AX443" s="91"/>
      <c r="AY443" s="91"/>
      <c r="AZ443" s="91"/>
      <c r="BA443" s="91"/>
      <c r="BB443" s="91"/>
      <c r="BC443" s="91"/>
      <c r="BD443" s="91"/>
      <c r="BE443" s="91"/>
      <c r="BF443" s="91"/>
      <c r="BG443" s="91"/>
      <c r="BH443" s="91"/>
      <c r="BI443" s="91"/>
    </row>
    <row r="444" spans="1:61" s="44" customFormat="1" ht="24.6" customHeight="1">
      <c r="A444" s="888"/>
      <c r="B444" s="658" t="s">
        <v>11</v>
      </c>
      <c r="C444" s="658"/>
      <c r="D444" s="658"/>
      <c r="E444" s="658"/>
      <c r="F444" s="658"/>
      <c r="G444" s="80">
        <v>0</v>
      </c>
      <c r="H444" s="80"/>
      <c r="I444" s="80"/>
      <c r="J444" s="80"/>
      <c r="K444" s="80"/>
      <c r="L444" s="80"/>
      <c r="M444" s="80"/>
      <c r="N444" s="944"/>
      <c r="O444" s="944"/>
      <c r="R444" s="657" t="s">
        <v>720</v>
      </c>
      <c r="S444" s="657" t="s">
        <v>348</v>
      </c>
      <c r="T444" s="657" t="s">
        <v>720</v>
      </c>
      <c r="U444" s="657" t="s">
        <v>348</v>
      </c>
      <c r="V444" s="657" t="s">
        <v>720</v>
      </c>
      <c r="W444" s="88" t="s">
        <v>348</v>
      </c>
      <c r="AJ444" s="91"/>
      <c r="AK444" s="91"/>
      <c r="AL444" s="91"/>
      <c r="AM444" s="91"/>
      <c r="AN444" s="91"/>
      <c r="AO444" s="91"/>
      <c r="AP444" s="91"/>
      <c r="AQ444" s="91"/>
      <c r="AR444" s="91"/>
      <c r="AS444" s="91"/>
      <c r="AT444" s="91"/>
      <c r="AU444" s="91"/>
      <c r="AV444" s="91"/>
      <c r="AW444" s="91"/>
      <c r="AX444" s="91"/>
      <c r="AY444" s="91"/>
      <c r="AZ444" s="91"/>
      <c r="BA444" s="91"/>
      <c r="BB444" s="91"/>
      <c r="BC444" s="91"/>
      <c r="BD444" s="91"/>
      <c r="BE444" s="91"/>
      <c r="BF444" s="91"/>
      <c r="BG444" s="91"/>
      <c r="BH444" s="91"/>
      <c r="BI444" s="91"/>
    </row>
    <row r="445" spans="1:61" ht="24.6" customHeight="1">
      <c r="A445" s="889"/>
      <c r="B445" s="658" t="s">
        <v>447</v>
      </c>
      <c r="C445" s="658"/>
      <c r="D445" s="658"/>
      <c r="E445" s="658"/>
      <c r="F445" s="658"/>
      <c r="G445" s="80">
        <v>0</v>
      </c>
      <c r="H445" s="80"/>
      <c r="I445" s="80"/>
      <c r="J445" s="80"/>
      <c r="K445" s="80"/>
      <c r="L445" s="80"/>
      <c r="M445" s="80"/>
      <c r="N445" s="944"/>
      <c r="O445" s="944"/>
      <c r="R445" s="938">
        <f>18.3-0.2-0.4-0.4</f>
        <v>17.300000000000004</v>
      </c>
      <c r="S445" s="939" t="e">
        <f>S488+S494+S506+S536+S552+S576+S588+S604+S616+S632+S642+S681+S703+#REF!+S723+S743</f>
        <v>#REF!</v>
      </c>
      <c r="T445" s="940">
        <f>12+0.4</f>
        <v>12.4</v>
      </c>
      <c r="U445" s="939"/>
      <c r="V445" s="941">
        <v>16</v>
      </c>
      <c r="W445" s="942"/>
    </row>
    <row r="446" spans="1:61" ht="24.95" customHeight="1">
      <c r="A446" s="887" t="s">
        <v>968</v>
      </c>
      <c r="B446" s="57" t="s">
        <v>721</v>
      </c>
      <c r="C446" s="57"/>
      <c r="D446" s="57"/>
      <c r="E446" s="57"/>
      <c r="F446" s="57"/>
      <c r="G446" s="80">
        <f>G489+G495+G507+G553+G605+G633+G643+G744</f>
        <v>5.048</v>
      </c>
      <c r="H446" s="80">
        <f t="shared" ref="H446:M446" si="168">H489+H495+H507+H553+H605+H633+H643+H744</f>
        <v>0</v>
      </c>
      <c r="I446" s="80">
        <f t="shared" si="168"/>
        <v>0</v>
      </c>
      <c r="J446" s="80">
        <f t="shared" si="168"/>
        <v>0</v>
      </c>
      <c r="K446" s="80">
        <f t="shared" si="168"/>
        <v>5.048</v>
      </c>
      <c r="L446" s="80">
        <f>L489+L495+L507+L553+L605+L633+L643+L744</f>
        <v>4</v>
      </c>
      <c r="M446" s="80">
        <f t="shared" si="168"/>
        <v>1</v>
      </c>
      <c r="N446" s="944" t="s">
        <v>26</v>
      </c>
      <c r="O446" s="944" t="s">
        <v>1149</v>
      </c>
    </row>
    <row r="447" spans="1:61" ht="24.95" customHeight="1">
      <c r="A447" s="888"/>
      <c r="B447" s="57" t="s">
        <v>24</v>
      </c>
      <c r="C447" s="57"/>
      <c r="D447" s="57"/>
      <c r="E447" s="57"/>
      <c r="F447" s="57"/>
      <c r="G447" s="638">
        <v>60700.4</v>
      </c>
      <c r="H447" s="638"/>
      <c r="I447" s="638"/>
      <c r="J447" s="638"/>
      <c r="K447" s="638"/>
      <c r="L447" s="638">
        <f>L448/L446</f>
        <v>77961.125</v>
      </c>
      <c r="M447" s="638">
        <v>0</v>
      </c>
      <c r="N447" s="944"/>
      <c r="O447" s="944"/>
    </row>
    <row r="448" spans="1:61" ht="24.95" customHeight="1">
      <c r="A448" s="888"/>
      <c r="B448" s="57" t="s">
        <v>25</v>
      </c>
      <c r="C448" s="57">
        <v>176</v>
      </c>
      <c r="D448" s="57" t="s">
        <v>15</v>
      </c>
      <c r="E448" s="57">
        <v>6100404</v>
      </c>
      <c r="F448" s="57">
        <v>243</v>
      </c>
      <c r="G448" s="80">
        <f>G449+G450</f>
        <v>194933.99999999997</v>
      </c>
      <c r="H448" s="80">
        <f t="shared" ref="H448:K448" si="169">H449+H450</f>
        <v>0</v>
      </c>
      <c r="I448" s="80">
        <f t="shared" si="169"/>
        <v>0</v>
      </c>
      <c r="J448" s="80">
        <f t="shared" si="169"/>
        <v>0</v>
      </c>
      <c r="K448" s="80">
        <f t="shared" si="169"/>
        <v>194933.99999999997</v>
      </c>
      <c r="L448" s="80">
        <f t="shared" ref="L448:M448" si="170">L449+L450</f>
        <v>311844.5</v>
      </c>
      <c r="M448" s="80">
        <f t="shared" si="170"/>
        <v>68000</v>
      </c>
      <c r="N448" s="944"/>
      <c r="O448" s="944"/>
    </row>
    <row r="449" spans="1:61" ht="23.45" customHeight="1">
      <c r="A449" s="888"/>
      <c r="B449" s="57" t="s">
        <v>10</v>
      </c>
      <c r="C449" s="57">
        <v>176</v>
      </c>
      <c r="D449" s="57" t="s">
        <v>15</v>
      </c>
      <c r="E449" s="57">
        <v>6100404</v>
      </c>
      <c r="F449" s="57">
        <v>243</v>
      </c>
      <c r="G449" s="80">
        <f>G490+G497+G509+G555+G607+G635+G645+G745</f>
        <v>184241.59999999998</v>
      </c>
      <c r="H449" s="80">
        <f t="shared" ref="H449:K449" si="171">H490+H497+H509+H555+H607+H635+H645+H745</f>
        <v>0</v>
      </c>
      <c r="I449" s="80">
        <f t="shared" si="171"/>
        <v>0</v>
      </c>
      <c r="J449" s="80">
        <f t="shared" si="171"/>
        <v>0</v>
      </c>
      <c r="K449" s="80">
        <f t="shared" si="171"/>
        <v>184241.59999999998</v>
      </c>
      <c r="L449" s="80">
        <f t="shared" ref="L449:M449" si="172">L490+L497+L509+L555+L607+L635+L645+L745</f>
        <v>311844.5</v>
      </c>
      <c r="M449" s="80">
        <f t="shared" si="172"/>
        <v>68000</v>
      </c>
      <c r="N449" s="944"/>
      <c r="O449" s="944"/>
    </row>
    <row r="450" spans="1:61" s="44" customFormat="1" ht="24.6" customHeight="1">
      <c r="A450" s="888"/>
      <c r="B450" s="57" t="s">
        <v>436</v>
      </c>
      <c r="C450" s="57"/>
      <c r="D450" s="57"/>
      <c r="E450" s="57"/>
      <c r="F450" s="57"/>
      <c r="G450" s="80">
        <f>G498+G510+G556+G608+G636+G646</f>
        <v>10692.4</v>
      </c>
      <c r="H450" s="80">
        <f t="shared" ref="H450:M450" si="173">H498+H510+H556+H608+H636+H646</f>
        <v>0</v>
      </c>
      <c r="I450" s="80">
        <f t="shared" si="173"/>
        <v>0</v>
      </c>
      <c r="J450" s="80">
        <f t="shared" si="173"/>
        <v>0</v>
      </c>
      <c r="K450" s="80">
        <f t="shared" si="173"/>
        <v>10692.4</v>
      </c>
      <c r="L450" s="80">
        <f t="shared" si="173"/>
        <v>0</v>
      </c>
      <c r="M450" s="80">
        <f t="shared" si="173"/>
        <v>0</v>
      </c>
      <c r="N450" s="944"/>
      <c r="O450" s="944"/>
      <c r="R450" s="935">
        <v>2019</v>
      </c>
      <c r="S450" s="936"/>
      <c r="T450" s="935">
        <v>2020</v>
      </c>
      <c r="U450" s="936"/>
      <c r="V450" s="937">
        <v>2021</v>
      </c>
      <c r="W450" s="937"/>
      <c r="AJ450" s="91"/>
      <c r="AK450" s="91"/>
      <c r="AL450" s="91"/>
      <c r="AM450" s="91"/>
      <c r="AN450" s="91"/>
      <c r="AO450" s="91"/>
      <c r="AP450" s="91"/>
      <c r="AQ450" s="91"/>
      <c r="AR450" s="91"/>
      <c r="AS450" s="91"/>
      <c r="AT450" s="91"/>
      <c r="AU450" s="91"/>
      <c r="AV450" s="91"/>
      <c r="AW450" s="91"/>
      <c r="AX450" s="91"/>
      <c r="AY450" s="91"/>
      <c r="AZ450" s="91"/>
      <c r="BA450" s="91"/>
      <c r="BB450" s="91"/>
      <c r="BC450" s="91"/>
      <c r="BD450" s="91"/>
      <c r="BE450" s="91"/>
      <c r="BF450" s="91"/>
      <c r="BG450" s="91"/>
      <c r="BH450" s="91"/>
      <c r="BI450" s="91"/>
    </row>
    <row r="451" spans="1:61" s="44" customFormat="1" ht="24.6" customHeight="1">
      <c r="A451" s="888"/>
      <c r="B451" s="57" t="s">
        <v>11</v>
      </c>
      <c r="C451" s="57"/>
      <c r="D451" s="57"/>
      <c r="E451" s="57"/>
      <c r="F451" s="57"/>
      <c r="G451" s="80">
        <v>0</v>
      </c>
      <c r="H451" s="80"/>
      <c r="I451" s="80"/>
      <c r="J451" s="80"/>
      <c r="K451" s="80"/>
      <c r="L451" s="80"/>
      <c r="M451" s="80"/>
      <c r="N451" s="944"/>
      <c r="O451" s="944"/>
      <c r="R451" s="428" t="s">
        <v>720</v>
      </c>
      <c r="S451" s="428" t="s">
        <v>348</v>
      </c>
      <c r="T451" s="428" t="s">
        <v>720</v>
      </c>
      <c r="U451" s="428" t="s">
        <v>348</v>
      </c>
      <c r="V451" s="428" t="s">
        <v>720</v>
      </c>
      <c r="W451" s="88" t="s">
        <v>348</v>
      </c>
      <c r="AJ451" s="91"/>
      <c r="AK451" s="91"/>
      <c r="AL451" s="91"/>
      <c r="AM451" s="91"/>
      <c r="AN451" s="91"/>
      <c r="AO451" s="91"/>
      <c r="AP451" s="91"/>
      <c r="AQ451" s="91"/>
      <c r="AR451" s="91"/>
      <c r="AS451" s="91"/>
      <c r="AT451" s="91"/>
      <c r="AU451" s="91"/>
      <c r="AV451" s="91"/>
      <c r="AW451" s="91"/>
      <c r="AX451" s="91"/>
      <c r="AY451" s="91"/>
      <c r="AZ451" s="91"/>
      <c r="BA451" s="91"/>
      <c r="BB451" s="91"/>
      <c r="BC451" s="91"/>
      <c r="BD451" s="91"/>
      <c r="BE451" s="91"/>
      <c r="BF451" s="91"/>
      <c r="BG451" s="91"/>
      <c r="BH451" s="91"/>
      <c r="BI451" s="91"/>
    </row>
    <row r="452" spans="1:61" ht="24.6" customHeight="1">
      <c r="A452" s="889"/>
      <c r="B452" s="57" t="s">
        <v>447</v>
      </c>
      <c r="C452" s="57"/>
      <c r="D452" s="57"/>
      <c r="E452" s="57"/>
      <c r="F452" s="57"/>
      <c r="G452" s="80">
        <v>0</v>
      </c>
      <c r="H452" s="80"/>
      <c r="I452" s="80"/>
      <c r="J452" s="80"/>
      <c r="K452" s="80"/>
      <c r="L452" s="80"/>
      <c r="M452" s="80"/>
      <c r="N452" s="944"/>
      <c r="O452" s="944"/>
      <c r="R452" s="938">
        <f>18.3-0.2-0.4-0.4</f>
        <v>17.300000000000004</v>
      </c>
      <c r="S452" s="939" t="e">
        <f>S495+S501+S513+S543+S559+S583+S595+S611+S623+S639+S649+S688+S710+#REF!+S730+S750</f>
        <v>#REF!</v>
      </c>
      <c r="T452" s="940">
        <f>12+0.4</f>
        <v>12.4</v>
      </c>
      <c r="U452" s="939"/>
      <c r="V452" s="941">
        <v>16</v>
      </c>
      <c r="W452" s="942"/>
    </row>
    <row r="453" spans="1:61" ht="24.6" hidden="1" customHeight="1">
      <c r="A453" s="945" t="s">
        <v>96</v>
      </c>
      <c r="B453" s="57" t="s">
        <v>89</v>
      </c>
      <c r="C453" s="57"/>
      <c r="D453" s="57"/>
      <c r="E453" s="57"/>
      <c r="F453" s="57"/>
      <c r="G453" s="80">
        <f t="shared" ref="G453:L454" si="174">G455+G457+G459</f>
        <v>0</v>
      </c>
      <c r="H453" s="80"/>
      <c r="I453" s="80"/>
      <c r="J453" s="80"/>
      <c r="K453" s="80"/>
      <c r="L453" s="80">
        <f t="shared" si="174"/>
        <v>0</v>
      </c>
      <c r="M453" s="80"/>
      <c r="N453" s="610"/>
      <c r="O453" s="610"/>
    </row>
    <row r="454" spans="1:61" ht="24.6" hidden="1" customHeight="1">
      <c r="A454" s="945"/>
      <c r="B454" s="57" t="s">
        <v>246</v>
      </c>
      <c r="C454" s="57"/>
      <c r="D454" s="57"/>
      <c r="E454" s="57"/>
      <c r="F454" s="57"/>
      <c r="G454" s="80">
        <f t="shared" si="174"/>
        <v>0</v>
      </c>
      <c r="H454" s="80"/>
      <c r="I454" s="80"/>
      <c r="J454" s="80"/>
      <c r="K454" s="80"/>
      <c r="L454" s="80">
        <f t="shared" si="174"/>
        <v>0</v>
      </c>
      <c r="M454" s="80"/>
      <c r="N454" s="610"/>
      <c r="O454" s="610"/>
    </row>
    <row r="455" spans="1:61" ht="24.6" hidden="1" customHeight="1">
      <c r="A455" s="943" t="s">
        <v>108</v>
      </c>
      <c r="B455" s="546" t="s">
        <v>89</v>
      </c>
      <c r="C455" s="546">
        <v>176</v>
      </c>
      <c r="D455" s="546" t="s">
        <v>15</v>
      </c>
      <c r="E455" s="546">
        <v>6100404</v>
      </c>
      <c r="F455" s="546">
        <v>243</v>
      </c>
      <c r="G455" s="81">
        <v>0</v>
      </c>
      <c r="H455" s="81"/>
      <c r="I455" s="81"/>
      <c r="J455" s="81"/>
      <c r="K455" s="81"/>
      <c r="L455" s="81"/>
      <c r="M455" s="81"/>
      <c r="N455" s="604"/>
      <c r="O455" s="944" t="s">
        <v>92</v>
      </c>
    </row>
    <row r="456" spans="1:61" ht="24.6" hidden="1" customHeight="1">
      <c r="A456" s="943"/>
      <c r="B456" s="546" t="s">
        <v>246</v>
      </c>
      <c r="C456" s="546"/>
      <c r="D456" s="546"/>
      <c r="E456" s="546"/>
      <c r="F456" s="546"/>
      <c r="G456" s="81"/>
      <c r="H456" s="81"/>
      <c r="I456" s="81"/>
      <c r="J456" s="81"/>
      <c r="K456" s="81"/>
      <c r="L456" s="81"/>
      <c r="M456" s="81"/>
      <c r="N456" s="604"/>
      <c r="O456" s="944"/>
    </row>
    <row r="457" spans="1:61" ht="24.6" hidden="1" customHeight="1">
      <c r="A457" s="547" t="s">
        <v>207</v>
      </c>
      <c r="B457" s="546" t="s">
        <v>89</v>
      </c>
      <c r="C457" s="546">
        <v>176</v>
      </c>
      <c r="D457" s="546" t="s">
        <v>15</v>
      </c>
      <c r="E457" s="546">
        <v>6100404</v>
      </c>
      <c r="F457" s="546">
        <v>243</v>
      </c>
      <c r="G457" s="81"/>
      <c r="H457" s="81"/>
      <c r="I457" s="81"/>
      <c r="J457" s="81"/>
      <c r="K457" s="81"/>
      <c r="L457" s="81"/>
      <c r="M457" s="81"/>
      <c r="N457" s="604"/>
      <c r="O457" s="604" t="s">
        <v>35</v>
      </c>
    </row>
    <row r="458" spans="1:61" s="44" customFormat="1" ht="24.6" hidden="1" customHeight="1">
      <c r="A458" s="547"/>
      <c r="B458" s="546" t="s">
        <v>246</v>
      </c>
      <c r="C458" s="546"/>
      <c r="D458" s="546"/>
      <c r="E458" s="546"/>
      <c r="F458" s="546"/>
      <c r="G458" s="81"/>
      <c r="H458" s="81"/>
      <c r="I458" s="81"/>
      <c r="J458" s="81"/>
      <c r="K458" s="81"/>
      <c r="L458" s="81"/>
      <c r="M458" s="81"/>
      <c r="N458" s="604"/>
      <c r="O458" s="604"/>
      <c r="AJ458" s="91"/>
      <c r="AK458" s="91"/>
      <c r="AL458" s="91"/>
      <c r="AM458" s="91"/>
      <c r="AN458" s="91"/>
      <c r="AO458" s="91"/>
      <c r="AP458" s="91"/>
      <c r="AQ458" s="91"/>
      <c r="AR458" s="91"/>
      <c r="AS458" s="91"/>
      <c r="AT458" s="91"/>
      <c r="AU458" s="91"/>
      <c r="AV458" s="91"/>
      <c r="AW458" s="91"/>
      <c r="AX458" s="91"/>
      <c r="AY458" s="91"/>
      <c r="AZ458" s="91"/>
      <c r="BA458" s="91"/>
      <c r="BB458" s="91"/>
      <c r="BC458" s="91"/>
      <c r="BD458" s="91"/>
      <c r="BE458" s="91"/>
      <c r="BF458" s="91"/>
      <c r="BG458" s="91"/>
      <c r="BH458" s="91"/>
      <c r="BI458" s="91"/>
    </row>
    <row r="459" spans="1:61" s="44" customFormat="1" ht="43.9" hidden="1" customHeight="1">
      <c r="A459" s="932" t="s">
        <v>109</v>
      </c>
      <c r="B459" s="546" t="s">
        <v>89</v>
      </c>
      <c r="C459" s="546">
        <v>176</v>
      </c>
      <c r="D459" s="546" t="s">
        <v>15</v>
      </c>
      <c r="E459" s="546">
        <v>6100404</v>
      </c>
      <c r="F459" s="546">
        <v>243</v>
      </c>
      <c r="G459" s="81">
        <v>0</v>
      </c>
      <c r="H459" s="81"/>
      <c r="I459" s="81"/>
      <c r="J459" s="81"/>
      <c r="K459" s="81"/>
      <c r="L459" s="81"/>
      <c r="M459" s="81"/>
      <c r="N459" s="604"/>
      <c r="O459" s="944" t="s">
        <v>31</v>
      </c>
      <c r="AJ459" s="91"/>
      <c r="AK459" s="91"/>
      <c r="AL459" s="91"/>
      <c r="AM459" s="91"/>
      <c r="AN459" s="91"/>
      <c r="AO459" s="91"/>
      <c r="AP459" s="91"/>
      <c r="AQ459" s="91"/>
      <c r="AR459" s="91"/>
      <c r="AS459" s="91"/>
      <c r="AT459" s="91"/>
      <c r="AU459" s="91"/>
      <c r="AV459" s="91"/>
      <c r="AW459" s="91"/>
      <c r="AX459" s="91"/>
      <c r="AY459" s="91"/>
      <c r="AZ459" s="91"/>
      <c r="BA459" s="91"/>
      <c r="BB459" s="91"/>
      <c r="BC459" s="91"/>
      <c r="BD459" s="91"/>
      <c r="BE459" s="91"/>
      <c r="BF459" s="91"/>
      <c r="BG459" s="91"/>
      <c r="BH459" s="91"/>
      <c r="BI459" s="91"/>
    </row>
    <row r="460" spans="1:61" ht="24.6" hidden="1" customHeight="1">
      <c r="A460" s="932"/>
      <c r="B460" s="546" t="s">
        <v>246</v>
      </c>
      <c r="C460" s="546"/>
      <c r="D460" s="546"/>
      <c r="E460" s="546"/>
      <c r="F460" s="546"/>
      <c r="G460" s="81"/>
      <c r="H460" s="81"/>
      <c r="I460" s="81"/>
      <c r="J460" s="81"/>
      <c r="K460" s="81"/>
      <c r="L460" s="81"/>
      <c r="M460" s="81"/>
      <c r="N460" s="604"/>
      <c r="O460" s="944"/>
    </row>
    <row r="461" spans="1:61" ht="24" hidden="1" customHeight="1">
      <c r="A461" s="555" t="s">
        <v>116</v>
      </c>
      <c r="B461" s="57" t="s">
        <v>89</v>
      </c>
      <c r="C461" s="57"/>
      <c r="D461" s="57"/>
      <c r="E461" s="57"/>
      <c r="F461" s="57"/>
      <c r="G461" s="80">
        <f>G463+G465</f>
        <v>0</v>
      </c>
      <c r="H461" s="80"/>
      <c r="I461" s="80"/>
      <c r="J461" s="80"/>
      <c r="K461" s="80"/>
      <c r="L461" s="80">
        <f t="shared" ref="L461:M461" si="175">L463+L465</f>
        <v>0</v>
      </c>
      <c r="M461" s="80">
        <f t="shared" si="175"/>
        <v>0</v>
      </c>
      <c r="N461" s="604"/>
      <c r="O461" s="610"/>
    </row>
    <row r="462" spans="1:61" ht="41.25" hidden="1" customHeight="1">
      <c r="A462" s="552"/>
      <c r="B462" s="57" t="s">
        <v>246</v>
      </c>
      <c r="C462" s="57"/>
      <c r="D462" s="57"/>
      <c r="E462" s="57"/>
      <c r="F462" s="57"/>
      <c r="G462" s="80">
        <f>G464+G466</f>
        <v>0</v>
      </c>
      <c r="H462" s="80"/>
      <c r="I462" s="80"/>
      <c r="J462" s="80"/>
      <c r="K462" s="80"/>
      <c r="L462" s="80">
        <f t="shared" ref="L462:M462" si="176">L464+L466</f>
        <v>0</v>
      </c>
      <c r="M462" s="80">
        <f t="shared" si="176"/>
        <v>0</v>
      </c>
      <c r="N462" s="604"/>
      <c r="O462" s="610"/>
    </row>
    <row r="463" spans="1:61" ht="24.6" hidden="1" customHeight="1">
      <c r="A463" s="926" t="s">
        <v>151</v>
      </c>
      <c r="B463" s="546" t="s">
        <v>89</v>
      </c>
      <c r="C463" s="57"/>
      <c r="D463" s="57"/>
      <c r="E463" s="57"/>
      <c r="F463" s="57"/>
      <c r="G463" s="80"/>
      <c r="H463" s="80"/>
      <c r="I463" s="80"/>
      <c r="J463" s="80"/>
      <c r="K463" s="80"/>
      <c r="L463" s="80"/>
      <c r="M463" s="81"/>
      <c r="N463" s="604"/>
      <c r="O463" s="944" t="s">
        <v>335</v>
      </c>
    </row>
    <row r="464" spans="1:61" ht="24.6" hidden="1" customHeight="1">
      <c r="A464" s="928"/>
      <c r="B464" s="546" t="s">
        <v>246</v>
      </c>
      <c r="C464" s="57"/>
      <c r="D464" s="57"/>
      <c r="E464" s="57"/>
      <c r="F464" s="57"/>
      <c r="G464" s="80"/>
      <c r="H464" s="80"/>
      <c r="I464" s="80"/>
      <c r="J464" s="80"/>
      <c r="K464" s="80"/>
      <c r="L464" s="80"/>
      <c r="M464" s="81"/>
      <c r="N464" s="604"/>
      <c r="O464" s="944"/>
    </row>
    <row r="465" spans="1:61" ht="24.6" hidden="1" customHeight="1">
      <c r="A465" s="943" t="s">
        <v>110</v>
      </c>
      <c r="B465" s="546" t="s">
        <v>89</v>
      </c>
      <c r="C465" s="546">
        <v>176</v>
      </c>
      <c r="D465" s="546" t="s">
        <v>15</v>
      </c>
      <c r="E465" s="546">
        <v>6100404</v>
      </c>
      <c r="F465" s="546">
        <v>243</v>
      </c>
      <c r="G465" s="81"/>
      <c r="H465" s="81"/>
      <c r="I465" s="81"/>
      <c r="J465" s="81"/>
      <c r="K465" s="81"/>
      <c r="L465" s="81"/>
      <c r="M465" s="81"/>
      <c r="N465" s="604"/>
      <c r="O465" s="944" t="s">
        <v>440</v>
      </c>
    </row>
    <row r="466" spans="1:61" ht="22.15" hidden="1" customHeight="1">
      <c r="A466" s="943"/>
      <c r="B466" s="546" t="s">
        <v>246</v>
      </c>
      <c r="C466" s="546"/>
      <c r="D466" s="546"/>
      <c r="E466" s="546"/>
      <c r="F466" s="546"/>
      <c r="G466" s="81"/>
      <c r="H466" s="81"/>
      <c r="I466" s="81"/>
      <c r="J466" s="81"/>
      <c r="K466" s="81"/>
      <c r="L466" s="81"/>
      <c r="M466" s="81"/>
      <c r="N466" s="604"/>
      <c r="O466" s="944"/>
    </row>
    <row r="467" spans="1:61" ht="24.6" hidden="1" customHeight="1">
      <c r="A467" s="932" t="s">
        <v>109</v>
      </c>
      <c r="B467" s="546" t="s">
        <v>89</v>
      </c>
      <c r="C467" s="546">
        <v>176</v>
      </c>
      <c r="D467" s="546" t="s">
        <v>15</v>
      </c>
      <c r="E467" s="546">
        <v>6100404</v>
      </c>
      <c r="F467" s="546">
        <v>243</v>
      </c>
      <c r="G467" s="81"/>
      <c r="H467" s="81"/>
      <c r="I467" s="81"/>
      <c r="J467" s="81"/>
      <c r="K467" s="81"/>
      <c r="L467" s="81"/>
      <c r="M467" s="81"/>
      <c r="N467" s="604"/>
      <c r="O467" s="944" t="s">
        <v>31</v>
      </c>
    </row>
    <row r="468" spans="1:61" s="44" customFormat="1" ht="24.6" hidden="1" customHeight="1">
      <c r="A468" s="932"/>
      <c r="B468" s="546" t="s">
        <v>246</v>
      </c>
      <c r="C468" s="546"/>
      <c r="D468" s="546"/>
      <c r="E468" s="546"/>
      <c r="F468" s="546"/>
      <c r="G468" s="81"/>
      <c r="H468" s="81"/>
      <c r="I468" s="81"/>
      <c r="J468" s="81"/>
      <c r="K468" s="81"/>
      <c r="L468" s="81"/>
      <c r="M468" s="81"/>
      <c r="N468" s="604"/>
      <c r="O468" s="944"/>
      <c r="AJ468" s="91"/>
      <c r="AK468" s="91"/>
      <c r="AL468" s="91"/>
      <c r="AM468" s="91"/>
      <c r="AN468" s="91"/>
      <c r="AO468" s="91"/>
      <c r="AP468" s="91"/>
      <c r="AQ468" s="91"/>
      <c r="AR468" s="91"/>
      <c r="AS468" s="91"/>
      <c r="AT468" s="91"/>
      <c r="AU468" s="91"/>
      <c r="AV468" s="91"/>
      <c r="AW468" s="91"/>
      <c r="AX468" s="91"/>
      <c r="AY468" s="91"/>
      <c r="AZ468" s="91"/>
      <c r="BA468" s="91"/>
      <c r="BB468" s="91"/>
      <c r="BC468" s="91"/>
      <c r="BD468" s="91"/>
      <c r="BE468" s="91"/>
      <c r="BF468" s="91"/>
      <c r="BG468" s="91"/>
      <c r="BH468" s="91"/>
      <c r="BI468" s="91"/>
    </row>
    <row r="469" spans="1:61" s="44" customFormat="1" ht="24.6" hidden="1" customHeight="1">
      <c r="A469" s="932" t="s">
        <v>151</v>
      </c>
      <c r="B469" s="546" t="s">
        <v>89</v>
      </c>
      <c r="C469" s="546"/>
      <c r="D469" s="546"/>
      <c r="E469" s="546"/>
      <c r="F469" s="546"/>
      <c r="G469" s="81"/>
      <c r="H469" s="81"/>
      <c r="I469" s="81"/>
      <c r="J469" s="81"/>
      <c r="K469" s="81"/>
      <c r="L469" s="81"/>
      <c r="M469" s="81"/>
      <c r="N469" s="604"/>
      <c r="O469" s="944" t="s">
        <v>35</v>
      </c>
      <c r="AJ469" s="91"/>
      <c r="AK469" s="91"/>
      <c r="AL469" s="91"/>
      <c r="AM469" s="91"/>
      <c r="AN469" s="91"/>
      <c r="AO469" s="91"/>
      <c r="AP469" s="91"/>
      <c r="AQ469" s="91"/>
      <c r="AR469" s="91"/>
      <c r="AS469" s="91"/>
      <c r="AT469" s="91"/>
      <c r="AU469" s="91"/>
      <c r="AV469" s="91"/>
      <c r="AW469" s="91"/>
      <c r="AX469" s="91"/>
      <c r="AY469" s="91"/>
      <c r="AZ469" s="91"/>
      <c r="BA469" s="91"/>
      <c r="BB469" s="91"/>
      <c r="BC469" s="91"/>
      <c r="BD469" s="91"/>
      <c r="BE469" s="91"/>
      <c r="BF469" s="91"/>
      <c r="BG469" s="91"/>
      <c r="BH469" s="91"/>
      <c r="BI469" s="91"/>
    </row>
    <row r="470" spans="1:61" ht="24.6" hidden="1" customHeight="1">
      <c r="A470" s="932"/>
      <c r="B470" s="546" t="s">
        <v>246</v>
      </c>
      <c r="C470" s="546"/>
      <c r="D470" s="546"/>
      <c r="E470" s="546"/>
      <c r="F470" s="546"/>
      <c r="G470" s="81"/>
      <c r="H470" s="81"/>
      <c r="I470" s="81"/>
      <c r="J470" s="81"/>
      <c r="K470" s="81"/>
      <c r="L470" s="81"/>
      <c r="M470" s="81"/>
      <c r="N470" s="604"/>
      <c r="O470" s="944"/>
    </row>
    <row r="471" spans="1:61" ht="24.95" hidden="1" customHeight="1">
      <c r="A471" s="945" t="s">
        <v>97</v>
      </c>
      <c r="B471" s="57" t="s">
        <v>89</v>
      </c>
      <c r="C471" s="57"/>
      <c r="D471" s="57"/>
      <c r="E471" s="57"/>
      <c r="F471" s="57"/>
      <c r="G471" s="80">
        <f t="shared" ref="G471:M472" si="177">G473+G475+G477</f>
        <v>0</v>
      </c>
      <c r="H471" s="80"/>
      <c r="I471" s="80"/>
      <c r="J471" s="80"/>
      <c r="K471" s="80"/>
      <c r="L471" s="80">
        <f t="shared" si="177"/>
        <v>0</v>
      </c>
      <c r="M471" s="80">
        <f t="shared" si="177"/>
        <v>0</v>
      </c>
      <c r="N471" s="604"/>
      <c r="O471" s="610"/>
    </row>
    <row r="472" spans="1:61" ht="24.6" hidden="1" customHeight="1">
      <c r="A472" s="945"/>
      <c r="B472" s="57" t="s">
        <v>246</v>
      </c>
      <c r="C472" s="57"/>
      <c r="D472" s="57"/>
      <c r="E472" s="57"/>
      <c r="F472" s="57"/>
      <c r="G472" s="80">
        <f t="shared" si="177"/>
        <v>0</v>
      </c>
      <c r="H472" s="80"/>
      <c r="I472" s="80"/>
      <c r="J472" s="80"/>
      <c r="K472" s="80"/>
      <c r="L472" s="80">
        <f t="shared" si="177"/>
        <v>0</v>
      </c>
      <c r="M472" s="80">
        <f t="shared" si="177"/>
        <v>0</v>
      </c>
      <c r="N472" s="604"/>
      <c r="O472" s="610"/>
    </row>
    <row r="473" spans="1:61" ht="25.15" hidden="1" customHeight="1">
      <c r="A473" s="950" t="s">
        <v>111</v>
      </c>
      <c r="B473" s="546" t="s">
        <v>89</v>
      </c>
      <c r="C473" s="546">
        <v>176</v>
      </c>
      <c r="D473" s="546" t="s">
        <v>15</v>
      </c>
      <c r="E473" s="546">
        <v>6100404</v>
      </c>
      <c r="F473" s="546">
        <v>243</v>
      </c>
      <c r="G473" s="81"/>
      <c r="H473" s="81"/>
      <c r="I473" s="81"/>
      <c r="J473" s="81"/>
      <c r="K473" s="81"/>
      <c r="L473" s="81"/>
      <c r="M473" s="81"/>
      <c r="N473" s="604"/>
      <c r="O473" s="944" t="s">
        <v>291</v>
      </c>
    </row>
    <row r="474" spans="1:61" ht="23.45" hidden="1" customHeight="1">
      <c r="A474" s="950"/>
      <c r="B474" s="546" t="s">
        <v>246</v>
      </c>
      <c r="C474" s="546"/>
      <c r="D474" s="546"/>
      <c r="E474" s="546"/>
      <c r="F474" s="546"/>
      <c r="G474" s="81"/>
      <c r="H474" s="81"/>
      <c r="I474" s="81"/>
      <c r="J474" s="81"/>
      <c r="K474" s="81"/>
      <c r="L474" s="81"/>
      <c r="M474" s="81"/>
      <c r="N474" s="604"/>
      <c r="O474" s="944"/>
    </row>
    <row r="475" spans="1:61" ht="25.15" hidden="1" customHeight="1">
      <c r="A475" s="932" t="s">
        <v>112</v>
      </c>
      <c r="B475" s="546" t="s">
        <v>89</v>
      </c>
      <c r="C475" s="546">
        <v>176</v>
      </c>
      <c r="D475" s="546" t="s">
        <v>15</v>
      </c>
      <c r="E475" s="546">
        <v>6100404</v>
      </c>
      <c r="F475" s="546">
        <v>243</v>
      </c>
      <c r="G475" s="81"/>
      <c r="H475" s="81"/>
      <c r="I475" s="81"/>
      <c r="J475" s="81"/>
      <c r="K475" s="81"/>
      <c r="L475" s="81"/>
      <c r="M475" s="81"/>
      <c r="N475" s="604"/>
      <c r="O475" s="944" t="s">
        <v>208</v>
      </c>
    </row>
    <row r="476" spans="1:61" s="44" customFormat="1" ht="24.6" hidden="1" customHeight="1">
      <c r="A476" s="932"/>
      <c r="B476" s="546" t="s">
        <v>246</v>
      </c>
      <c r="C476" s="546"/>
      <c r="D476" s="546"/>
      <c r="E476" s="546"/>
      <c r="F476" s="546"/>
      <c r="G476" s="81">
        <v>0</v>
      </c>
      <c r="H476" s="81"/>
      <c r="I476" s="81"/>
      <c r="J476" s="81"/>
      <c r="K476" s="81"/>
      <c r="L476" s="81"/>
      <c r="M476" s="81"/>
      <c r="N476" s="604"/>
      <c r="O476" s="944"/>
      <c r="AJ476" s="91"/>
      <c r="AK476" s="91"/>
      <c r="AL476" s="91"/>
      <c r="AM476" s="91"/>
      <c r="AN476" s="91"/>
      <c r="AO476" s="91"/>
      <c r="AP476" s="91"/>
      <c r="AQ476" s="91"/>
      <c r="AR476" s="91"/>
      <c r="AS476" s="91"/>
      <c r="AT476" s="91"/>
      <c r="AU476" s="91"/>
      <c r="AV476" s="91"/>
      <c r="AW476" s="91"/>
      <c r="AX476" s="91"/>
      <c r="AY476" s="91"/>
      <c r="AZ476" s="91"/>
      <c r="BA476" s="91"/>
      <c r="BB476" s="91"/>
      <c r="BC476" s="91"/>
      <c r="BD476" s="91"/>
      <c r="BE476" s="91"/>
      <c r="BF476" s="91"/>
      <c r="BG476" s="91"/>
      <c r="BH476" s="91"/>
      <c r="BI476" s="91"/>
    </row>
    <row r="477" spans="1:61" s="44" customFormat="1" ht="24.6" hidden="1" customHeight="1">
      <c r="A477" s="545" t="s">
        <v>249</v>
      </c>
      <c r="B477" s="546" t="s">
        <v>89</v>
      </c>
      <c r="C477" s="546"/>
      <c r="D477" s="546"/>
      <c r="E477" s="546"/>
      <c r="F477" s="546"/>
      <c r="G477" s="81"/>
      <c r="H477" s="81"/>
      <c r="I477" s="81"/>
      <c r="J477" s="81"/>
      <c r="K477" s="81"/>
      <c r="L477" s="81"/>
      <c r="M477" s="81"/>
      <c r="N477" s="604"/>
      <c r="O477" s="604"/>
      <c r="AJ477" s="91"/>
      <c r="AK477" s="91"/>
      <c r="AL477" s="91"/>
      <c r="AM477" s="91"/>
      <c r="AN477" s="91"/>
      <c r="AO477" s="91"/>
      <c r="AP477" s="91"/>
      <c r="AQ477" s="91"/>
      <c r="AR477" s="91"/>
      <c r="AS477" s="91"/>
      <c r="AT477" s="91"/>
      <c r="AU477" s="91"/>
      <c r="AV477" s="91"/>
      <c r="AW477" s="91"/>
      <c r="AX477" s="91"/>
      <c r="AY477" s="91"/>
      <c r="AZ477" s="91"/>
      <c r="BA477" s="91"/>
      <c r="BB477" s="91"/>
      <c r="BC477" s="91"/>
      <c r="BD477" s="91"/>
      <c r="BE477" s="91"/>
      <c r="BF477" s="91"/>
      <c r="BG477" s="91"/>
      <c r="BH477" s="91"/>
      <c r="BI477" s="91"/>
    </row>
    <row r="478" spans="1:61" ht="24.6" hidden="1" customHeight="1">
      <c r="A478" s="545"/>
      <c r="B478" s="546" t="s">
        <v>246</v>
      </c>
      <c r="C478" s="546"/>
      <c r="D478" s="546"/>
      <c r="E478" s="546"/>
      <c r="F478" s="546"/>
      <c r="G478" s="81"/>
      <c r="H478" s="81"/>
      <c r="I478" s="81"/>
      <c r="J478" s="81"/>
      <c r="K478" s="81"/>
      <c r="L478" s="81"/>
      <c r="M478" s="81"/>
      <c r="N478" s="604"/>
      <c r="O478" s="604" t="s">
        <v>35</v>
      </c>
    </row>
    <row r="479" spans="1:61" ht="0.6" hidden="1" customHeight="1">
      <c r="A479" s="945" t="s">
        <v>98</v>
      </c>
      <c r="B479" s="57" t="s">
        <v>89</v>
      </c>
      <c r="C479" s="57"/>
      <c r="D479" s="57"/>
      <c r="E479" s="57"/>
      <c r="F479" s="57"/>
      <c r="G479" s="80">
        <f t="shared" ref="G479:L480" si="178">G481+G483+G485</f>
        <v>0</v>
      </c>
      <c r="H479" s="80"/>
      <c r="I479" s="80"/>
      <c r="J479" s="80"/>
      <c r="K479" s="80"/>
      <c r="L479" s="80">
        <f t="shared" si="178"/>
        <v>0</v>
      </c>
      <c r="M479" s="80"/>
      <c r="N479" s="604"/>
      <c r="O479" s="610"/>
    </row>
    <row r="480" spans="1:61" ht="0.6" hidden="1" customHeight="1">
      <c r="A480" s="945"/>
      <c r="B480" s="57" t="s">
        <v>246</v>
      </c>
      <c r="C480" s="57"/>
      <c r="D480" s="57"/>
      <c r="E480" s="57"/>
      <c r="F480" s="57"/>
      <c r="G480" s="80">
        <f t="shared" si="178"/>
        <v>0</v>
      </c>
      <c r="H480" s="80"/>
      <c r="I480" s="80"/>
      <c r="J480" s="80"/>
      <c r="K480" s="80"/>
      <c r="L480" s="80">
        <f t="shared" si="178"/>
        <v>0</v>
      </c>
      <c r="M480" s="80"/>
      <c r="N480" s="604"/>
      <c r="O480" s="610"/>
    </row>
    <row r="481" spans="1:61" ht="24.6" hidden="1" customHeight="1">
      <c r="A481" s="932" t="s">
        <v>113</v>
      </c>
      <c r="B481" s="546" t="s">
        <v>89</v>
      </c>
      <c r="C481" s="546">
        <v>176</v>
      </c>
      <c r="D481" s="546" t="s">
        <v>15</v>
      </c>
      <c r="E481" s="546">
        <v>6100404</v>
      </c>
      <c r="F481" s="546">
        <v>243</v>
      </c>
      <c r="G481" s="81"/>
      <c r="H481" s="81"/>
      <c r="I481" s="81"/>
      <c r="J481" s="81"/>
      <c r="K481" s="81"/>
      <c r="L481" s="81"/>
      <c r="M481" s="81"/>
      <c r="N481" s="604"/>
      <c r="O481" s="944" t="s">
        <v>35</v>
      </c>
    </row>
    <row r="482" spans="1:61" ht="21.6" hidden="1" customHeight="1">
      <c r="A482" s="932"/>
      <c r="B482" s="546" t="s">
        <v>246</v>
      </c>
      <c r="C482" s="546"/>
      <c r="D482" s="546"/>
      <c r="E482" s="546"/>
      <c r="F482" s="546"/>
      <c r="G482" s="81"/>
      <c r="H482" s="81"/>
      <c r="I482" s="81"/>
      <c r="J482" s="81"/>
      <c r="K482" s="81"/>
      <c r="L482" s="81"/>
      <c r="M482" s="81"/>
      <c r="N482" s="604"/>
      <c r="O482" s="944"/>
    </row>
    <row r="483" spans="1:61" ht="24.6" hidden="1" customHeight="1">
      <c r="A483" s="545" t="s">
        <v>115</v>
      </c>
      <c r="B483" s="546" t="s">
        <v>89</v>
      </c>
      <c r="C483" s="546">
        <v>176</v>
      </c>
      <c r="D483" s="546" t="s">
        <v>15</v>
      </c>
      <c r="E483" s="546">
        <v>6100404</v>
      </c>
      <c r="F483" s="546">
        <v>243</v>
      </c>
      <c r="G483" s="81"/>
      <c r="H483" s="81"/>
      <c r="I483" s="81"/>
      <c r="J483" s="81"/>
      <c r="K483" s="81"/>
      <c r="L483" s="81"/>
      <c r="M483" s="81"/>
      <c r="N483" s="604"/>
      <c r="O483" s="604" t="s">
        <v>35</v>
      </c>
    </row>
    <row r="484" spans="1:61" ht="24.6" hidden="1" customHeight="1">
      <c r="A484" s="545"/>
      <c r="B484" s="546" t="s">
        <v>246</v>
      </c>
      <c r="C484" s="546"/>
      <c r="D484" s="546"/>
      <c r="E484" s="546"/>
      <c r="F484" s="546"/>
      <c r="G484" s="81"/>
      <c r="H484" s="81"/>
      <c r="I484" s="81"/>
      <c r="J484" s="81"/>
      <c r="K484" s="81"/>
      <c r="L484" s="81"/>
      <c r="M484" s="81"/>
      <c r="N484" s="604"/>
      <c r="O484" s="604"/>
    </row>
    <row r="485" spans="1:61" ht="24.6" hidden="1" customHeight="1">
      <c r="A485" s="545" t="s">
        <v>114</v>
      </c>
      <c r="B485" s="546" t="s">
        <v>89</v>
      </c>
      <c r="C485" s="546">
        <v>176</v>
      </c>
      <c r="D485" s="546" t="s">
        <v>15</v>
      </c>
      <c r="E485" s="546">
        <v>6100404</v>
      </c>
      <c r="F485" s="546">
        <v>243</v>
      </c>
      <c r="G485" s="81">
        <v>0</v>
      </c>
      <c r="H485" s="81"/>
      <c r="I485" s="81"/>
      <c r="J485" s="81"/>
      <c r="K485" s="81"/>
      <c r="L485" s="81"/>
      <c r="M485" s="81"/>
      <c r="N485" s="604"/>
      <c r="O485" s="944" t="s">
        <v>228</v>
      </c>
    </row>
    <row r="486" spans="1:61" s="44" customFormat="1" ht="24.6" hidden="1" customHeight="1">
      <c r="A486" s="545"/>
      <c r="B486" s="546" t="s">
        <v>246</v>
      </c>
      <c r="C486" s="546"/>
      <c r="D486" s="546"/>
      <c r="E486" s="546"/>
      <c r="F486" s="546"/>
      <c r="G486" s="81"/>
      <c r="H486" s="81"/>
      <c r="I486" s="81"/>
      <c r="J486" s="81"/>
      <c r="K486" s="81"/>
      <c r="L486" s="81"/>
      <c r="M486" s="81"/>
      <c r="N486" s="604"/>
      <c r="O486" s="944"/>
      <c r="AJ486" s="91"/>
      <c r="AK486" s="91"/>
      <c r="AL486" s="91"/>
      <c r="AM486" s="91"/>
      <c r="AN486" s="91"/>
      <c r="AO486" s="91"/>
      <c r="AP486" s="91"/>
      <c r="AQ486" s="91"/>
      <c r="AR486" s="91"/>
      <c r="AS486" s="91"/>
      <c r="AT486" s="91"/>
      <c r="AU486" s="91"/>
      <c r="AV486" s="91"/>
      <c r="AW486" s="91"/>
      <c r="AX486" s="91"/>
      <c r="AY486" s="91"/>
      <c r="AZ486" s="91"/>
      <c r="BA486" s="91"/>
      <c r="BB486" s="91"/>
      <c r="BC486" s="91"/>
      <c r="BD486" s="91"/>
      <c r="BE486" s="91"/>
      <c r="BF486" s="91"/>
      <c r="BG486" s="91"/>
      <c r="BH486" s="91"/>
      <c r="BI486" s="91"/>
    </row>
    <row r="487" spans="1:61" s="44" customFormat="1" ht="24.6" hidden="1" customHeight="1">
      <c r="A487" s="547" t="s">
        <v>111</v>
      </c>
      <c r="B487" s="546" t="s">
        <v>89</v>
      </c>
      <c r="C487" s="546">
        <v>176</v>
      </c>
      <c r="D487" s="546" t="s">
        <v>15</v>
      </c>
      <c r="E487" s="546">
        <v>6100404</v>
      </c>
      <c r="F487" s="546">
        <v>243</v>
      </c>
      <c r="G487" s="81"/>
      <c r="H487" s="81"/>
      <c r="I487" s="81"/>
      <c r="J487" s="81"/>
      <c r="K487" s="81"/>
      <c r="L487" s="81"/>
      <c r="M487" s="81"/>
      <c r="N487" s="604"/>
      <c r="O487" s="604" t="s">
        <v>31</v>
      </c>
      <c r="AJ487" s="91"/>
      <c r="AK487" s="91"/>
      <c r="AL487" s="91"/>
      <c r="AM487" s="91"/>
      <c r="AN487" s="91"/>
      <c r="AO487" s="91"/>
      <c r="AP487" s="91"/>
      <c r="AQ487" s="91"/>
      <c r="AR487" s="91"/>
      <c r="AS487" s="91"/>
      <c r="AT487" s="91"/>
      <c r="AU487" s="91"/>
      <c r="AV487" s="91"/>
      <c r="AW487" s="91"/>
      <c r="AX487" s="91"/>
      <c r="AY487" s="91"/>
      <c r="AZ487" s="91"/>
      <c r="BA487" s="91"/>
      <c r="BB487" s="91"/>
      <c r="BC487" s="91"/>
      <c r="BD487" s="91"/>
      <c r="BE487" s="91"/>
      <c r="BF487" s="91"/>
      <c r="BG487" s="91"/>
      <c r="BH487" s="91"/>
      <c r="BI487" s="91"/>
    </row>
    <row r="488" spans="1:61" ht="24.6" hidden="1" customHeight="1">
      <c r="A488" s="547"/>
      <c r="B488" s="546" t="s">
        <v>246</v>
      </c>
      <c r="C488" s="546"/>
      <c r="D488" s="546"/>
      <c r="E488" s="546"/>
      <c r="F488" s="546"/>
      <c r="G488" s="81"/>
      <c r="H488" s="81"/>
      <c r="I488" s="81"/>
      <c r="J488" s="81"/>
      <c r="K488" s="81"/>
      <c r="L488" s="81"/>
      <c r="M488" s="81"/>
      <c r="N488" s="604"/>
      <c r="O488" s="604"/>
    </row>
    <row r="489" spans="1:61" ht="31.9" customHeight="1">
      <c r="A489" s="1017" t="s">
        <v>99</v>
      </c>
      <c r="B489" s="57" t="s">
        <v>721</v>
      </c>
      <c r="C489" s="57"/>
      <c r="D489" s="57"/>
      <c r="E489" s="57"/>
      <c r="F489" s="57"/>
      <c r="G489" s="80">
        <f t="shared" ref="G489:G490" si="179">G491</f>
        <v>0</v>
      </c>
      <c r="H489" s="80"/>
      <c r="I489" s="80"/>
      <c r="J489" s="80"/>
      <c r="K489" s="80"/>
      <c r="L489" s="80">
        <f>L493</f>
        <v>1</v>
      </c>
      <c r="M489" s="80">
        <f t="shared" ref="M489:N489" si="180">M493</f>
        <v>0</v>
      </c>
      <c r="N489" s="80">
        <f t="shared" si="180"/>
        <v>0</v>
      </c>
      <c r="O489" s="610"/>
    </row>
    <row r="490" spans="1:61" ht="26.45" customHeight="1">
      <c r="A490" s="1017"/>
      <c r="B490" s="57" t="s">
        <v>246</v>
      </c>
      <c r="C490" s="57"/>
      <c r="D490" s="57"/>
      <c r="E490" s="57"/>
      <c r="F490" s="57"/>
      <c r="G490" s="80">
        <f t="shared" si="179"/>
        <v>0</v>
      </c>
      <c r="H490" s="80"/>
      <c r="I490" s="80"/>
      <c r="J490" s="80"/>
      <c r="K490" s="80"/>
      <c r="L490" s="80">
        <f>L494</f>
        <v>79353.5</v>
      </c>
      <c r="M490" s="80">
        <f t="shared" ref="M490:N490" si="181">M494</f>
        <v>0</v>
      </c>
      <c r="N490" s="80">
        <f t="shared" si="181"/>
        <v>0</v>
      </c>
      <c r="O490" s="610"/>
    </row>
    <row r="491" spans="1:61" ht="28.15" hidden="1" customHeight="1">
      <c r="A491" s="932" t="s">
        <v>250</v>
      </c>
      <c r="B491" s="546" t="s">
        <v>89</v>
      </c>
      <c r="C491" s="546">
        <v>176</v>
      </c>
      <c r="D491" s="546" t="s">
        <v>15</v>
      </c>
      <c r="E491" s="546">
        <v>6100404</v>
      </c>
      <c r="F491" s="546">
        <v>243</v>
      </c>
      <c r="G491" s="81"/>
      <c r="H491" s="81"/>
      <c r="I491" s="81"/>
      <c r="J491" s="81"/>
      <c r="K491" s="81"/>
      <c r="L491" s="81"/>
      <c r="M491" s="81"/>
      <c r="N491" s="604"/>
      <c r="O491" s="944" t="s">
        <v>35</v>
      </c>
    </row>
    <row r="492" spans="1:61" s="44" customFormat="1" ht="28.15" hidden="1" customHeight="1">
      <c r="A492" s="932"/>
      <c r="B492" s="546" t="s">
        <v>246</v>
      </c>
      <c r="C492" s="546"/>
      <c r="D492" s="546"/>
      <c r="E492" s="546"/>
      <c r="F492" s="546"/>
      <c r="G492" s="81"/>
      <c r="H492" s="81"/>
      <c r="I492" s="81"/>
      <c r="J492" s="81"/>
      <c r="K492" s="81"/>
      <c r="L492" s="81">
        <f>18324.4-18324.4</f>
        <v>0</v>
      </c>
      <c r="M492" s="81"/>
      <c r="N492" s="604"/>
      <c r="O492" s="944"/>
      <c r="AJ492" s="91"/>
      <c r="AK492" s="91"/>
      <c r="AL492" s="91"/>
      <c r="AM492" s="91"/>
      <c r="AN492" s="91"/>
      <c r="AO492" s="91"/>
      <c r="AP492" s="91"/>
      <c r="AQ492" s="91"/>
      <c r="AR492" s="91"/>
      <c r="AS492" s="91"/>
      <c r="AT492" s="91"/>
      <c r="AU492" s="91"/>
      <c r="AV492" s="91"/>
      <c r="AW492" s="91"/>
      <c r="AX492" s="91"/>
      <c r="AY492" s="91"/>
      <c r="AZ492" s="91"/>
      <c r="BA492" s="91"/>
      <c r="BB492" s="91"/>
      <c r="BC492" s="91"/>
      <c r="BD492" s="91"/>
      <c r="BE492" s="91"/>
      <c r="BF492" s="91"/>
      <c r="BG492" s="91"/>
      <c r="BH492" s="91"/>
      <c r="BI492" s="91"/>
    </row>
    <row r="493" spans="1:61" s="44" customFormat="1" ht="28.15" customHeight="1">
      <c r="A493" s="932" t="s">
        <v>323</v>
      </c>
      <c r="B493" s="546" t="s">
        <v>721</v>
      </c>
      <c r="C493" s="546">
        <v>176</v>
      </c>
      <c r="D493" s="546" t="s">
        <v>15</v>
      </c>
      <c r="E493" s="546">
        <v>6100404</v>
      </c>
      <c r="F493" s="546">
        <v>243</v>
      </c>
      <c r="G493" s="81">
        <v>0</v>
      </c>
      <c r="H493" s="81"/>
      <c r="I493" s="81"/>
      <c r="J493" s="81"/>
      <c r="K493" s="81"/>
      <c r="L493" s="81">
        <v>1</v>
      </c>
      <c r="M493" s="81"/>
      <c r="N493" s="604"/>
      <c r="O493" s="944" t="s">
        <v>729</v>
      </c>
      <c r="AJ493" s="91"/>
      <c r="AK493" s="91"/>
      <c r="AL493" s="91"/>
      <c r="AM493" s="91"/>
      <c r="AN493" s="91"/>
      <c r="AO493" s="91"/>
      <c r="AP493" s="91"/>
      <c r="AQ493" s="91"/>
      <c r="AR493" s="91"/>
      <c r="AS493" s="91"/>
      <c r="AT493" s="91"/>
      <c r="AU493" s="91"/>
      <c r="AV493" s="91"/>
      <c r="AW493" s="91"/>
      <c r="AX493" s="91"/>
      <c r="AY493" s="91"/>
      <c r="AZ493" s="91"/>
      <c r="BA493" s="91"/>
      <c r="BB493" s="91"/>
      <c r="BC493" s="91"/>
      <c r="BD493" s="91"/>
      <c r="BE493" s="91"/>
      <c r="BF493" s="91"/>
      <c r="BG493" s="91"/>
      <c r="BH493" s="91"/>
      <c r="BI493" s="91"/>
    </row>
    <row r="494" spans="1:61" ht="24" customHeight="1">
      <c r="A494" s="932"/>
      <c r="B494" s="546" t="s">
        <v>246</v>
      </c>
      <c r="C494" s="546"/>
      <c r="D494" s="546"/>
      <c r="E494" s="546"/>
      <c r="F494" s="546"/>
      <c r="G494" s="81"/>
      <c r="H494" s="81"/>
      <c r="I494" s="81"/>
      <c r="J494" s="81"/>
      <c r="K494" s="81"/>
      <c r="L494" s="81">
        <v>79353.5</v>
      </c>
      <c r="M494" s="81"/>
      <c r="N494" s="604"/>
      <c r="O494" s="944"/>
    </row>
    <row r="495" spans="1:61" ht="24.95" customHeight="1">
      <c r="A495" s="945" t="s">
        <v>117</v>
      </c>
      <c r="B495" s="57" t="s">
        <v>721</v>
      </c>
      <c r="C495" s="57"/>
      <c r="D495" s="57"/>
      <c r="E495" s="57"/>
      <c r="F495" s="57"/>
      <c r="G495" s="80">
        <f>K495</f>
        <v>1</v>
      </c>
      <c r="H495" s="80"/>
      <c r="I495" s="80"/>
      <c r="J495" s="80"/>
      <c r="K495" s="80">
        <f>K499+K501+K503</f>
        <v>1</v>
      </c>
      <c r="L495" s="80">
        <f>L499+L501+L503</f>
        <v>1</v>
      </c>
      <c r="M495" s="80">
        <f>M499+M501+M503</f>
        <v>0</v>
      </c>
      <c r="N495" s="604"/>
      <c r="O495" s="610"/>
    </row>
    <row r="496" spans="1:61" ht="24.95" customHeight="1">
      <c r="A496" s="945"/>
      <c r="B496" s="57" t="s">
        <v>329</v>
      </c>
      <c r="C496" s="57"/>
      <c r="D496" s="57"/>
      <c r="E496" s="57"/>
      <c r="F496" s="57"/>
      <c r="G496" s="80">
        <f>K496</f>
        <v>32472.6</v>
      </c>
      <c r="H496" s="80"/>
      <c r="I496" s="80"/>
      <c r="J496" s="80"/>
      <c r="K496" s="80">
        <f>K497+K498</f>
        <v>32472.6</v>
      </c>
      <c r="L496" s="80">
        <f t="shared" ref="L496:M496" si="182">L497+L498</f>
        <v>85491</v>
      </c>
      <c r="M496" s="80">
        <f t="shared" si="182"/>
        <v>0</v>
      </c>
      <c r="N496" s="604"/>
      <c r="O496" s="610"/>
    </row>
    <row r="497" spans="1:61" ht="24.95" customHeight="1">
      <c r="A497" s="945"/>
      <c r="B497" s="57" t="s">
        <v>247</v>
      </c>
      <c r="C497" s="57"/>
      <c r="D497" s="57"/>
      <c r="E497" s="57"/>
      <c r="F497" s="57"/>
      <c r="G497" s="80">
        <f t="shared" ref="G497:G498" si="183">K497</f>
        <v>32472.6</v>
      </c>
      <c r="H497" s="80"/>
      <c r="I497" s="80"/>
      <c r="J497" s="80"/>
      <c r="K497" s="80">
        <f>K500+K502+K505</f>
        <v>32472.6</v>
      </c>
      <c r="L497" s="80">
        <f t="shared" ref="L497:M497" si="184">L500+L502+L505</f>
        <v>85491</v>
      </c>
      <c r="M497" s="80">
        <f t="shared" si="184"/>
        <v>0</v>
      </c>
      <c r="N497" s="604"/>
      <c r="O497" s="610"/>
    </row>
    <row r="498" spans="1:61" ht="37.5" customHeight="1">
      <c r="A498" s="945"/>
      <c r="B498" s="57" t="s">
        <v>495</v>
      </c>
      <c r="C498" s="57"/>
      <c r="D498" s="57"/>
      <c r="E498" s="57"/>
      <c r="F498" s="57"/>
      <c r="G498" s="80">
        <f t="shared" si="183"/>
        <v>0</v>
      </c>
      <c r="H498" s="80">
        <f>H500+H502+H506</f>
        <v>0</v>
      </c>
      <c r="I498" s="80">
        <f>I500+I502+I506</f>
        <v>0</v>
      </c>
      <c r="J498" s="80"/>
      <c r="K498" s="80">
        <f>K506</f>
        <v>0</v>
      </c>
      <c r="L498" s="80">
        <f t="shared" ref="L498:M498" si="185">L506</f>
        <v>0</v>
      </c>
      <c r="M498" s="80">
        <f t="shared" si="185"/>
        <v>0</v>
      </c>
      <c r="N498" s="604"/>
      <c r="O498" s="610"/>
    </row>
    <row r="499" spans="1:61" ht="24.95" customHeight="1">
      <c r="A499" s="932" t="s">
        <v>323</v>
      </c>
      <c r="B499" s="57" t="s">
        <v>721</v>
      </c>
      <c r="C499" s="546">
        <v>176</v>
      </c>
      <c r="D499" s="546" t="s">
        <v>15</v>
      </c>
      <c r="E499" s="546">
        <v>6100404</v>
      </c>
      <c r="F499" s="546">
        <v>243</v>
      </c>
      <c r="G499" s="80">
        <f t="shared" ref="G499:G507" si="186">K499</f>
        <v>0</v>
      </c>
      <c r="H499" s="81"/>
      <c r="I499" s="81"/>
      <c r="J499" s="81"/>
      <c r="K499" s="81"/>
      <c r="L499" s="81">
        <v>1</v>
      </c>
      <c r="M499" s="81"/>
      <c r="N499" s="604"/>
      <c r="O499" s="944" t="s">
        <v>728</v>
      </c>
    </row>
    <row r="500" spans="1:61" ht="25.5" customHeight="1">
      <c r="A500" s="932"/>
      <c r="B500" s="546" t="s">
        <v>246</v>
      </c>
      <c r="C500" s="546"/>
      <c r="D500" s="546"/>
      <c r="E500" s="546"/>
      <c r="F500" s="546"/>
      <c r="G500" s="80">
        <f t="shared" si="186"/>
        <v>0</v>
      </c>
      <c r="H500" s="81"/>
      <c r="I500" s="81"/>
      <c r="J500" s="81"/>
      <c r="K500" s="81"/>
      <c r="L500" s="81">
        <v>85491</v>
      </c>
      <c r="M500" s="81"/>
      <c r="N500" s="604"/>
      <c r="O500" s="944"/>
    </row>
    <row r="501" spans="1:61" ht="20.25" customHeight="1">
      <c r="A501" s="926" t="s">
        <v>709</v>
      </c>
      <c r="B501" s="57" t="s">
        <v>721</v>
      </c>
      <c r="C501" s="546">
        <v>176</v>
      </c>
      <c r="D501" s="546" t="s">
        <v>15</v>
      </c>
      <c r="E501" s="546">
        <v>6100404</v>
      </c>
      <c r="F501" s="546">
        <v>243</v>
      </c>
      <c r="G501" s="81">
        <f t="shared" si="186"/>
        <v>1</v>
      </c>
      <c r="H501" s="81"/>
      <c r="I501" s="81"/>
      <c r="J501" s="81"/>
      <c r="K501" s="81">
        <v>1</v>
      </c>
      <c r="L501" s="81"/>
      <c r="M501" s="81"/>
      <c r="N501" s="604"/>
      <c r="O501" s="944" t="s">
        <v>1132</v>
      </c>
    </row>
    <row r="502" spans="1:61" s="44" customFormat="1" ht="22.9" customHeight="1">
      <c r="A502" s="928"/>
      <c r="B502" s="546" t="s">
        <v>246</v>
      </c>
      <c r="C502" s="546"/>
      <c r="D502" s="546"/>
      <c r="E502" s="546"/>
      <c r="F502" s="546"/>
      <c r="G502" s="81">
        <f t="shared" si="186"/>
        <v>32472.6</v>
      </c>
      <c r="H502" s="81"/>
      <c r="I502" s="81"/>
      <c r="J502" s="81"/>
      <c r="K502" s="81">
        <v>32472.6</v>
      </c>
      <c r="L502" s="81"/>
      <c r="M502" s="81"/>
      <c r="N502" s="604"/>
      <c r="O502" s="944"/>
      <c r="AJ502" s="91"/>
      <c r="AK502" s="91"/>
      <c r="AL502" s="91"/>
      <c r="AM502" s="91"/>
      <c r="AN502" s="91"/>
      <c r="AO502" s="91"/>
      <c r="AP502" s="91"/>
      <c r="AQ502" s="91"/>
      <c r="AR502" s="91"/>
      <c r="AS502" s="91"/>
      <c r="AT502" s="91"/>
      <c r="AU502" s="91"/>
      <c r="AV502" s="91"/>
      <c r="AW502" s="91"/>
      <c r="AX502" s="91"/>
      <c r="AY502" s="91"/>
      <c r="AZ502" s="91"/>
      <c r="BA502" s="91"/>
      <c r="BB502" s="91"/>
      <c r="BC502" s="91"/>
      <c r="BD502" s="91"/>
      <c r="BE502" s="91"/>
      <c r="BF502" s="91"/>
      <c r="BG502" s="91"/>
      <c r="BH502" s="91"/>
      <c r="BI502" s="91"/>
    </row>
    <row r="503" spans="1:61" s="44" customFormat="1" ht="23.45" hidden="1" customHeight="1">
      <c r="A503" s="926" t="s">
        <v>307</v>
      </c>
      <c r="B503" s="57" t="s">
        <v>721</v>
      </c>
      <c r="C503" s="546">
        <v>176</v>
      </c>
      <c r="D503" s="546" t="s">
        <v>15</v>
      </c>
      <c r="E503" s="546">
        <v>6100404</v>
      </c>
      <c r="F503" s="546">
        <v>243</v>
      </c>
      <c r="G503" s="81">
        <f t="shared" si="186"/>
        <v>0</v>
      </c>
      <c r="H503" s="81"/>
      <c r="I503" s="81"/>
      <c r="J503" s="81"/>
      <c r="K503" s="81">
        <v>0</v>
      </c>
      <c r="L503" s="81"/>
      <c r="M503" s="81"/>
      <c r="N503" s="604"/>
      <c r="O503" s="944" t="s">
        <v>727</v>
      </c>
      <c r="AJ503" s="91"/>
      <c r="AK503" s="91"/>
      <c r="AL503" s="91"/>
      <c r="AM503" s="91"/>
      <c r="AN503" s="91"/>
      <c r="AO503" s="91"/>
      <c r="AP503" s="91"/>
      <c r="AQ503" s="91"/>
      <c r="AR503" s="91"/>
      <c r="AS503" s="91"/>
      <c r="AT503" s="91"/>
      <c r="AU503" s="91"/>
      <c r="AV503" s="91"/>
      <c r="AW503" s="91"/>
      <c r="AX503" s="91"/>
      <c r="AY503" s="91"/>
      <c r="AZ503" s="91"/>
      <c r="BA503" s="91"/>
      <c r="BB503" s="91"/>
      <c r="BC503" s="91"/>
      <c r="BD503" s="91"/>
      <c r="BE503" s="91"/>
      <c r="BF503" s="91"/>
      <c r="BG503" s="91"/>
      <c r="BH503" s="91"/>
      <c r="BI503" s="91"/>
    </row>
    <row r="504" spans="1:61" s="44" customFormat="1" ht="23.45" hidden="1" customHeight="1">
      <c r="A504" s="927"/>
      <c r="B504" s="546" t="s">
        <v>555</v>
      </c>
      <c r="C504" s="546"/>
      <c r="D504" s="546"/>
      <c r="E504" s="546"/>
      <c r="F504" s="546"/>
      <c r="G504" s="81">
        <f>K504</f>
        <v>0</v>
      </c>
      <c r="H504" s="81"/>
      <c r="I504" s="81"/>
      <c r="J504" s="81"/>
      <c r="K504" s="81">
        <f>K505+K506</f>
        <v>0</v>
      </c>
      <c r="L504" s="81"/>
      <c r="M504" s="81"/>
      <c r="N504" s="604"/>
      <c r="O504" s="944"/>
      <c r="AJ504" s="91"/>
      <c r="AK504" s="91"/>
      <c r="AL504" s="91"/>
      <c r="AM504" s="91"/>
      <c r="AN504" s="91"/>
      <c r="AO504" s="91"/>
      <c r="AP504" s="91"/>
      <c r="AQ504" s="91"/>
      <c r="AR504" s="91"/>
      <c r="AS504" s="91"/>
      <c r="AT504" s="91"/>
      <c r="AU504" s="91"/>
      <c r="AV504" s="91"/>
      <c r="AW504" s="91"/>
      <c r="AX504" s="91"/>
      <c r="AY504" s="91"/>
      <c r="AZ504" s="91"/>
      <c r="BA504" s="91"/>
      <c r="BB504" s="91"/>
      <c r="BC504" s="91"/>
      <c r="BD504" s="91"/>
      <c r="BE504" s="91"/>
      <c r="BF504" s="91"/>
      <c r="BG504" s="91"/>
      <c r="BH504" s="91"/>
      <c r="BI504" s="91"/>
    </row>
    <row r="505" spans="1:61" s="44" customFormat="1" ht="23.45" hidden="1" customHeight="1">
      <c r="A505" s="927"/>
      <c r="B505" s="546" t="s">
        <v>247</v>
      </c>
      <c r="C505" s="546"/>
      <c r="D505" s="546"/>
      <c r="E505" s="546"/>
      <c r="F505" s="546"/>
      <c r="G505" s="81">
        <f t="shared" ref="G505:G506" si="187">K505</f>
        <v>0</v>
      </c>
      <c r="H505" s="81"/>
      <c r="I505" s="81"/>
      <c r="J505" s="81"/>
      <c r="K505" s="81">
        <v>0</v>
      </c>
      <c r="L505" s="81"/>
      <c r="M505" s="81"/>
      <c r="N505" s="604"/>
      <c r="O505" s="944"/>
      <c r="AJ505" s="91"/>
      <c r="AK505" s="91"/>
      <c r="AL505" s="91"/>
      <c r="AM505" s="91"/>
      <c r="AN505" s="91"/>
      <c r="AO505" s="91"/>
      <c r="AP505" s="91"/>
      <c r="AQ505" s="91"/>
      <c r="AR505" s="91"/>
      <c r="AS505" s="91"/>
      <c r="AT505" s="91"/>
      <c r="AU505" s="91"/>
      <c r="AV505" s="91"/>
      <c r="AW505" s="91"/>
      <c r="AX505" s="91"/>
      <c r="AY505" s="91"/>
      <c r="AZ505" s="91"/>
      <c r="BA505" s="91"/>
      <c r="BB505" s="91"/>
      <c r="BC505" s="91"/>
      <c r="BD505" s="91"/>
      <c r="BE505" s="91"/>
      <c r="BF505" s="91"/>
      <c r="BG505" s="91"/>
      <c r="BH505" s="91"/>
      <c r="BI505" s="91"/>
    </row>
    <row r="506" spans="1:61" ht="23.45" hidden="1" customHeight="1">
      <c r="A506" s="928"/>
      <c r="B506" s="546" t="s">
        <v>495</v>
      </c>
      <c r="C506" s="546"/>
      <c r="D506" s="546"/>
      <c r="E506" s="546"/>
      <c r="F506" s="546"/>
      <c r="G506" s="81">
        <f t="shared" si="187"/>
        <v>0</v>
      </c>
      <c r="H506" s="81"/>
      <c r="I506" s="81"/>
      <c r="J506" s="81"/>
      <c r="K506" s="81">
        <v>0</v>
      </c>
      <c r="L506" s="81"/>
      <c r="M506" s="81"/>
      <c r="N506" s="604"/>
      <c r="O506" s="944"/>
    </row>
    <row r="507" spans="1:61" ht="24.95" customHeight="1">
      <c r="A507" s="945" t="s">
        <v>100</v>
      </c>
      <c r="B507" s="57" t="s">
        <v>721</v>
      </c>
      <c r="C507" s="57"/>
      <c r="D507" s="57"/>
      <c r="E507" s="57"/>
      <c r="F507" s="57"/>
      <c r="G507" s="80">
        <f t="shared" si="186"/>
        <v>1</v>
      </c>
      <c r="H507" s="80">
        <f t="shared" ref="H507:J507" si="188">H511+H519</f>
        <v>0</v>
      </c>
      <c r="I507" s="80">
        <f t="shared" si="188"/>
        <v>0</v>
      </c>
      <c r="J507" s="80">
        <f t="shared" si="188"/>
        <v>0</v>
      </c>
      <c r="K507" s="80">
        <f>K513+K515+K519</f>
        <v>1</v>
      </c>
      <c r="L507" s="80">
        <f t="shared" ref="L507:M507" si="189">L511+L513+L515</f>
        <v>0</v>
      </c>
      <c r="M507" s="80">
        <f t="shared" si="189"/>
        <v>0</v>
      </c>
      <c r="N507" s="604"/>
      <c r="O507" s="610"/>
    </row>
    <row r="508" spans="1:61" ht="24.95" customHeight="1">
      <c r="A508" s="945"/>
      <c r="B508" s="57" t="s">
        <v>439</v>
      </c>
      <c r="C508" s="57"/>
      <c r="D508" s="57"/>
      <c r="E508" s="57"/>
      <c r="F508" s="57"/>
      <c r="G508" s="80">
        <f>K508</f>
        <v>39711.300000000003</v>
      </c>
      <c r="H508" s="80"/>
      <c r="I508" s="80"/>
      <c r="J508" s="80"/>
      <c r="K508" s="80">
        <f>K509+K510</f>
        <v>39711.300000000003</v>
      </c>
      <c r="L508" s="80">
        <f>L509+L510</f>
        <v>0</v>
      </c>
      <c r="M508" s="80"/>
      <c r="N508" s="604"/>
      <c r="O508" s="610"/>
    </row>
    <row r="509" spans="1:61" ht="24.95" customHeight="1">
      <c r="A509" s="945"/>
      <c r="B509" s="57" t="s">
        <v>247</v>
      </c>
      <c r="C509" s="57"/>
      <c r="D509" s="57"/>
      <c r="E509" s="57"/>
      <c r="F509" s="57"/>
      <c r="G509" s="80">
        <f t="shared" ref="G509:G510" si="190">K509</f>
        <v>39711.300000000003</v>
      </c>
      <c r="H509" s="80"/>
      <c r="I509" s="80"/>
      <c r="J509" s="80"/>
      <c r="K509" s="80">
        <f>K514+K517+K521</f>
        <v>39711.300000000003</v>
      </c>
      <c r="L509" s="80">
        <f>L514+L517+L521</f>
        <v>0</v>
      </c>
      <c r="M509" s="80"/>
      <c r="N509" s="604"/>
      <c r="O509" s="610"/>
    </row>
    <row r="510" spans="1:61" ht="23.25" customHeight="1">
      <c r="A510" s="945"/>
      <c r="B510" s="57" t="s">
        <v>495</v>
      </c>
      <c r="C510" s="57"/>
      <c r="D510" s="57"/>
      <c r="E510" s="57"/>
      <c r="F510" s="57"/>
      <c r="G510" s="80">
        <f t="shared" si="190"/>
        <v>0</v>
      </c>
      <c r="H510" s="80">
        <f t="shared" ref="H510:J510" si="191">H512+H518+H522</f>
        <v>0</v>
      </c>
      <c r="I510" s="80">
        <f t="shared" si="191"/>
        <v>0</v>
      </c>
      <c r="J510" s="80">
        <f t="shared" si="191"/>
        <v>0</v>
      </c>
      <c r="K510" s="80">
        <f>K518+K522</f>
        <v>0</v>
      </c>
      <c r="L510" s="80">
        <f>L518+L522</f>
        <v>0</v>
      </c>
      <c r="M510" s="80">
        <f>M512+M518</f>
        <v>0</v>
      </c>
      <c r="N510" s="604"/>
      <c r="O510" s="610"/>
      <c r="V510" s="43">
        <v>121.8</v>
      </c>
    </row>
    <row r="511" spans="1:61" ht="30.75" hidden="1" customHeight="1">
      <c r="A511" s="932" t="s">
        <v>916</v>
      </c>
      <c r="B511" s="546" t="s">
        <v>89</v>
      </c>
      <c r="C511" s="546">
        <v>176</v>
      </c>
      <c r="D511" s="546" t="s">
        <v>15</v>
      </c>
      <c r="E511" s="546">
        <v>6100404</v>
      </c>
      <c r="F511" s="546">
        <v>243</v>
      </c>
      <c r="G511" s="81"/>
      <c r="H511" s="81"/>
      <c r="I511" s="81"/>
      <c r="J511" s="81"/>
      <c r="K511" s="81"/>
      <c r="L511" s="81"/>
      <c r="M511" s="81"/>
      <c r="N511" s="604"/>
      <c r="O511" s="944" t="s">
        <v>912</v>
      </c>
    </row>
    <row r="512" spans="1:61" ht="30.75" hidden="1" customHeight="1">
      <c r="A512" s="932"/>
      <c r="B512" s="546" t="s">
        <v>246</v>
      </c>
      <c r="C512" s="546"/>
      <c r="D512" s="546"/>
      <c r="E512" s="546"/>
      <c r="F512" s="546"/>
      <c r="G512" s="81"/>
      <c r="H512" s="81"/>
      <c r="I512" s="81"/>
      <c r="J512" s="81"/>
      <c r="K512" s="81"/>
      <c r="L512" s="81">
        <f>15882.9-15882.9</f>
        <v>0</v>
      </c>
      <c r="M512" s="81"/>
      <c r="N512" s="604"/>
      <c r="O512" s="944"/>
    </row>
    <row r="513" spans="1:61" ht="30.75" hidden="1" customHeight="1">
      <c r="A513" s="926" t="s">
        <v>311</v>
      </c>
      <c r="B513" s="546" t="s">
        <v>721</v>
      </c>
      <c r="C513" s="546"/>
      <c r="D513" s="546"/>
      <c r="E513" s="546"/>
      <c r="F513" s="546"/>
      <c r="G513" s="81">
        <f>K513</f>
        <v>0</v>
      </c>
      <c r="H513" s="81"/>
      <c r="I513" s="81"/>
      <c r="J513" s="81"/>
      <c r="K513" s="81"/>
      <c r="L513" s="81"/>
      <c r="M513" s="81"/>
      <c r="N513" s="604"/>
      <c r="O513" s="944" t="s">
        <v>730</v>
      </c>
    </row>
    <row r="514" spans="1:61" ht="24.6" hidden="1" customHeight="1">
      <c r="A514" s="928"/>
      <c r="B514" s="546" t="s">
        <v>246</v>
      </c>
      <c r="C514" s="546"/>
      <c r="D514" s="546"/>
      <c r="E514" s="546"/>
      <c r="F514" s="546"/>
      <c r="G514" s="81">
        <f>K514</f>
        <v>0</v>
      </c>
      <c r="H514" s="81"/>
      <c r="I514" s="81"/>
      <c r="J514" s="81"/>
      <c r="K514" s="81"/>
      <c r="L514" s="81"/>
      <c r="M514" s="81"/>
      <c r="N514" s="604"/>
      <c r="O514" s="944"/>
    </row>
    <row r="515" spans="1:61" ht="24.6" customHeight="1">
      <c r="A515" s="932" t="s">
        <v>556</v>
      </c>
      <c r="B515" s="546" t="s">
        <v>721</v>
      </c>
      <c r="C515" s="546">
        <v>176</v>
      </c>
      <c r="D515" s="546" t="s">
        <v>15</v>
      </c>
      <c r="E515" s="546">
        <v>6100404</v>
      </c>
      <c r="F515" s="546">
        <v>243</v>
      </c>
      <c r="G515" s="81">
        <f>K515</f>
        <v>1</v>
      </c>
      <c r="H515" s="81"/>
      <c r="I515" s="81"/>
      <c r="J515" s="81"/>
      <c r="K515" s="81">
        <v>1</v>
      </c>
      <c r="L515" s="81"/>
      <c r="M515" s="81"/>
      <c r="N515" s="604"/>
      <c r="O515" s="944" t="s">
        <v>957</v>
      </c>
    </row>
    <row r="516" spans="1:61" ht="24.6" customHeight="1">
      <c r="A516" s="932"/>
      <c r="B516" s="546" t="s">
        <v>439</v>
      </c>
      <c r="C516" s="546"/>
      <c r="D516" s="546"/>
      <c r="E516" s="546"/>
      <c r="F516" s="546"/>
      <c r="G516" s="81">
        <f t="shared" ref="G516:G518" si="192">K516</f>
        <v>39711.300000000003</v>
      </c>
      <c r="H516" s="81"/>
      <c r="I516" s="81"/>
      <c r="J516" s="81"/>
      <c r="K516" s="81">
        <f>K517+K518</f>
        <v>39711.300000000003</v>
      </c>
      <c r="L516" s="81">
        <f>L517+L518</f>
        <v>0</v>
      </c>
      <c r="M516" s="81"/>
      <c r="N516" s="604"/>
      <c r="O516" s="944"/>
    </row>
    <row r="517" spans="1:61" ht="24.6" customHeight="1">
      <c r="A517" s="932"/>
      <c r="B517" s="546" t="s">
        <v>247</v>
      </c>
      <c r="C517" s="546"/>
      <c r="D517" s="546"/>
      <c r="E517" s="546"/>
      <c r="F517" s="546"/>
      <c r="G517" s="81">
        <f t="shared" si="192"/>
        <v>39711.300000000003</v>
      </c>
      <c r="H517" s="81"/>
      <c r="I517" s="81"/>
      <c r="J517" s="81"/>
      <c r="K517" s="81">
        <v>39711.300000000003</v>
      </c>
      <c r="L517" s="81"/>
      <c r="M517" s="81"/>
      <c r="N517" s="604"/>
      <c r="O517" s="944"/>
    </row>
    <row r="518" spans="1:61" s="44" customFormat="1" ht="24" customHeight="1">
      <c r="A518" s="932"/>
      <c r="B518" s="546" t="s">
        <v>495</v>
      </c>
      <c r="C518" s="546"/>
      <c r="D518" s="546"/>
      <c r="E518" s="546"/>
      <c r="F518" s="546"/>
      <c r="G518" s="81">
        <f t="shared" si="192"/>
        <v>0</v>
      </c>
      <c r="H518" s="81"/>
      <c r="I518" s="81"/>
      <c r="J518" s="81"/>
      <c r="K518" s="81">
        <v>0</v>
      </c>
      <c r="L518" s="81"/>
      <c r="M518" s="81"/>
      <c r="N518" s="604"/>
      <c r="O518" s="944"/>
      <c r="AJ518" s="91"/>
      <c r="AK518" s="91"/>
      <c r="AL518" s="91"/>
      <c r="AM518" s="91"/>
      <c r="AN518" s="91"/>
      <c r="AO518" s="91"/>
      <c r="AP518" s="91"/>
      <c r="AQ518" s="91"/>
      <c r="AR518" s="91"/>
      <c r="AS518" s="91"/>
      <c r="AT518" s="91"/>
      <c r="AU518" s="91"/>
      <c r="AV518" s="91"/>
      <c r="AW518" s="91"/>
      <c r="AX518" s="91"/>
      <c r="AY518" s="91"/>
      <c r="AZ518" s="91"/>
      <c r="BA518" s="91"/>
      <c r="BB518" s="91"/>
      <c r="BC518" s="91"/>
      <c r="BD518" s="91"/>
      <c r="BE518" s="91"/>
      <c r="BF518" s="91"/>
      <c r="BG518" s="91"/>
      <c r="BH518" s="91"/>
      <c r="BI518" s="91"/>
    </row>
    <row r="519" spans="1:61" s="44" customFormat="1" ht="24.6" hidden="1" customHeight="1">
      <c r="A519" s="926" t="s">
        <v>477</v>
      </c>
      <c r="B519" s="546" t="s">
        <v>721</v>
      </c>
      <c r="C519" s="546">
        <v>176</v>
      </c>
      <c r="D519" s="546" t="s">
        <v>15</v>
      </c>
      <c r="E519" s="546">
        <v>6100404</v>
      </c>
      <c r="F519" s="546">
        <v>243</v>
      </c>
      <c r="G519" s="81">
        <f>K519</f>
        <v>0</v>
      </c>
      <c r="H519" s="81"/>
      <c r="I519" s="81"/>
      <c r="J519" s="81"/>
      <c r="K519" s="81"/>
      <c r="L519" s="81"/>
      <c r="M519" s="81"/>
      <c r="N519" s="604"/>
      <c r="O519" s="944" t="s">
        <v>726</v>
      </c>
      <c r="AJ519" s="91"/>
      <c r="AK519" s="91"/>
      <c r="AL519" s="91"/>
      <c r="AM519" s="91"/>
      <c r="AN519" s="91"/>
      <c r="AO519" s="91"/>
      <c r="AP519" s="91"/>
      <c r="AQ519" s="91"/>
      <c r="AR519" s="91"/>
      <c r="AS519" s="91"/>
      <c r="AT519" s="91"/>
      <c r="AU519" s="91"/>
      <c r="AV519" s="91"/>
      <c r="AW519" s="91"/>
      <c r="AX519" s="91"/>
      <c r="AY519" s="91"/>
      <c r="AZ519" s="91"/>
      <c r="BA519" s="91"/>
      <c r="BB519" s="91"/>
      <c r="BC519" s="91"/>
      <c r="BD519" s="91"/>
      <c r="BE519" s="91"/>
      <c r="BF519" s="91"/>
      <c r="BG519" s="91"/>
      <c r="BH519" s="91"/>
      <c r="BI519" s="91"/>
    </row>
    <row r="520" spans="1:61" s="44" customFormat="1" ht="24.6" hidden="1" customHeight="1">
      <c r="A520" s="927"/>
      <c r="B520" s="546" t="s">
        <v>439</v>
      </c>
      <c r="C520" s="546"/>
      <c r="D520" s="546"/>
      <c r="E520" s="546"/>
      <c r="F520" s="546"/>
      <c r="G520" s="81">
        <f t="shared" ref="G520:G522" si="193">K520</f>
        <v>0</v>
      </c>
      <c r="H520" s="81"/>
      <c r="I520" s="81"/>
      <c r="J520" s="81"/>
      <c r="K520" s="81">
        <f>K521+K522</f>
        <v>0</v>
      </c>
      <c r="L520" s="81"/>
      <c r="M520" s="81"/>
      <c r="N520" s="604"/>
      <c r="O520" s="944"/>
      <c r="AJ520" s="91"/>
      <c r="AK520" s="91"/>
      <c r="AL520" s="91"/>
      <c r="AM520" s="91"/>
      <c r="AN520" s="91"/>
      <c r="AO520" s="91"/>
      <c r="AP520" s="91"/>
      <c r="AQ520" s="91"/>
      <c r="AR520" s="91"/>
      <c r="AS520" s="91"/>
      <c r="AT520" s="91"/>
      <c r="AU520" s="91"/>
      <c r="AV520" s="91"/>
      <c r="AW520" s="91"/>
      <c r="AX520" s="91"/>
      <c r="AY520" s="91"/>
      <c r="AZ520" s="91"/>
      <c r="BA520" s="91"/>
      <c r="BB520" s="91"/>
      <c r="BC520" s="91"/>
      <c r="BD520" s="91"/>
      <c r="BE520" s="91"/>
      <c r="BF520" s="91"/>
      <c r="BG520" s="91"/>
      <c r="BH520" s="91"/>
      <c r="BI520" s="91"/>
    </row>
    <row r="521" spans="1:61" s="44" customFormat="1" ht="24.6" hidden="1" customHeight="1">
      <c r="A521" s="927"/>
      <c r="B521" s="546" t="s">
        <v>247</v>
      </c>
      <c r="C521" s="546"/>
      <c r="D521" s="546"/>
      <c r="E521" s="546"/>
      <c r="F521" s="546"/>
      <c r="G521" s="81">
        <f t="shared" si="193"/>
        <v>0</v>
      </c>
      <c r="H521" s="81"/>
      <c r="I521" s="81"/>
      <c r="J521" s="81"/>
      <c r="K521" s="81"/>
      <c r="L521" s="81"/>
      <c r="M521" s="81"/>
      <c r="N521" s="604"/>
      <c r="O521" s="944"/>
      <c r="AJ521" s="91"/>
      <c r="AK521" s="91"/>
      <c r="AL521" s="91"/>
      <c r="AM521" s="91"/>
      <c r="AN521" s="91"/>
      <c r="AO521" s="91"/>
      <c r="AP521" s="91"/>
      <c r="AQ521" s="91"/>
      <c r="AR521" s="91"/>
      <c r="AS521" s="91"/>
      <c r="AT521" s="91"/>
      <c r="AU521" s="91"/>
      <c r="AV521" s="91"/>
      <c r="AW521" s="91"/>
      <c r="AX521" s="91"/>
      <c r="AY521" s="91"/>
      <c r="AZ521" s="91"/>
      <c r="BA521" s="91"/>
      <c r="BB521" s="91"/>
      <c r="BC521" s="91"/>
      <c r="BD521" s="91"/>
      <c r="BE521" s="91"/>
      <c r="BF521" s="91"/>
      <c r="BG521" s="91"/>
      <c r="BH521" s="91"/>
      <c r="BI521" s="91"/>
    </row>
    <row r="522" spans="1:61" s="44" customFormat="1" ht="24.6" hidden="1" customHeight="1">
      <c r="A522" s="928"/>
      <c r="B522" s="546" t="s">
        <v>495</v>
      </c>
      <c r="C522" s="546"/>
      <c r="D522" s="546"/>
      <c r="E522" s="546"/>
      <c r="F522" s="546"/>
      <c r="G522" s="81">
        <f t="shared" si="193"/>
        <v>0</v>
      </c>
      <c r="H522" s="81"/>
      <c r="I522" s="81"/>
      <c r="J522" s="81"/>
      <c r="K522" s="81"/>
      <c r="L522" s="81"/>
      <c r="M522" s="81"/>
      <c r="N522" s="604"/>
      <c r="O522" s="944"/>
      <c r="AJ522" s="91"/>
      <c r="AK522" s="91"/>
      <c r="AL522" s="91"/>
      <c r="AM522" s="91"/>
      <c r="AN522" s="91"/>
      <c r="AO522" s="91"/>
      <c r="AP522" s="91"/>
      <c r="AQ522" s="91"/>
      <c r="AR522" s="91"/>
      <c r="AS522" s="91"/>
      <c r="AT522" s="91"/>
      <c r="AU522" s="91"/>
      <c r="AV522" s="91"/>
      <c r="AW522" s="91"/>
      <c r="AX522" s="91"/>
      <c r="AY522" s="91"/>
      <c r="AZ522" s="91"/>
      <c r="BA522" s="91"/>
      <c r="BB522" s="91"/>
      <c r="BC522" s="91"/>
      <c r="BD522" s="91"/>
      <c r="BE522" s="91"/>
      <c r="BF522" s="91"/>
      <c r="BG522" s="91"/>
      <c r="BH522" s="91"/>
      <c r="BI522" s="91"/>
    </row>
    <row r="523" spans="1:61" s="44" customFormat="1" ht="22.15" hidden="1" customHeight="1">
      <c r="A523" s="1019" t="s">
        <v>119</v>
      </c>
      <c r="B523" s="57" t="s">
        <v>89</v>
      </c>
      <c r="C523" s="57"/>
      <c r="D523" s="57"/>
      <c r="E523" s="57"/>
      <c r="F523" s="57"/>
      <c r="G523" s="80">
        <f>G527+G535+G533</f>
        <v>0</v>
      </c>
      <c r="H523" s="80">
        <f t="shared" ref="H523:J523" si="194">H527+H535+H533</f>
        <v>0</v>
      </c>
      <c r="I523" s="80">
        <f t="shared" si="194"/>
        <v>0</v>
      </c>
      <c r="J523" s="80">
        <f t="shared" si="194"/>
        <v>0</v>
      </c>
      <c r="K523" s="80"/>
      <c r="L523" s="80">
        <f t="shared" ref="L523" si="195">L527+L535</f>
        <v>0</v>
      </c>
      <c r="M523" s="80"/>
      <c r="N523" s="604"/>
      <c r="O523" s="610"/>
      <c r="AJ523" s="91"/>
      <c r="AK523" s="91"/>
      <c r="AL523" s="91"/>
      <c r="AM523" s="91"/>
      <c r="AN523" s="91"/>
      <c r="AO523" s="91"/>
      <c r="AP523" s="91"/>
      <c r="AQ523" s="91"/>
      <c r="AR523" s="91"/>
      <c r="AS523" s="91"/>
      <c r="AT523" s="91"/>
      <c r="AU523" s="91"/>
      <c r="AV523" s="91"/>
      <c r="AW523" s="91"/>
      <c r="AX523" s="91"/>
      <c r="AY523" s="91"/>
      <c r="AZ523" s="91"/>
      <c r="BA523" s="91"/>
      <c r="BB523" s="91"/>
      <c r="BC523" s="91"/>
      <c r="BD523" s="91"/>
      <c r="BE523" s="91"/>
      <c r="BF523" s="91"/>
      <c r="BG523" s="91"/>
      <c r="BH523" s="91"/>
      <c r="BI523" s="91"/>
    </row>
    <row r="524" spans="1:61" ht="24.6" hidden="1" customHeight="1">
      <c r="A524" s="1019"/>
      <c r="B524" s="57" t="s">
        <v>246</v>
      </c>
      <c r="C524" s="57"/>
      <c r="D524" s="57"/>
      <c r="E524" s="57"/>
      <c r="F524" s="57"/>
      <c r="G524" s="80">
        <f t="shared" ref="G524:L524" si="196">G525+G526</f>
        <v>0</v>
      </c>
      <c r="H524" s="80">
        <f t="shared" si="196"/>
        <v>0</v>
      </c>
      <c r="I524" s="80">
        <f t="shared" si="196"/>
        <v>0</v>
      </c>
      <c r="J524" s="80">
        <f t="shared" si="196"/>
        <v>0</v>
      </c>
      <c r="K524" s="80"/>
      <c r="L524" s="80">
        <f t="shared" si="196"/>
        <v>0</v>
      </c>
      <c r="M524" s="80"/>
      <c r="N524" s="604"/>
      <c r="O524" s="610"/>
    </row>
    <row r="525" spans="1:61" ht="24.6" hidden="1" customHeight="1">
      <c r="A525" s="1019"/>
      <c r="B525" s="57" t="s">
        <v>247</v>
      </c>
      <c r="C525" s="57"/>
      <c r="D525" s="57"/>
      <c r="E525" s="57"/>
      <c r="F525" s="57"/>
      <c r="G525" s="80">
        <f>G529+G536+G534</f>
        <v>0</v>
      </c>
      <c r="H525" s="80">
        <f t="shared" ref="H525:J525" si="197">H529+H536+H534</f>
        <v>0</v>
      </c>
      <c r="I525" s="80">
        <f t="shared" si="197"/>
        <v>0</v>
      </c>
      <c r="J525" s="80">
        <f t="shared" si="197"/>
        <v>0</v>
      </c>
      <c r="K525" s="80"/>
      <c r="L525" s="80">
        <f t="shared" ref="L525" si="198">L529+L536</f>
        <v>0</v>
      </c>
      <c r="M525" s="80"/>
      <c r="N525" s="604"/>
      <c r="O525" s="610"/>
    </row>
    <row r="526" spans="1:61" ht="24" hidden="1" customHeight="1">
      <c r="A526" s="1019"/>
      <c r="B526" s="57" t="s">
        <v>248</v>
      </c>
      <c r="C526" s="57"/>
      <c r="D526" s="57"/>
      <c r="E526" s="57"/>
      <c r="F526" s="57"/>
      <c r="G526" s="80">
        <f t="shared" ref="G526:L526" si="199">G530</f>
        <v>0</v>
      </c>
      <c r="H526" s="80"/>
      <c r="I526" s="80"/>
      <c r="J526" s="80"/>
      <c r="K526" s="80"/>
      <c r="L526" s="80">
        <f t="shared" si="199"/>
        <v>0</v>
      </c>
      <c r="M526" s="80"/>
      <c r="N526" s="604"/>
      <c r="O526" s="610"/>
    </row>
    <row r="527" spans="1:61" ht="24.6" hidden="1" customHeight="1">
      <c r="A527" s="932" t="s">
        <v>118</v>
      </c>
      <c r="B527" s="546" t="s">
        <v>89</v>
      </c>
      <c r="C527" s="546">
        <v>176</v>
      </c>
      <c r="D527" s="546" t="s">
        <v>15</v>
      </c>
      <c r="E527" s="546">
        <v>6100404</v>
      </c>
      <c r="F527" s="546">
        <v>243</v>
      </c>
      <c r="G527" s="81">
        <v>0</v>
      </c>
      <c r="H527" s="81"/>
      <c r="I527" s="81"/>
      <c r="J527" s="81"/>
      <c r="K527" s="81"/>
      <c r="L527" s="81"/>
      <c r="M527" s="81"/>
      <c r="N527" s="604"/>
      <c r="O527" s="944" t="s">
        <v>36</v>
      </c>
    </row>
    <row r="528" spans="1:61" ht="24.6" hidden="1" customHeight="1">
      <c r="A528" s="932"/>
      <c r="B528" s="546" t="s">
        <v>235</v>
      </c>
      <c r="C528" s="546"/>
      <c r="D528" s="546"/>
      <c r="E528" s="546"/>
      <c r="F528" s="546"/>
      <c r="G528" s="81">
        <f t="shared" ref="G528:L528" si="200">G529+G530</f>
        <v>0</v>
      </c>
      <c r="H528" s="81"/>
      <c r="I528" s="81"/>
      <c r="J528" s="81"/>
      <c r="K528" s="81"/>
      <c r="L528" s="81">
        <f t="shared" si="200"/>
        <v>0</v>
      </c>
      <c r="M528" s="81"/>
      <c r="N528" s="604"/>
      <c r="O528" s="944"/>
    </row>
    <row r="529" spans="1:61" ht="24.6" hidden="1" customHeight="1">
      <c r="A529" s="932"/>
      <c r="B529" s="546" t="s">
        <v>247</v>
      </c>
      <c r="C529" s="546"/>
      <c r="D529" s="546"/>
      <c r="E529" s="546"/>
      <c r="F529" s="546"/>
      <c r="G529" s="81"/>
      <c r="H529" s="81"/>
      <c r="I529" s="81"/>
      <c r="J529" s="81"/>
      <c r="K529" s="81"/>
      <c r="L529" s="81"/>
      <c r="M529" s="81"/>
      <c r="N529" s="604"/>
      <c r="O529" s="944"/>
    </row>
    <row r="530" spans="1:61" ht="24" hidden="1" customHeight="1">
      <c r="A530" s="932"/>
      <c r="B530" s="546" t="s">
        <v>248</v>
      </c>
      <c r="C530" s="546"/>
      <c r="D530" s="546"/>
      <c r="E530" s="546"/>
      <c r="F530" s="546"/>
      <c r="G530" s="81"/>
      <c r="H530" s="81"/>
      <c r="I530" s="81"/>
      <c r="J530" s="81"/>
      <c r="K530" s="81"/>
      <c r="L530" s="81"/>
      <c r="M530" s="81"/>
      <c r="N530" s="604"/>
      <c r="O530" s="944"/>
    </row>
    <row r="531" spans="1:61" ht="24.6" hidden="1" customHeight="1">
      <c r="A531" s="1018" t="s">
        <v>120</v>
      </c>
      <c r="B531" s="546" t="s">
        <v>89</v>
      </c>
      <c r="C531" s="546">
        <v>176</v>
      </c>
      <c r="D531" s="546" t="s">
        <v>15</v>
      </c>
      <c r="E531" s="546">
        <v>6100404</v>
      </c>
      <c r="F531" s="546">
        <v>243</v>
      </c>
      <c r="G531" s="81"/>
      <c r="H531" s="81"/>
      <c r="I531" s="81"/>
      <c r="J531" s="81"/>
      <c r="K531" s="81"/>
      <c r="L531" s="81"/>
      <c r="M531" s="81"/>
      <c r="N531" s="604"/>
      <c r="O531" s="944" t="s">
        <v>37</v>
      </c>
    </row>
    <row r="532" spans="1:61" ht="24.6" hidden="1" customHeight="1">
      <c r="A532" s="1018"/>
      <c r="B532" s="546" t="s">
        <v>246</v>
      </c>
      <c r="C532" s="546"/>
      <c r="D532" s="546"/>
      <c r="E532" s="546"/>
      <c r="F532" s="546"/>
      <c r="G532" s="81"/>
      <c r="H532" s="81"/>
      <c r="I532" s="81"/>
      <c r="J532" s="81"/>
      <c r="K532" s="81"/>
      <c r="L532" s="81"/>
      <c r="M532" s="81"/>
      <c r="N532" s="604"/>
      <c r="O532" s="944"/>
    </row>
    <row r="533" spans="1:61" ht="23.45" hidden="1" customHeight="1">
      <c r="A533" s="1018" t="s">
        <v>316</v>
      </c>
      <c r="B533" s="546" t="s">
        <v>89</v>
      </c>
      <c r="C533" s="546">
        <v>176</v>
      </c>
      <c r="D533" s="546" t="s">
        <v>15</v>
      </c>
      <c r="E533" s="546">
        <v>6100404</v>
      </c>
      <c r="F533" s="546">
        <v>243</v>
      </c>
      <c r="G533" s="81">
        <f>J533</f>
        <v>0</v>
      </c>
      <c r="H533" s="81"/>
      <c r="I533" s="81"/>
      <c r="J533" s="81"/>
      <c r="K533" s="81"/>
      <c r="L533" s="81"/>
      <c r="M533" s="81"/>
      <c r="N533" s="604"/>
      <c r="O533" s="944" t="s">
        <v>279</v>
      </c>
    </row>
    <row r="534" spans="1:61" s="44" customFormat="1" ht="24.6" hidden="1" customHeight="1">
      <c r="A534" s="1018"/>
      <c r="B534" s="546" t="s">
        <v>246</v>
      </c>
      <c r="C534" s="546"/>
      <c r="D534" s="546"/>
      <c r="E534" s="546"/>
      <c r="F534" s="546"/>
      <c r="G534" s="81">
        <f>J534</f>
        <v>0</v>
      </c>
      <c r="H534" s="81"/>
      <c r="I534" s="81"/>
      <c r="J534" s="81"/>
      <c r="K534" s="81"/>
      <c r="L534" s="81"/>
      <c r="M534" s="81"/>
      <c r="N534" s="604"/>
      <c r="O534" s="944"/>
      <c r="AJ534" s="91"/>
      <c r="AK534" s="91"/>
      <c r="AL534" s="91"/>
      <c r="AM534" s="91"/>
      <c r="AN534" s="91"/>
      <c r="AO534" s="91"/>
      <c r="AP534" s="91"/>
      <c r="AQ534" s="91"/>
      <c r="AR534" s="91"/>
      <c r="AS534" s="91"/>
      <c r="AT534" s="91"/>
      <c r="AU534" s="91"/>
      <c r="AV534" s="91"/>
      <c r="AW534" s="91"/>
      <c r="AX534" s="91"/>
      <c r="AY534" s="91"/>
      <c r="AZ534" s="91"/>
      <c r="BA534" s="91"/>
      <c r="BB534" s="91"/>
      <c r="BC534" s="91"/>
      <c r="BD534" s="91"/>
      <c r="BE534" s="91"/>
      <c r="BF534" s="91"/>
      <c r="BG534" s="91"/>
      <c r="BH534" s="91"/>
      <c r="BI534" s="91"/>
    </row>
    <row r="535" spans="1:61" s="44" customFormat="1" ht="24.6" hidden="1" customHeight="1">
      <c r="A535" s="1018" t="s">
        <v>111</v>
      </c>
      <c r="B535" s="546" t="s">
        <v>89</v>
      </c>
      <c r="C535" s="546">
        <v>176</v>
      </c>
      <c r="D535" s="546" t="s">
        <v>15</v>
      </c>
      <c r="E535" s="546">
        <v>6100404</v>
      </c>
      <c r="F535" s="546">
        <v>243</v>
      </c>
      <c r="G535" s="81"/>
      <c r="H535" s="81"/>
      <c r="I535" s="81"/>
      <c r="J535" s="81"/>
      <c r="K535" s="81"/>
      <c r="L535" s="81"/>
      <c r="M535" s="81"/>
      <c r="N535" s="604"/>
      <c r="O535" s="944" t="s">
        <v>111</v>
      </c>
      <c r="AJ535" s="91"/>
      <c r="AK535" s="91"/>
      <c r="AL535" s="91"/>
      <c r="AM535" s="91"/>
      <c r="AN535" s="91"/>
      <c r="AO535" s="91"/>
      <c r="AP535" s="91"/>
      <c r="AQ535" s="91"/>
      <c r="AR535" s="91"/>
      <c r="AS535" s="91"/>
      <c r="AT535" s="91"/>
      <c r="AU535" s="91"/>
      <c r="AV535" s="91"/>
      <c r="AW535" s="91"/>
      <c r="AX535" s="91"/>
      <c r="AY535" s="91"/>
      <c r="AZ535" s="91"/>
      <c r="BA535" s="91"/>
      <c r="BB535" s="91"/>
      <c r="BC535" s="91"/>
      <c r="BD535" s="91"/>
      <c r="BE535" s="91"/>
      <c r="BF535" s="91"/>
      <c r="BG535" s="91"/>
      <c r="BH535" s="91"/>
      <c r="BI535" s="91"/>
    </row>
    <row r="536" spans="1:61" ht="24.6" hidden="1" customHeight="1">
      <c r="A536" s="1018"/>
      <c r="B536" s="546" t="s">
        <v>246</v>
      </c>
      <c r="C536" s="546"/>
      <c r="D536" s="546"/>
      <c r="E536" s="546"/>
      <c r="F536" s="546"/>
      <c r="G536" s="81"/>
      <c r="H536" s="81"/>
      <c r="I536" s="81"/>
      <c r="J536" s="81"/>
      <c r="K536" s="81"/>
      <c r="L536" s="81"/>
      <c r="M536" s="81"/>
      <c r="N536" s="604"/>
      <c r="O536" s="944"/>
    </row>
    <row r="537" spans="1:61" ht="24.6" hidden="1" customHeight="1">
      <c r="A537" s="945" t="s">
        <v>124</v>
      </c>
      <c r="B537" s="57" t="s">
        <v>721</v>
      </c>
      <c r="C537" s="57"/>
      <c r="D537" s="57"/>
      <c r="E537" s="57"/>
      <c r="F537" s="57"/>
      <c r="G537" s="80">
        <f>G541+G543</f>
        <v>0</v>
      </c>
      <c r="H537" s="80">
        <f t="shared" ref="H537:K537" si="201">H541+H543</f>
        <v>0</v>
      </c>
      <c r="I537" s="80">
        <f t="shared" si="201"/>
        <v>0</v>
      </c>
      <c r="J537" s="80">
        <f t="shared" si="201"/>
        <v>0</v>
      </c>
      <c r="K537" s="80">
        <f t="shared" si="201"/>
        <v>0</v>
      </c>
      <c r="L537" s="80">
        <f t="shared" ref="L537:M537" si="202">L541+L543</f>
        <v>0</v>
      </c>
      <c r="M537" s="80">
        <f t="shared" si="202"/>
        <v>0</v>
      </c>
      <c r="N537" s="604"/>
      <c r="O537" s="610"/>
    </row>
    <row r="538" spans="1:61" ht="24.6" hidden="1" customHeight="1">
      <c r="A538" s="945"/>
      <c r="B538" s="57" t="s">
        <v>439</v>
      </c>
      <c r="C538" s="57"/>
      <c r="D538" s="57"/>
      <c r="E538" s="57"/>
      <c r="F538" s="57"/>
      <c r="G538" s="80">
        <f>J538</f>
        <v>0</v>
      </c>
      <c r="H538" s="80"/>
      <c r="I538" s="80"/>
      <c r="J538" s="80">
        <f>J539+J540</f>
        <v>0</v>
      </c>
      <c r="K538" s="80"/>
      <c r="L538" s="80"/>
      <c r="M538" s="80"/>
      <c r="N538" s="604"/>
      <c r="O538" s="610"/>
    </row>
    <row r="539" spans="1:61" ht="24.6" hidden="1" customHeight="1">
      <c r="A539" s="945"/>
      <c r="B539" s="57" t="s">
        <v>247</v>
      </c>
      <c r="C539" s="57"/>
      <c r="D539" s="57"/>
      <c r="E539" s="57"/>
      <c r="F539" s="57"/>
      <c r="G539" s="80">
        <f t="shared" ref="G539:G540" si="203">J539</f>
        <v>0</v>
      </c>
      <c r="H539" s="80"/>
      <c r="I539" s="80"/>
      <c r="J539" s="80">
        <f>J545</f>
        <v>0</v>
      </c>
      <c r="K539" s="80"/>
      <c r="L539" s="80"/>
      <c r="M539" s="80"/>
      <c r="N539" s="604"/>
      <c r="O539" s="610"/>
    </row>
    <row r="540" spans="1:61" ht="24.6" hidden="1" customHeight="1">
      <c r="A540" s="945"/>
      <c r="B540" s="57" t="s">
        <v>495</v>
      </c>
      <c r="C540" s="57"/>
      <c r="D540" s="57"/>
      <c r="E540" s="57"/>
      <c r="F540" s="57"/>
      <c r="G540" s="80">
        <f t="shared" si="203"/>
        <v>0</v>
      </c>
      <c r="H540" s="80">
        <f t="shared" ref="H540:K540" si="204">H542+H550+H546</f>
        <v>0</v>
      </c>
      <c r="I540" s="80">
        <f t="shared" si="204"/>
        <v>0</v>
      </c>
      <c r="J540" s="80">
        <f>J546</f>
        <v>0</v>
      </c>
      <c r="K540" s="80">
        <f t="shared" si="204"/>
        <v>0</v>
      </c>
      <c r="L540" s="80">
        <f t="shared" ref="L540:M540" si="205">L542+L550+L546</f>
        <v>0</v>
      </c>
      <c r="M540" s="80">
        <f t="shared" si="205"/>
        <v>0</v>
      </c>
      <c r="N540" s="604"/>
      <c r="O540" s="610"/>
    </row>
    <row r="541" spans="1:61" ht="22.9" hidden="1" customHeight="1">
      <c r="A541" s="932" t="s">
        <v>913</v>
      </c>
      <c r="B541" s="546" t="s">
        <v>89</v>
      </c>
      <c r="C541" s="546">
        <v>176</v>
      </c>
      <c r="D541" s="546" t="s">
        <v>15</v>
      </c>
      <c r="E541" s="546">
        <v>6100404</v>
      </c>
      <c r="F541" s="546">
        <v>243</v>
      </c>
      <c r="G541" s="81"/>
      <c r="H541" s="81"/>
      <c r="I541" s="81"/>
      <c r="J541" s="81"/>
      <c r="K541" s="81"/>
      <c r="L541" s="81"/>
      <c r="M541" s="81"/>
      <c r="N541" s="604"/>
      <c r="O541" s="944" t="s">
        <v>111</v>
      </c>
    </row>
    <row r="542" spans="1:61" ht="24.6" hidden="1" customHeight="1">
      <c r="A542" s="932"/>
      <c r="B542" s="546" t="s">
        <v>246</v>
      </c>
      <c r="C542" s="546"/>
      <c r="D542" s="546"/>
      <c r="E542" s="546"/>
      <c r="F542" s="546"/>
      <c r="G542" s="81">
        <f>J542</f>
        <v>0</v>
      </c>
      <c r="H542" s="81"/>
      <c r="I542" s="81"/>
      <c r="J542" s="81"/>
      <c r="K542" s="81"/>
      <c r="L542" s="81"/>
      <c r="M542" s="81"/>
      <c r="N542" s="604"/>
      <c r="O542" s="944"/>
    </row>
    <row r="543" spans="1:61" ht="24.6" hidden="1" customHeight="1">
      <c r="A543" s="926" t="s">
        <v>914</v>
      </c>
      <c r="B543" s="546" t="s">
        <v>721</v>
      </c>
      <c r="C543" s="546">
        <v>176</v>
      </c>
      <c r="D543" s="546" t="s">
        <v>15</v>
      </c>
      <c r="E543" s="546">
        <v>6100404</v>
      </c>
      <c r="F543" s="546">
        <v>243</v>
      </c>
      <c r="G543" s="81">
        <f>J543</f>
        <v>0</v>
      </c>
      <c r="H543" s="81"/>
      <c r="I543" s="81"/>
      <c r="J543" s="81"/>
      <c r="K543" s="81"/>
      <c r="L543" s="270"/>
      <c r="M543" s="99"/>
      <c r="N543" s="604"/>
      <c r="O543" s="944" t="s">
        <v>770</v>
      </c>
    </row>
    <row r="544" spans="1:61" ht="24.6" hidden="1" customHeight="1">
      <c r="A544" s="927"/>
      <c r="B544" s="546" t="s">
        <v>439</v>
      </c>
      <c r="C544" s="546"/>
      <c r="D544" s="546"/>
      <c r="E544" s="546"/>
      <c r="F544" s="546"/>
      <c r="G544" s="81">
        <f>J544</f>
        <v>0</v>
      </c>
      <c r="H544" s="81"/>
      <c r="I544" s="81"/>
      <c r="J544" s="81">
        <f>J545+J546</f>
        <v>0</v>
      </c>
      <c r="K544" s="81"/>
      <c r="L544" s="270"/>
      <c r="M544" s="99"/>
      <c r="N544" s="604"/>
      <c r="O544" s="944"/>
    </row>
    <row r="545" spans="1:61" ht="24.6" hidden="1" customHeight="1">
      <c r="A545" s="927"/>
      <c r="B545" s="546" t="s">
        <v>247</v>
      </c>
      <c r="C545" s="546"/>
      <c r="D545" s="546"/>
      <c r="E545" s="546"/>
      <c r="F545" s="546"/>
      <c r="G545" s="81">
        <f>J545</f>
        <v>0</v>
      </c>
      <c r="H545" s="81"/>
      <c r="I545" s="81"/>
      <c r="J545" s="81"/>
      <c r="K545" s="81"/>
      <c r="L545" s="270"/>
      <c r="M545" s="99"/>
      <c r="N545" s="604"/>
      <c r="O545" s="944"/>
    </row>
    <row r="546" spans="1:61" ht="23.45" hidden="1" customHeight="1">
      <c r="A546" s="928"/>
      <c r="B546" s="546" t="s">
        <v>495</v>
      </c>
      <c r="C546" s="546"/>
      <c r="D546" s="546"/>
      <c r="E546" s="546"/>
      <c r="F546" s="546"/>
      <c r="G546" s="81">
        <f>J546</f>
        <v>0</v>
      </c>
      <c r="H546" s="81"/>
      <c r="I546" s="81"/>
      <c r="J546" s="81"/>
      <c r="K546" s="81"/>
      <c r="L546" s="81"/>
      <c r="M546" s="81"/>
      <c r="N546" s="604"/>
      <c r="O546" s="944"/>
    </row>
    <row r="547" spans="1:61" ht="24.6" hidden="1" customHeight="1">
      <c r="A547" s="545" t="s">
        <v>180</v>
      </c>
      <c r="B547" s="546" t="s">
        <v>89</v>
      </c>
      <c r="C547" s="546">
        <v>176</v>
      </c>
      <c r="D547" s="546" t="s">
        <v>15</v>
      </c>
      <c r="E547" s="546">
        <v>6100404</v>
      </c>
      <c r="F547" s="546">
        <v>243</v>
      </c>
      <c r="G547" s="81"/>
      <c r="H547" s="81"/>
      <c r="I547" s="81"/>
      <c r="J547" s="81"/>
      <c r="K547" s="81"/>
      <c r="L547" s="81"/>
      <c r="M547" s="81"/>
      <c r="N547" s="604"/>
      <c r="O547" s="604" t="s">
        <v>35</v>
      </c>
    </row>
    <row r="548" spans="1:61" ht="24.6" hidden="1" customHeight="1">
      <c r="A548" s="545"/>
      <c r="B548" s="546" t="s">
        <v>246</v>
      </c>
      <c r="C548" s="546"/>
      <c r="D548" s="546"/>
      <c r="E548" s="546"/>
      <c r="F548" s="546"/>
      <c r="G548" s="81"/>
      <c r="H548" s="81"/>
      <c r="I548" s="81"/>
      <c r="J548" s="81"/>
      <c r="K548" s="81"/>
      <c r="L548" s="81"/>
      <c r="M548" s="81"/>
      <c r="N548" s="604"/>
      <c r="O548" s="604"/>
    </row>
    <row r="549" spans="1:61" ht="0.6" hidden="1" customHeight="1">
      <c r="A549" s="545" t="s">
        <v>183</v>
      </c>
      <c r="B549" s="546" t="s">
        <v>89</v>
      </c>
      <c r="C549" s="546">
        <v>176</v>
      </c>
      <c r="D549" s="546" t="s">
        <v>15</v>
      </c>
      <c r="E549" s="546">
        <v>6100404</v>
      </c>
      <c r="F549" s="546">
        <v>243</v>
      </c>
      <c r="G549" s="81">
        <v>0</v>
      </c>
      <c r="H549" s="81"/>
      <c r="I549" s="81"/>
      <c r="J549" s="81"/>
      <c r="K549" s="81"/>
      <c r="L549" s="81"/>
      <c r="M549" s="81"/>
      <c r="N549" s="604"/>
      <c r="O549" s="944" t="s">
        <v>229</v>
      </c>
    </row>
    <row r="550" spans="1:61" s="44" customFormat="1" ht="24.6" hidden="1" customHeight="1">
      <c r="A550" s="545"/>
      <c r="B550" s="546" t="s">
        <v>246</v>
      </c>
      <c r="C550" s="546"/>
      <c r="D550" s="546"/>
      <c r="E550" s="546"/>
      <c r="F550" s="546"/>
      <c r="G550" s="81"/>
      <c r="H550" s="81"/>
      <c r="I550" s="81"/>
      <c r="J550" s="81"/>
      <c r="K550" s="81"/>
      <c r="L550" s="81"/>
      <c r="M550" s="81"/>
      <c r="N550" s="604"/>
      <c r="O550" s="944"/>
      <c r="AJ550" s="91"/>
      <c r="AK550" s="91"/>
      <c r="AL550" s="91"/>
      <c r="AM550" s="91"/>
      <c r="AN550" s="91"/>
      <c r="AO550" s="91"/>
      <c r="AP550" s="91"/>
      <c r="AQ550" s="91"/>
      <c r="AR550" s="91"/>
      <c r="AS550" s="91"/>
      <c r="AT550" s="91"/>
      <c r="AU550" s="91"/>
      <c r="AV550" s="91"/>
      <c r="AW550" s="91"/>
      <c r="AX550" s="91"/>
      <c r="AY550" s="91"/>
      <c r="AZ550" s="91"/>
      <c r="BA550" s="91"/>
      <c r="BB550" s="91"/>
      <c r="BC550" s="91"/>
      <c r="BD550" s="91"/>
      <c r="BE550" s="91"/>
      <c r="BF550" s="91"/>
      <c r="BG550" s="91"/>
      <c r="BH550" s="91"/>
      <c r="BI550" s="91"/>
    </row>
    <row r="551" spans="1:61" s="44" customFormat="1" ht="24.6" hidden="1" customHeight="1">
      <c r="A551" s="545" t="s">
        <v>181</v>
      </c>
      <c r="B551" s="546" t="s">
        <v>89</v>
      </c>
      <c r="C551" s="546">
        <v>176</v>
      </c>
      <c r="D551" s="546" t="s">
        <v>15</v>
      </c>
      <c r="E551" s="546">
        <v>6100404</v>
      </c>
      <c r="F551" s="546">
        <v>243</v>
      </c>
      <c r="G551" s="81">
        <v>0</v>
      </c>
      <c r="H551" s="81"/>
      <c r="I551" s="81"/>
      <c r="J551" s="81"/>
      <c r="K551" s="81"/>
      <c r="L551" s="81"/>
      <c r="M551" s="81"/>
      <c r="N551" s="604"/>
      <c r="O551" s="604" t="s">
        <v>31</v>
      </c>
      <c r="AJ551" s="91"/>
      <c r="AK551" s="91"/>
      <c r="AL551" s="91"/>
      <c r="AM551" s="91"/>
      <c r="AN551" s="91"/>
      <c r="AO551" s="91"/>
      <c r="AP551" s="91"/>
      <c r="AQ551" s="91"/>
      <c r="AR551" s="91"/>
      <c r="AS551" s="91"/>
      <c r="AT551" s="91"/>
      <c r="AU551" s="91"/>
      <c r="AV551" s="91"/>
      <c r="AW551" s="91"/>
      <c r="AX551" s="91"/>
      <c r="AY551" s="91"/>
      <c r="AZ551" s="91"/>
      <c r="BA551" s="91"/>
      <c r="BB551" s="91"/>
      <c r="BC551" s="91"/>
      <c r="BD551" s="91"/>
      <c r="BE551" s="91"/>
      <c r="BF551" s="91"/>
      <c r="BG551" s="91"/>
      <c r="BH551" s="91"/>
      <c r="BI551" s="91"/>
    </row>
    <row r="552" spans="1:61" ht="24.6" hidden="1" customHeight="1">
      <c r="A552" s="545"/>
      <c r="B552" s="546" t="s">
        <v>246</v>
      </c>
      <c r="C552" s="546"/>
      <c r="D552" s="546"/>
      <c r="E552" s="546"/>
      <c r="F552" s="546"/>
      <c r="G552" s="81"/>
      <c r="H552" s="81"/>
      <c r="I552" s="81"/>
      <c r="J552" s="81"/>
      <c r="K552" s="81"/>
      <c r="L552" s="81"/>
      <c r="M552" s="81"/>
      <c r="N552" s="604"/>
      <c r="O552" s="604"/>
      <c r="V552" s="43">
        <v>34.700000000000003</v>
      </c>
    </row>
    <row r="553" spans="1:61" ht="24.95" hidden="1" customHeight="1">
      <c r="A553" s="945" t="s">
        <v>122</v>
      </c>
      <c r="B553" s="57" t="s">
        <v>721</v>
      </c>
      <c r="C553" s="57"/>
      <c r="D553" s="57"/>
      <c r="E553" s="57"/>
      <c r="F553" s="57"/>
      <c r="G553" s="111">
        <f>G557+G565+G569</f>
        <v>4.8000000000000001E-2</v>
      </c>
      <c r="H553" s="111">
        <f t="shared" ref="H553:K553" si="206">H557+H565+H569</f>
        <v>0</v>
      </c>
      <c r="I553" s="111">
        <f t="shared" si="206"/>
        <v>0</v>
      </c>
      <c r="J553" s="111">
        <f t="shared" si="206"/>
        <v>0</v>
      </c>
      <c r="K553" s="111">
        <f t="shared" si="206"/>
        <v>4.8000000000000001E-2</v>
      </c>
      <c r="L553" s="111">
        <f t="shared" ref="L553:M553" si="207">L557+L559+L563+L565+L569</f>
        <v>0</v>
      </c>
      <c r="M553" s="111">
        <f t="shared" si="207"/>
        <v>0</v>
      </c>
      <c r="N553" s="604"/>
      <c r="O553" s="610"/>
    </row>
    <row r="554" spans="1:61" ht="24.95" hidden="1" customHeight="1">
      <c r="A554" s="945"/>
      <c r="B554" s="57" t="s">
        <v>439</v>
      </c>
      <c r="C554" s="57"/>
      <c r="D554" s="57"/>
      <c r="E554" s="57"/>
      <c r="F554" s="57"/>
      <c r="G554" s="80">
        <f>K554</f>
        <v>0</v>
      </c>
      <c r="H554" s="80"/>
      <c r="I554" s="80"/>
      <c r="J554" s="80"/>
      <c r="K554" s="80">
        <f>K555+K556</f>
        <v>0</v>
      </c>
      <c r="L554" s="111"/>
      <c r="M554" s="111"/>
      <c r="N554" s="604"/>
      <c r="O554" s="610"/>
    </row>
    <row r="555" spans="1:61" ht="24.95" hidden="1" customHeight="1">
      <c r="A555" s="945"/>
      <c r="B555" s="57" t="s">
        <v>247</v>
      </c>
      <c r="C555" s="57"/>
      <c r="D555" s="57"/>
      <c r="E555" s="57"/>
      <c r="F555" s="57"/>
      <c r="G555" s="80">
        <f>K555</f>
        <v>0</v>
      </c>
      <c r="H555" s="80"/>
      <c r="I555" s="80"/>
      <c r="J555" s="80"/>
      <c r="K555" s="80">
        <f>K567</f>
        <v>0</v>
      </c>
      <c r="L555" s="111"/>
      <c r="M555" s="111"/>
      <c r="N555" s="604"/>
      <c r="O555" s="610"/>
    </row>
    <row r="556" spans="1:61" ht="21.75" hidden="1" customHeight="1">
      <c r="A556" s="945"/>
      <c r="B556" s="57" t="s">
        <v>495</v>
      </c>
      <c r="C556" s="57"/>
      <c r="D556" s="57"/>
      <c r="E556" s="57"/>
      <c r="F556" s="57"/>
      <c r="G556" s="80">
        <f>G558+G560+G564+G568+G570</f>
        <v>0</v>
      </c>
      <c r="H556" s="80">
        <f t="shared" ref="H556:J556" si="208">H558+H560+H564+H568+H570</f>
        <v>0</v>
      </c>
      <c r="I556" s="80">
        <f t="shared" si="208"/>
        <v>0</v>
      </c>
      <c r="J556" s="80">
        <f t="shared" si="208"/>
        <v>0</v>
      </c>
      <c r="K556" s="80">
        <f>K568</f>
        <v>0</v>
      </c>
      <c r="L556" s="80">
        <f t="shared" ref="L556:M556" si="209">L558+L560+L564+L568+L570</f>
        <v>0</v>
      </c>
      <c r="M556" s="80">
        <f t="shared" si="209"/>
        <v>0</v>
      </c>
      <c r="N556" s="604"/>
      <c r="O556" s="610"/>
      <c r="V556" s="43">
        <v>37</v>
      </c>
    </row>
    <row r="557" spans="1:61" ht="23.45" hidden="1" customHeight="1">
      <c r="A557" s="932" t="s">
        <v>121</v>
      </c>
      <c r="B557" s="546" t="s">
        <v>89</v>
      </c>
      <c r="C557" s="546">
        <v>176</v>
      </c>
      <c r="D557" s="546" t="s">
        <v>15</v>
      </c>
      <c r="E557" s="546">
        <v>6100404</v>
      </c>
      <c r="F557" s="546">
        <v>243</v>
      </c>
      <c r="G557" s="81">
        <v>4.8000000000000001E-2</v>
      </c>
      <c r="H557" s="81"/>
      <c r="I557" s="81"/>
      <c r="J557" s="81"/>
      <c r="K557" s="81">
        <v>4.8000000000000001E-2</v>
      </c>
      <c r="L557" s="81"/>
      <c r="M557" s="81"/>
      <c r="N557" s="604"/>
      <c r="O557" s="944" t="s">
        <v>445</v>
      </c>
    </row>
    <row r="558" spans="1:61" ht="24.6" hidden="1" customHeight="1">
      <c r="A558" s="932"/>
      <c r="B558" s="546" t="s">
        <v>246</v>
      </c>
      <c r="C558" s="546"/>
      <c r="D558" s="546"/>
      <c r="E558" s="546"/>
      <c r="F558" s="546"/>
      <c r="G558" s="81"/>
      <c r="H558" s="81"/>
      <c r="I558" s="81"/>
      <c r="J558" s="81"/>
      <c r="K558" s="81"/>
      <c r="L558" s="81"/>
      <c r="M558" s="81"/>
      <c r="N558" s="604"/>
      <c r="O558" s="944"/>
    </row>
    <row r="559" spans="1:61" ht="24.6" hidden="1" customHeight="1">
      <c r="A559" s="932" t="s">
        <v>175</v>
      </c>
      <c r="B559" s="546" t="s">
        <v>89</v>
      </c>
      <c r="C559" s="546">
        <v>176</v>
      </c>
      <c r="D559" s="546" t="s">
        <v>15</v>
      </c>
      <c r="E559" s="546">
        <v>6100404</v>
      </c>
      <c r="F559" s="546">
        <v>243</v>
      </c>
      <c r="G559" s="81"/>
      <c r="H559" s="81"/>
      <c r="I559" s="81"/>
      <c r="J559" s="81"/>
      <c r="K559" s="81"/>
      <c r="L559" s="81"/>
      <c r="M559" s="81"/>
      <c r="N559" s="604"/>
      <c r="O559" s="944" t="s">
        <v>505</v>
      </c>
    </row>
    <row r="560" spans="1:61" ht="24" hidden="1" customHeight="1">
      <c r="A560" s="932"/>
      <c r="B560" s="546" t="s">
        <v>246</v>
      </c>
      <c r="C560" s="546"/>
      <c r="D560" s="546"/>
      <c r="E560" s="546"/>
      <c r="F560" s="546"/>
      <c r="G560" s="81">
        <f>H560+I560+J560</f>
        <v>0</v>
      </c>
      <c r="H560" s="81"/>
      <c r="I560" s="81"/>
      <c r="J560" s="81"/>
      <c r="K560" s="81"/>
      <c r="L560" s="81"/>
      <c r="M560" s="81"/>
      <c r="N560" s="604"/>
      <c r="O560" s="944"/>
    </row>
    <row r="561" spans="1:61" ht="0.6" hidden="1" customHeight="1">
      <c r="A561" s="545" t="s">
        <v>176</v>
      </c>
      <c r="B561" s="546" t="s">
        <v>89</v>
      </c>
      <c r="C561" s="546">
        <v>176</v>
      </c>
      <c r="D561" s="546" t="s">
        <v>15</v>
      </c>
      <c r="E561" s="546">
        <v>6100404</v>
      </c>
      <c r="F561" s="546">
        <v>243</v>
      </c>
      <c r="G561" s="81"/>
      <c r="H561" s="81"/>
      <c r="I561" s="81"/>
      <c r="J561" s="81"/>
      <c r="K561" s="81"/>
      <c r="L561" s="81"/>
      <c r="M561" s="81"/>
      <c r="N561" s="604"/>
      <c r="O561" s="604" t="s">
        <v>223</v>
      </c>
    </row>
    <row r="562" spans="1:61" ht="24.6" hidden="1" customHeight="1">
      <c r="A562" s="926" t="s">
        <v>177</v>
      </c>
      <c r="B562" s="546" t="s">
        <v>246</v>
      </c>
      <c r="C562" s="546"/>
      <c r="D562" s="546"/>
      <c r="E562" s="546"/>
      <c r="F562" s="546"/>
      <c r="G562" s="81"/>
      <c r="H562" s="81"/>
      <c r="I562" s="81"/>
      <c r="J562" s="81"/>
      <c r="K562" s="81"/>
      <c r="L562" s="81"/>
      <c r="M562" s="81"/>
      <c r="N562" s="604"/>
      <c r="O562" s="604"/>
    </row>
    <row r="563" spans="1:61" ht="24.95" hidden="1" customHeight="1">
      <c r="A563" s="927"/>
      <c r="B563" s="546" t="s">
        <v>89</v>
      </c>
      <c r="C563" s="546">
        <v>176</v>
      </c>
      <c r="D563" s="546" t="s">
        <v>15</v>
      </c>
      <c r="E563" s="546">
        <v>6100404</v>
      </c>
      <c r="F563" s="546">
        <v>243</v>
      </c>
      <c r="G563" s="81"/>
      <c r="H563" s="81"/>
      <c r="I563" s="81"/>
      <c r="J563" s="81"/>
      <c r="K563" s="81"/>
      <c r="L563" s="81"/>
      <c r="M563" s="81"/>
      <c r="N563" s="604"/>
      <c r="O563" s="944" t="s">
        <v>506</v>
      </c>
    </row>
    <row r="564" spans="1:61" s="44" customFormat="1" ht="24.6" hidden="1" customHeight="1">
      <c r="A564" s="928"/>
      <c r="B564" s="546" t="s">
        <v>246</v>
      </c>
      <c r="C564" s="546"/>
      <c r="D564" s="546"/>
      <c r="E564" s="546"/>
      <c r="F564" s="546"/>
      <c r="G564" s="81">
        <f>J564+K564</f>
        <v>0</v>
      </c>
      <c r="H564" s="81"/>
      <c r="I564" s="81"/>
      <c r="J564" s="81"/>
      <c r="K564" s="81"/>
      <c r="L564" s="81"/>
      <c r="M564" s="81"/>
      <c r="N564" s="604"/>
      <c r="O564" s="944"/>
      <c r="AJ564" s="91"/>
      <c r="AK564" s="91"/>
      <c r="AL564" s="91"/>
      <c r="AM564" s="91"/>
      <c r="AN564" s="91"/>
      <c r="AO564" s="91"/>
      <c r="AP564" s="91"/>
      <c r="AQ564" s="91"/>
      <c r="AR564" s="91"/>
      <c r="AS564" s="91"/>
      <c r="AT564" s="91"/>
      <c r="AU564" s="91"/>
      <c r="AV564" s="91"/>
      <c r="AW564" s="91"/>
      <c r="AX564" s="91"/>
      <c r="AY564" s="91"/>
      <c r="AZ564" s="91"/>
      <c r="BA564" s="91"/>
      <c r="BB564" s="91"/>
      <c r="BC564" s="91"/>
      <c r="BD564" s="91"/>
      <c r="BE564" s="91"/>
      <c r="BF564" s="91"/>
      <c r="BG564" s="91"/>
      <c r="BH564" s="91"/>
      <c r="BI564" s="91"/>
    </row>
    <row r="565" spans="1:61" s="44" customFormat="1" ht="24.6" hidden="1" customHeight="1">
      <c r="A565" s="926" t="s">
        <v>308</v>
      </c>
      <c r="B565" s="546" t="s">
        <v>721</v>
      </c>
      <c r="C565" s="546"/>
      <c r="D565" s="546"/>
      <c r="E565" s="546"/>
      <c r="F565" s="546"/>
      <c r="G565" s="81">
        <f>K565</f>
        <v>0</v>
      </c>
      <c r="H565" s="81"/>
      <c r="I565" s="81"/>
      <c r="J565" s="81"/>
      <c r="K565" s="81"/>
      <c r="L565" s="81"/>
      <c r="M565" s="81"/>
      <c r="N565" s="604"/>
      <c r="O565" s="944" t="s">
        <v>803</v>
      </c>
      <c r="AJ565" s="91"/>
      <c r="AK565" s="91"/>
      <c r="AL565" s="91"/>
      <c r="AM565" s="91"/>
      <c r="AN565" s="91"/>
      <c r="AO565" s="91"/>
      <c r="AP565" s="91"/>
      <c r="AQ565" s="91"/>
      <c r="AR565" s="91"/>
      <c r="AS565" s="91"/>
      <c r="AT565" s="91"/>
      <c r="AU565" s="91"/>
      <c r="AV565" s="91"/>
      <c r="AW565" s="91"/>
      <c r="AX565" s="91"/>
      <c r="AY565" s="91"/>
      <c r="AZ565" s="91"/>
      <c r="BA565" s="91"/>
      <c r="BB565" s="91"/>
      <c r="BC565" s="91"/>
      <c r="BD565" s="91"/>
      <c r="BE565" s="91"/>
      <c r="BF565" s="91"/>
      <c r="BG565" s="91"/>
      <c r="BH565" s="91"/>
      <c r="BI565" s="91"/>
    </row>
    <row r="566" spans="1:61" s="44" customFormat="1" ht="24.6" hidden="1" customHeight="1">
      <c r="A566" s="927"/>
      <c r="B566" s="546" t="s">
        <v>439</v>
      </c>
      <c r="C566" s="546"/>
      <c r="D566" s="546"/>
      <c r="E566" s="546"/>
      <c r="F566" s="546"/>
      <c r="G566" s="81">
        <f>K566</f>
        <v>0</v>
      </c>
      <c r="H566" s="81"/>
      <c r="I566" s="81"/>
      <c r="J566" s="81"/>
      <c r="K566" s="81">
        <f>K567+K568</f>
        <v>0</v>
      </c>
      <c r="L566" s="81"/>
      <c r="M566" s="81"/>
      <c r="N566" s="604"/>
      <c r="O566" s="944"/>
      <c r="AJ566" s="91"/>
      <c r="AK566" s="91"/>
      <c r="AL566" s="91"/>
      <c r="AM566" s="91"/>
      <c r="AN566" s="91"/>
      <c r="AO566" s="91"/>
      <c r="AP566" s="91"/>
      <c r="AQ566" s="91"/>
      <c r="AR566" s="91"/>
      <c r="AS566" s="91"/>
      <c r="AT566" s="91"/>
      <c r="AU566" s="91"/>
      <c r="AV566" s="91"/>
      <c r="AW566" s="91"/>
      <c r="AX566" s="91"/>
      <c r="AY566" s="91"/>
      <c r="AZ566" s="91"/>
      <c r="BA566" s="91"/>
      <c r="BB566" s="91"/>
      <c r="BC566" s="91"/>
      <c r="BD566" s="91"/>
      <c r="BE566" s="91"/>
      <c r="BF566" s="91"/>
      <c r="BG566" s="91"/>
      <c r="BH566" s="91"/>
      <c r="BI566" s="91"/>
    </row>
    <row r="567" spans="1:61" s="44" customFormat="1" ht="24.6" hidden="1" customHeight="1">
      <c r="A567" s="927"/>
      <c r="B567" s="546" t="s">
        <v>247</v>
      </c>
      <c r="C567" s="546"/>
      <c r="D567" s="546"/>
      <c r="E567" s="546"/>
      <c r="F567" s="546"/>
      <c r="G567" s="81">
        <f t="shared" ref="G567:G568" si="210">K567</f>
        <v>0</v>
      </c>
      <c r="H567" s="81"/>
      <c r="I567" s="81"/>
      <c r="J567" s="81"/>
      <c r="K567" s="81"/>
      <c r="L567" s="81"/>
      <c r="M567" s="81"/>
      <c r="N567" s="604"/>
      <c r="O567" s="944"/>
      <c r="AJ567" s="91"/>
      <c r="AK567" s="91"/>
      <c r="AL567" s="91"/>
      <c r="AM567" s="91"/>
      <c r="AN567" s="91"/>
      <c r="AO567" s="91"/>
      <c r="AP567" s="91"/>
      <c r="AQ567" s="91"/>
      <c r="AR567" s="91"/>
      <c r="AS567" s="91"/>
      <c r="AT567" s="91"/>
      <c r="AU567" s="91"/>
      <c r="AV567" s="91"/>
      <c r="AW567" s="91"/>
      <c r="AX567" s="91"/>
      <c r="AY567" s="91"/>
      <c r="AZ567" s="91"/>
      <c r="BA567" s="91"/>
      <c r="BB567" s="91"/>
      <c r="BC567" s="91"/>
      <c r="BD567" s="91"/>
      <c r="BE567" s="91"/>
      <c r="BF567" s="91"/>
      <c r="BG567" s="91"/>
      <c r="BH567" s="91"/>
      <c r="BI567" s="91"/>
    </row>
    <row r="568" spans="1:61" s="44" customFormat="1" ht="24.6" hidden="1" customHeight="1">
      <c r="A568" s="928"/>
      <c r="B568" s="546" t="s">
        <v>495</v>
      </c>
      <c r="C568" s="546"/>
      <c r="D568" s="546"/>
      <c r="E568" s="546"/>
      <c r="F568" s="546"/>
      <c r="G568" s="81">
        <f t="shared" si="210"/>
        <v>0</v>
      </c>
      <c r="H568" s="81"/>
      <c r="I568" s="81"/>
      <c r="J568" s="81"/>
      <c r="K568" s="81"/>
      <c r="L568" s="81"/>
      <c r="M568" s="81"/>
      <c r="N568" s="604"/>
      <c r="O568" s="944"/>
      <c r="AJ568" s="91"/>
      <c r="AK568" s="91"/>
      <c r="AL568" s="91"/>
      <c r="AM568" s="91"/>
      <c r="AN568" s="91"/>
      <c r="AO568" s="91"/>
      <c r="AP568" s="91"/>
      <c r="AQ568" s="91"/>
      <c r="AR568" s="91"/>
      <c r="AS568" s="91"/>
      <c r="AT568" s="91"/>
      <c r="AU568" s="91"/>
      <c r="AV568" s="91"/>
      <c r="AW568" s="91"/>
      <c r="AX568" s="91"/>
      <c r="AY568" s="91"/>
      <c r="AZ568" s="91"/>
      <c r="BA568" s="91"/>
      <c r="BB568" s="91"/>
      <c r="BC568" s="91"/>
      <c r="BD568" s="91"/>
      <c r="BE568" s="91"/>
      <c r="BF568" s="91"/>
      <c r="BG568" s="91"/>
      <c r="BH568" s="91"/>
      <c r="BI568" s="91"/>
    </row>
    <row r="569" spans="1:61" s="44" customFormat="1" ht="24.95" hidden="1" customHeight="1">
      <c r="A569" s="932" t="s">
        <v>111</v>
      </c>
      <c r="B569" s="546" t="s">
        <v>89</v>
      </c>
      <c r="C569" s="546">
        <v>176</v>
      </c>
      <c r="D569" s="546" t="s">
        <v>15</v>
      </c>
      <c r="E569" s="546">
        <v>6100404</v>
      </c>
      <c r="F569" s="546">
        <v>243</v>
      </c>
      <c r="G569" s="81">
        <v>0</v>
      </c>
      <c r="H569" s="81"/>
      <c r="I569" s="81"/>
      <c r="J569" s="81"/>
      <c r="K569" s="81"/>
      <c r="L569" s="81"/>
      <c r="M569" s="81"/>
      <c r="N569" s="604"/>
      <c r="O569" s="944" t="s">
        <v>309</v>
      </c>
      <c r="AJ569" s="91"/>
      <c r="AK569" s="91"/>
      <c r="AL569" s="91"/>
      <c r="AM569" s="91"/>
      <c r="AN569" s="91"/>
      <c r="AO569" s="91"/>
      <c r="AP569" s="91"/>
      <c r="AQ569" s="91"/>
      <c r="AR569" s="91"/>
      <c r="AS569" s="91"/>
      <c r="AT569" s="91"/>
      <c r="AU569" s="91"/>
      <c r="AV569" s="91"/>
      <c r="AW569" s="91"/>
      <c r="AX569" s="91"/>
      <c r="AY569" s="91"/>
      <c r="AZ569" s="91"/>
      <c r="BA569" s="91"/>
      <c r="BB569" s="91"/>
      <c r="BC569" s="91"/>
      <c r="BD569" s="91"/>
      <c r="BE569" s="91"/>
      <c r="BF569" s="91"/>
      <c r="BG569" s="91"/>
      <c r="BH569" s="91"/>
      <c r="BI569" s="91"/>
    </row>
    <row r="570" spans="1:61" ht="24.95" hidden="1" customHeight="1">
      <c r="A570" s="932"/>
      <c r="B570" s="546" t="s">
        <v>246</v>
      </c>
      <c r="C570" s="546"/>
      <c r="D570" s="546"/>
      <c r="E570" s="546"/>
      <c r="F570" s="546"/>
      <c r="G570" s="81">
        <f>J570</f>
        <v>0</v>
      </c>
      <c r="H570" s="81"/>
      <c r="I570" s="81"/>
      <c r="J570" s="81"/>
      <c r="K570" s="81"/>
      <c r="L570" s="81"/>
      <c r="M570" s="81"/>
      <c r="N570" s="604"/>
      <c r="O570" s="944"/>
    </row>
    <row r="571" spans="1:61" ht="24.95" hidden="1" customHeight="1">
      <c r="A571" s="945" t="s">
        <v>101</v>
      </c>
      <c r="B571" s="57" t="s">
        <v>89</v>
      </c>
      <c r="C571" s="57"/>
      <c r="D571" s="57"/>
      <c r="E571" s="57"/>
      <c r="F571" s="57"/>
      <c r="G571" s="80">
        <f>G573</f>
        <v>0</v>
      </c>
      <c r="H571" s="80">
        <f t="shared" ref="H571:J571" si="211">H573</f>
        <v>0</v>
      </c>
      <c r="I571" s="80">
        <f t="shared" si="211"/>
        <v>0</v>
      </c>
      <c r="J571" s="80">
        <f t="shared" si="211"/>
        <v>0</v>
      </c>
      <c r="K571" s="80"/>
      <c r="L571" s="80">
        <f t="shared" ref="K571:M572" si="212">L575</f>
        <v>0</v>
      </c>
      <c r="M571" s="80">
        <f t="shared" si="212"/>
        <v>0</v>
      </c>
      <c r="N571" s="604"/>
      <c r="O571" s="610"/>
    </row>
    <row r="572" spans="1:61" ht="24.95" hidden="1" customHeight="1">
      <c r="A572" s="945"/>
      <c r="B572" s="57" t="s">
        <v>246</v>
      </c>
      <c r="C572" s="57"/>
      <c r="D572" s="57"/>
      <c r="E572" s="57"/>
      <c r="F572" s="57"/>
      <c r="G572" s="80"/>
      <c r="H572" s="80">
        <f t="shared" ref="H572:I572" si="213">H574+H576</f>
        <v>0</v>
      </c>
      <c r="I572" s="80">
        <f t="shared" si="213"/>
        <v>0</v>
      </c>
      <c r="J572" s="80"/>
      <c r="K572" s="80">
        <f t="shared" si="212"/>
        <v>0</v>
      </c>
      <c r="L572" s="80">
        <f t="shared" si="212"/>
        <v>0</v>
      </c>
      <c r="M572" s="80">
        <f t="shared" si="212"/>
        <v>0</v>
      </c>
      <c r="N572" s="604"/>
      <c r="O572" s="610"/>
    </row>
    <row r="573" spans="1:61" ht="24.95" hidden="1" customHeight="1">
      <c r="A573" s="926" t="s">
        <v>478</v>
      </c>
      <c r="B573" s="546" t="s">
        <v>89</v>
      </c>
      <c r="C573" s="57"/>
      <c r="D573" s="57"/>
      <c r="E573" s="57"/>
      <c r="F573" s="57"/>
      <c r="G573" s="81">
        <f>J573</f>
        <v>0</v>
      </c>
      <c r="H573" s="81"/>
      <c r="I573" s="81"/>
      <c r="J573" s="81"/>
      <c r="K573" s="80"/>
      <c r="L573" s="80"/>
      <c r="M573" s="80"/>
      <c r="N573" s="604"/>
      <c r="O573" s="944" t="s">
        <v>510</v>
      </c>
    </row>
    <row r="574" spans="1:61" ht="24.95" hidden="1" customHeight="1">
      <c r="A574" s="889"/>
      <c r="B574" s="546" t="s">
        <v>246</v>
      </c>
      <c r="C574" s="57"/>
      <c r="D574" s="57"/>
      <c r="E574" s="57"/>
      <c r="F574" s="57"/>
      <c r="G574" s="81">
        <f>J574</f>
        <v>0</v>
      </c>
      <c r="H574" s="81"/>
      <c r="I574" s="81"/>
      <c r="J574" s="81"/>
      <c r="K574" s="80"/>
      <c r="L574" s="80"/>
      <c r="M574" s="80"/>
      <c r="N574" s="604"/>
      <c r="O574" s="944"/>
    </row>
    <row r="575" spans="1:61" ht="24.95" hidden="1" customHeight="1">
      <c r="A575" s="926" t="s">
        <v>109</v>
      </c>
      <c r="B575" s="546" t="s">
        <v>89</v>
      </c>
      <c r="C575" s="546">
        <v>176</v>
      </c>
      <c r="D575" s="546" t="s">
        <v>15</v>
      </c>
      <c r="E575" s="546">
        <v>6100404</v>
      </c>
      <c r="F575" s="546">
        <v>243</v>
      </c>
      <c r="G575" s="81"/>
      <c r="H575" s="81"/>
      <c r="I575" s="81"/>
      <c r="J575" s="81"/>
      <c r="K575" s="81"/>
      <c r="L575" s="81"/>
      <c r="M575" s="81"/>
      <c r="N575" s="604"/>
      <c r="O575" s="944" t="s">
        <v>309</v>
      </c>
    </row>
    <row r="576" spans="1:61" ht="24.95" hidden="1" customHeight="1">
      <c r="A576" s="928"/>
      <c r="B576" s="546" t="s">
        <v>246</v>
      </c>
      <c r="C576" s="546"/>
      <c r="D576" s="546"/>
      <c r="E576" s="546"/>
      <c r="F576" s="546"/>
      <c r="G576" s="81">
        <f>J576</f>
        <v>0</v>
      </c>
      <c r="H576" s="81"/>
      <c r="I576" s="81"/>
      <c r="J576" s="81"/>
      <c r="K576" s="81"/>
      <c r="L576" s="81"/>
      <c r="M576" s="81"/>
      <c r="N576" s="604"/>
      <c r="O576" s="944"/>
    </row>
    <row r="577" spans="1:61" ht="24.95" hidden="1" customHeight="1">
      <c r="A577" s="945" t="s">
        <v>155</v>
      </c>
      <c r="B577" s="57" t="s">
        <v>721</v>
      </c>
      <c r="C577" s="546"/>
      <c r="D577" s="546"/>
      <c r="E577" s="546"/>
      <c r="F577" s="546"/>
      <c r="G577" s="80">
        <f>G579+G581</f>
        <v>0</v>
      </c>
      <c r="H577" s="80">
        <f t="shared" ref="H577:I577" si="214">H579+H581</f>
        <v>0</v>
      </c>
      <c r="I577" s="80">
        <f t="shared" si="214"/>
        <v>0</v>
      </c>
      <c r="J577" s="80"/>
      <c r="K577" s="80"/>
      <c r="L577" s="80">
        <f t="shared" ref="L577:M577" si="215">L579+L581</f>
        <v>0</v>
      </c>
      <c r="M577" s="80">
        <f t="shared" si="215"/>
        <v>0</v>
      </c>
      <c r="N577" s="604"/>
      <c r="O577" s="604"/>
    </row>
    <row r="578" spans="1:61" s="44" customFormat="1" ht="24.95" hidden="1" customHeight="1">
      <c r="A578" s="945"/>
      <c r="B578" s="57" t="s">
        <v>246</v>
      </c>
      <c r="C578" s="546"/>
      <c r="D578" s="546"/>
      <c r="E578" s="546"/>
      <c r="F578" s="546"/>
      <c r="G578" s="80">
        <f>G580+G582</f>
        <v>0</v>
      </c>
      <c r="H578" s="80">
        <f t="shared" ref="H578:K578" si="216">H580+H582</f>
        <v>0</v>
      </c>
      <c r="I578" s="80">
        <f t="shared" si="216"/>
        <v>0</v>
      </c>
      <c r="J578" s="80">
        <f t="shared" si="216"/>
        <v>0</v>
      </c>
      <c r="K578" s="80">
        <f t="shared" si="216"/>
        <v>0</v>
      </c>
      <c r="L578" s="80">
        <f t="shared" ref="L578:M578" si="217">L580+L582</f>
        <v>0</v>
      </c>
      <c r="M578" s="80">
        <f t="shared" si="217"/>
        <v>0</v>
      </c>
      <c r="N578" s="604"/>
      <c r="O578" s="604"/>
      <c r="AJ578" s="91"/>
      <c r="AK578" s="91"/>
      <c r="AL578" s="91"/>
      <c r="AM578" s="91"/>
      <c r="AN578" s="91"/>
      <c r="AO578" s="91"/>
      <c r="AP578" s="91"/>
      <c r="AQ578" s="91"/>
      <c r="AR578" s="91"/>
      <c r="AS578" s="91"/>
      <c r="AT578" s="91"/>
      <c r="AU578" s="91"/>
      <c r="AV578" s="91"/>
      <c r="AW578" s="91"/>
      <c r="AX578" s="91"/>
      <c r="AY578" s="91"/>
      <c r="AZ578" s="91"/>
      <c r="BA578" s="91"/>
      <c r="BB578" s="91"/>
      <c r="BC578" s="91"/>
      <c r="BD578" s="91"/>
      <c r="BE578" s="91"/>
      <c r="BF578" s="91"/>
      <c r="BG578" s="91"/>
      <c r="BH578" s="91"/>
      <c r="BI578" s="91"/>
    </row>
    <row r="579" spans="1:61" s="44" customFormat="1" ht="24.95" hidden="1" customHeight="1">
      <c r="A579" s="926" t="s">
        <v>109</v>
      </c>
      <c r="B579" s="546" t="s">
        <v>721</v>
      </c>
      <c r="C579" s="546"/>
      <c r="D579" s="546"/>
      <c r="E579" s="546"/>
      <c r="F579" s="546"/>
      <c r="G579" s="81"/>
      <c r="H579" s="81"/>
      <c r="I579" s="81"/>
      <c r="J579" s="81"/>
      <c r="K579" s="81"/>
      <c r="L579" s="80"/>
      <c r="M579" s="81">
        <v>0</v>
      </c>
      <c r="N579" s="604"/>
      <c r="O579" s="944" t="s">
        <v>730</v>
      </c>
      <c r="AJ579" s="91"/>
      <c r="AK579" s="91"/>
      <c r="AL579" s="91"/>
      <c r="AM579" s="91"/>
      <c r="AN579" s="91"/>
      <c r="AO579" s="91"/>
      <c r="AP579" s="91"/>
      <c r="AQ579" s="91"/>
      <c r="AR579" s="91"/>
      <c r="AS579" s="91"/>
      <c r="AT579" s="91"/>
      <c r="AU579" s="91"/>
      <c r="AV579" s="91"/>
      <c r="AW579" s="91"/>
      <c r="AX579" s="91"/>
      <c r="AY579" s="91"/>
      <c r="AZ579" s="91"/>
      <c r="BA579" s="91"/>
      <c r="BB579" s="91"/>
      <c r="BC579" s="91"/>
      <c r="BD579" s="91"/>
      <c r="BE579" s="91"/>
      <c r="BF579" s="91"/>
      <c r="BG579" s="91"/>
      <c r="BH579" s="91"/>
      <c r="BI579" s="91"/>
    </row>
    <row r="580" spans="1:61" s="44" customFormat="1" ht="24.95" hidden="1" customHeight="1">
      <c r="A580" s="928"/>
      <c r="B580" s="546" t="s">
        <v>246</v>
      </c>
      <c r="C580" s="546"/>
      <c r="D580" s="546"/>
      <c r="E580" s="546"/>
      <c r="F580" s="546"/>
      <c r="G580" s="81"/>
      <c r="H580" s="81"/>
      <c r="I580" s="81"/>
      <c r="J580" s="81"/>
      <c r="K580" s="81"/>
      <c r="L580" s="81"/>
      <c r="M580" s="81"/>
      <c r="N580" s="604"/>
      <c r="O580" s="944"/>
      <c r="AJ580" s="91"/>
      <c r="AK580" s="91"/>
      <c r="AL580" s="91"/>
      <c r="AM580" s="91"/>
      <c r="AN580" s="91"/>
      <c r="AO580" s="91"/>
      <c r="AP580" s="91"/>
      <c r="AQ580" s="91"/>
      <c r="AR580" s="91"/>
      <c r="AS580" s="91"/>
      <c r="AT580" s="91"/>
      <c r="AU580" s="91"/>
      <c r="AV580" s="91"/>
      <c r="AW580" s="91"/>
      <c r="AX580" s="91"/>
      <c r="AY580" s="91"/>
      <c r="AZ580" s="91"/>
      <c r="BA580" s="91"/>
      <c r="BB580" s="91"/>
      <c r="BC580" s="91"/>
      <c r="BD580" s="91"/>
      <c r="BE580" s="91"/>
      <c r="BF580" s="91"/>
      <c r="BG580" s="91"/>
      <c r="BH580" s="91"/>
      <c r="BI580" s="91"/>
    </row>
    <row r="581" spans="1:61" s="44" customFormat="1" ht="24.95" hidden="1" customHeight="1">
      <c r="A581" s="932" t="s">
        <v>252</v>
      </c>
      <c r="B581" s="546" t="s">
        <v>89</v>
      </c>
      <c r="C581" s="546"/>
      <c r="D581" s="546"/>
      <c r="E581" s="546"/>
      <c r="F581" s="546"/>
      <c r="G581" s="81"/>
      <c r="H581" s="81"/>
      <c r="I581" s="81"/>
      <c r="J581" s="81"/>
      <c r="K581" s="81"/>
      <c r="L581" s="81"/>
      <c r="M581" s="81"/>
      <c r="N581" s="604"/>
      <c r="O581" s="944" t="s">
        <v>448</v>
      </c>
      <c r="AJ581" s="91"/>
      <c r="AK581" s="91"/>
      <c r="AL581" s="91"/>
      <c r="AM581" s="91"/>
      <c r="AN581" s="91"/>
      <c r="AO581" s="91"/>
      <c r="AP581" s="91"/>
      <c r="AQ581" s="91"/>
      <c r="AR581" s="91"/>
      <c r="AS581" s="91"/>
      <c r="AT581" s="91"/>
      <c r="AU581" s="91"/>
      <c r="AV581" s="91"/>
      <c r="AW581" s="91"/>
      <c r="AX581" s="91"/>
      <c r="AY581" s="91"/>
      <c r="AZ581" s="91"/>
      <c r="BA581" s="91"/>
      <c r="BB581" s="91"/>
      <c r="BC581" s="91"/>
      <c r="BD581" s="91"/>
      <c r="BE581" s="91"/>
      <c r="BF581" s="91"/>
      <c r="BG581" s="91"/>
      <c r="BH581" s="91"/>
      <c r="BI581" s="91"/>
    </row>
    <row r="582" spans="1:61" ht="24.95" hidden="1" customHeight="1">
      <c r="A582" s="932"/>
      <c r="B582" s="546" t="s">
        <v>246</v>
      </c>
      <c r="C582" s="546"/>
      <c r="D582" s="546"/>
      <c r="E582" s="546"/>
      <c r="F582" s="546"/>
      <c r="G582" s="81">
        <f>H582+I582+J582+K582</f>
        <v>0</v>
      </c>
      <c r="H582" s="81"/>
      <c r="I582" s="81"/>
      <c r="J582" s="81"/>
      <c r="K582" s="81"/>
      <c r="L582" s="81"/>
      <c r="M582" s="81"/>
      <c r="N582" s="604"/>
      <c r="O582" s="944"/>
    </row>
    <row r="583" spans="1:61" ht="24.95" hidden="1" customHeight="1">
      <c r="A583" s="945" t="s">
        <v>125</v>
      </c>
      <c r="B583" s="57" t="s">
        <v>89</v>
      </c>
      <c r="C583" s="57"/>
      <c r="D583" s="57"/>
      <c r="E583" s="57"/>
      <c r="F583" s="57"/>
      <c r="G583" s="80">
        <f t="shared" ref="G583:L584" si="218">G587</f>
        <v>0</v>
      </c>
      <c r="H583" s="80"/>
      <c r="I583" s="80"/>
      <c r="J583" s="80"/>
      <c r="K583" s="80"/>
      <c r="L583" s="80">
        <f t="shared" si="218"/>
        <v>0</v>
      </c>
      <c r="M583" s="80">
        <f>M585</f>
        <v>0</v>
      </c>
      <c r="N583" s="604"/>
      <c r="O583" s="610"/>
    </row>
    <row r="584" spans="1:61" s="44" customFormat="1" ht="24.95" hidden="1" customHeight="1">
      <c r="A584" s="945"/>
      <c r="B584" s="57" t="s">
        <v>246</v>
      </c>
      <c r="C584" s="57"/>
      <c r="D584" s="57"/>
      <c r="E584" s="57"/>
      <c r="F584" s="57"/>
      <c r="G584" s="80">
        <f t="shared" si="218"/>
        <v>0</v>
      </c>
      <c r="H584" s="80">
        <f t="shared" si="218"/>
        <v>0</v>
      </c>
      <c r="I584" s="80">
        <f t="shared" si="218"/>
        <v>0</v>
      </c>
      <c r="J584" s="80">
        <f t="shared" si="218"/>
        <v>0</v>
      </c>
      <c r="K584" s="80">
        <f t="shared" si="218"/>
        <v>0</v>
      </c>
      <c r="L584" s="80">
        <f t="shared" si="218"/>
        <v>0</v>
      </c>
      <c r="M584" s="80">
        <f>M586</f>
        <v>0</v>
      </c>
      <c r="N584" s="604"/>
      <c r="O584" s="610"/>
      <c r="AJ584" s="91"/>
      <c r="AK584" s="91"/>
      <c r="AL584" s="91"/>
      <c r="AM584" s="91"/>
      <c r="AN584" s="91"/>
      <c r="AO584" s="91"/>
      <c r="AP584" s="91"/>
      <c r="AQ584" s="91"/>
      <c r="AR584" s="91"/>
      <c r="AS584" s="91"/>
      <c r="AT584" s="91"/>
      <c r="AU584" s="91"/>
      <c r="AV584" s="91"/>
      <c r="AW584" s="91"/>
      <c r="AX584" s="91"/>
      <c r="AY584" s="91"/>
      <c r="AZ584" s="91"/>
      <c r="BA584" s="91"/>
      <c r="BB584" s="91"/>
      <c r="BC584" s="91"/>
      <c r="BD584" s="91"/>
      <c r="BE584" s="91"/>
      <c r="BF584" s="91"/>
      <c r="BG584" s="91"/>
      <c r="BH584" s="91"/>
      <c r="BI584" s="91"/>
    </row>
    <row r="585" spans="1:61" s="44" customFormat="1" ht="24.6" hidden="1" customHeight="1">
      <c r="A585" s="926" t="s">
        <v>336</v>
      </c>
      <c r="B585" s="546" t="s">
        <v>89</v>
      </c>
      <c r="C585" s="57"/>
      <c r="D585" s="57"/>
      <c r="E585" s="57"/>
      <c r="F585" s="57"/>
      <c r="G585" s="80"/>
      <c r="H585" s="80"/>
      <c r="I585" s="80"/>
      <c r="J585" s="80"/>
      <c r="K585" s="80"/>
      <c r="L585" s="80"/>
      <c r="M585" s="81"/>
      <c r="N585" s="604"/>
      <c r="O585" s="944" t="s">
        <v>293</v>
      </c>
      <c r="AJ585" s="91"/>
      <c r="AK585" s="91"/>
      <c r="AL585" s="91"/>
      <c r="AM585" s="91"/>
      <c r="AN585" s="91"/>
      <c r="AO585" s="91"/>
      <c r="AP585" s="91"/>
      <c r="AQ585" s="91"/>
      <c r="AR585" s="91"/>
      <c r="AS585" s="91"/>
      <c r="AT585" s="91"/>
      <c r="AU585" s="91"/>
      <c r="AV585" s="91"/>
      <c r="AW585" s="91"/>
      <c r="AX585" s="91"/>
      <c r="AY585" s="91"/>
      <c r="AZ585" s="91"/>
      <c r="BA585" s="91"/>
      <c r="BB585" s="91"/>
      <c r="BC585" s="91"/>
      <c r="BD585" s="91"/>
      <c r="BE585" s="91"/>
      <c r="BF585" s="91"/>
      <c r="BG585" s="91"/>
      <c r="BH585" s="91"/>
      <c r="BI585" s="91"/>
    </row>
    <row r="586" spans="1:61" s="44" customFormat="1" ht="24.6" hidden="1" customHeight="1">
      <c r="A586" s="928"/>
      <c r="B586" s="546" t="s">
        <v>246</v>
      </c>
      <c r="C586" s="57"/>
      <c r="D586" s="57"/>
      <c r="E586" s="57"/>
      <c r="F586" s="57"/>
      <c r="G586" s="80"/>
      <c r="H586" s="80"/>
      <c r="I586" s="80"/>
      <c r="J586" s="80"/>
      <c r="K586" s="80"/>
      <c r="L586" s="80"/>
      <c r="M586" s="81"/>
      <c r="N586" s="604"/>
      <c r="O586" s="944"/>
      <c r="AJ586" s="91"/>
      <c r="AK586" s="91"/>
      <c r="AL586" s="91"/>
      <c r="AM586" s="91"/>
      <c r="AN586" s="91"/>
      <c r="AO586" s="91"/>
      <c r="AP586" s="91"/>
      <c r="AQ586" s="91"/>
      <c r="AR586" s="91"/>
      <c r="AS586" s="91"/>
      <c r="AT586" s="91"/>
      <c r="AU586" s="91"/>
      <c r="AV586" s="91"/>
      <c r="AW586" s="91"/>
      <c r="AX586" s="91"/>
      <c r="AY586" s="91"/>
      <c r="AZ586" s="91"/>
      <c r="BA586" s="91"/>
      <c r="BB586" s="91"/>
      <c r="BC586" s="91"/>
      <c r="BD586" s="91"/>
      <c r="BE586" s="91"/>
      <c r="BF586" s="91"/>
      <c r="BG586" s="91"/>
      <c r="BH586" s="91"/>
      <c r="BI586" s="91"/>
    </row>
    <row r="587" spans="1:61" s="44" customFormat="1" ht="23.45" hidden="1" customHeight="1">
      <c r="A587" s="932" t="s">
        <v>109</v>
      </c>
      <c r="B587" s="546" t="s">
        <v>89</v>
      </c>
      <c r="C587" s="546">
        <v>176</v>
      </c>
      <c r="D587" s="546" t="s">
        <v>15</v>
      </c>
      <c r="E587" s="546">
        <v>6100404</v>
      </c>
      <c r="F587" s="546">
        <v>243</v>
      </c>
      <c r="G587" s="81"/>
      <c r="H587" s="81"/>
      <c r="I587" s="81"/>
      <c r="J587" s="81"/>
      <c r="K587" s="81"/>
      <c r="L587" s="81"/>
      <c r="M587" s="81"/>
      <c r="N587" s="604"/>
      <c r="O587" s="944" t="s">
        <v>291</v>
      </c>
      <c r="AJ587" s="91"/>
      <c r="AK587" s="91"/>
      <c r="AL587" s="91"/>
      <c r="AM587" s="91"/>
      <c r="AN587" s="91"/>
      <c r="AO587" s="91"/>
      <c r="AP587" s="91"/>
      <c r="AQ587" s="91"/>
      <c r="AR587" s="91"/>
      <c r="AS587" s="91"/>
      <c r="AT587" s="91"/>
      <c r="AU587" s="91"/>
      <c r="AV587" s="91"/>
      <c r="AW587" s="91"/>
      <c r="AX587" s="91"/>
      <c r="AY587" s="91"/>
      <c r="AZ587" s="91"/>
      <c r="BA587" s="91"/>
      <c r="BB587" s="91"/>
      <c r="BC587" s="91"/>
      <c r="BD587" s="91"/>
      <c r="BE587" s="91"/>
      <c r="BF587" s="91"/>
      <c r="BG587" s="91"/>
      <c r="BH587" s="91"/>
      <c r="BI587" s="91"/>
    </row>
    <row r="588" spans="1:61" ht="24.6" hidden="1" customHeight="1">
      <c r="A588" s="932"/>
      <c r="B588" s="546" t="s">
        <v>246</v>
      </c>
      <c r="C588" s="546"/>
      <c r="D588" s="546"/>
      <c r="E588" s="546"/>
      <c r="F588" s="546"/>
      <c r="G588" s="81">
        <f>J588+K588</f>
        <v>0</v>
      </c>
      <c r="H588" s="81"/>
      <c r="I588" s="81"/>
      <c r="J588" s="81"/>
      <c r="K588" s="81"/>
      <c r="L588" s="81">
        <v>0</v>
      </c>
      <c r="M588" s="81"/>
      <c r="N588" s="604"/>
      <c r="O588" s="944"/>
    </row>
    <row r="589" spans="1:61" ht="24.6" hidden="1" customHeight="1">
      <c r="A589" s="945" t="s">
        <v>127</v>
      </c>
      <c r="B589" s="57" t="s">
        <v>721</v>
      </c>
      <c r="C589" s="57"/>
      <c r="D589" s="57"/>
      <c r="E589" s="57"/>
      <c r="F589" s="57"/>
      <c r="G589" s="80">
        <f t="shared" ref="G589:M590" si="219">G591+G597</f>
        <v>0</v>
      </c>
      <c r="H589" s="80"/>
      <c r="I589" s="80"/>
      <c r="J589" s="80"/>
      <c r="K589" s="80">
        <f>K597</f>
        <v>0</v>
      </c>
      <c r="L589" s="80">
        <f t="shared" si="219"/>
        <v>0</v>
      </c>
      <c r="M589" s="80">
        <f t="shared" si="219"/>
        <v>0</v>
      </c>
      <c r="N589" s="604"/>
      <c r="O589" s="610"/>
    </row>
    <row r="590" spans="1:61" ht="22.15" hidden="1" customHeight="1">
      <c r="A590" s="945"/>
      <c r="B590" s="57" t="s">
        <v>246</v>
      </c>
      <c r="C590" s="57"/>
      <c r="D590" s="57"/>
      <c r="E590" s="57"/>
      <c r="F590" s="57"/>
      <c r="G590" s="80">
        <f t="shared" si="219"/>
        <v>0</v>
      </c>
      <c r="H590" s="80">
        <f t="shared" si="219"/>
        <v>0</v>
      </c>
      <c r="I590" s="80">
        <f t="shared" si="219"/>
        <v>0</v>
      </c>
      <c r="J590" s="80">
        <f t="shared" si="219"/>
        <v>0</v>
      </c>
      <c r="K590" s="80">
        <f t="shared" si="219"/>
        <v>0</v>
      </c>
      <c r="L590" s="80">
        <f t="shared" si="219"/>
        <v>0</v>
      </c>
      <c r="M590" s="80">
        <f t="shared" si="219"/>
        <v>0</v>
      </c>
      <c r="N590" s="604"/>
      <c r="O590" s="610"/>
    </row>
    <row r="591" spans="1:61" ht="27" hidden="1" customHeight="1">
      <c r="A591" s="932" t="s">
        <v>126</v>
      </c>
      <c r="B591" s="546" t="s">
        <v>89</v>
      </c>
      <c r="C591" s="546">
        <v>176</v>
      </c>
      <c r="D591" s="546" t="s">
        <v>15</v>
      </c>
      <c r="E591" s="546">
        <v>6100404</v>
      </c>
      <c r="F591" s="546">
        <v>243</v>
      </c>
      <c r="G591" s="81">
        <v>0</v>
      </c>
      <c r="H591" s="81"/>
      <c r="I591" s="81"/>
      <c r="J591" s="81"/>
      <c r="K591" s="81"/>
      <c r="L591" s="81"/>
      <c r="M591" s="81"/>
      <c r="N591" s="604"/>
      <c r="O591" s="944" t="s">
        <v>38</v>
      </c>
    </row>
    <row r="592" spans="1:61" ht="27.75" hidden="1" customHeight="1">
      <c r="A592" s="932"/>
      <c r="B592" s="546" t="s">
        <v>246</v>
      </c>
      <c r="C592" s="546"/>
      <c r="D592" s="546"/>
      <c r="E592" s="546"/>
      <c r="F592" s="546"/>
      <c r="G592" s="81"/>
      <c r="H592" s="81"/>
      <c r="I592" s="81"/>
      <c r="J592" s="81"/>
      <c r="K592" s="81"/>
      <c r="L592" s="81"/>
      <c r="M592" s="81"/>
      <c r="N592" s="604"/>
      <c r="O592" s="944"/>
      <c r="V592" s="43">
        <v>123.1</v>
      </c>
    </row>
    <row r="593" spans="1:61" ht="23.25" hidden="1" customHeight="1">
      <c r="A593" s="545" t="s">
        <v>178</v>
      </c>
      <c r="B593" s="546" t="s">
        <v>89</v>
      </c>
      <c r="C593" s="546">
        <v>176</v>
      </c>
      <c r="D593" s="546" t="s">
        <v>15</v>
      </c>
      <c r="E593" s="546">
        <v>6100404</v>
      </c>
      <c r="F593" s="546">
        <v>243</v>
      </c>
      <c r="G593" s="81">
        <v>0</v>
      </c>
      <c r="H593" s="81"/>
      <c r="I593" s="81"/>
      <c r="J593" s="81"/>
      <c r="K593" s="81"/>
      <c r="L593" s="81"/>
      <c r="M593" s="81"/>
      <c r="N593" s="604"/>
      <c r="O593" s="604"/>
    </row>
    <row r="594" spans="1:61" ht="23.25" hidden="1" customHeight="1">
      <c r="A594" s="545"/>
      <c r="B594" s="546" t="s">
        <v>246</v>
      </c>
      <c r="C594" s="546"/>
      <c r="D594" s="546"/>
      <c r="E594" s="546"/>
      <c r="F594" s="546"/>
      <c r="G594" s="81"/>
      <c r="H594" s="81"/>
      <c r="I594" s="81"/>
      <c r="J594" s="81"/>
      <c r="K594" s="81"/>
      <c r="L594" s="81"/>
      <c r="M594" s="81"/>
      <c r="N594" s="604"/>
      <c r="O594" s="604"/>
    </row>
    <row r="595" spans="1:61" ht="24" hidden="1" customHeight="1">
      <c r="A595" s="545" t="s">
        <v>179</v>
      </c>
      <c r="B595" s="546" t="s">
        <v>89</v>
      </c>
      <c r="C595" s="546">
        <v>176</v>
      </c>
      <c r="D595" s="546" t="s">
        <v>15</v>
      </c>
      <c r="E595" s="546">
        <v>6100404</v>
      </c>
      <c r="F595" s="546">
        <v>243</v>
      </c>
      <c r="G595" s="81"/>
      <c r="H595" s="81"/>
      <c r="I595" s="81"/>
      <c r="J595" s="81"/>
      <c r="K595" s="81"/>
      <c r="L595" s="81"/>
      <c r="M595" s="81"/>
      <c r="N595" s="604"/>
      <c r="O595" s="604" t="s">
        <v>93</v>
      </c>
    </row>
    <row r="596" spans="1:61" s="44" customFormat="1" ht="24.95" hidden="1" customHeight="1">
      <c r="A596" s="545"/>
      <c r="B596" s="546" t="s">
        <v>246</v>
      </c>
      <c r="C596" s="546"/>
      <c r="D596" s="546"/>
      <c r="E596" s="546"/>
      <c r="F596" s="546"/>
      <c r="G596" s="81"/>
      <c r="H596" s="81"/>
      <c r="I596" s="81"/>
      <c r="J596" s="81"/>
      <c r="K596" s="81"/>
      <c r="L596" s="81"/>
      <c r="M596" s="81"/>
      <c r="N596" s="604"/>
      <c r="O596" s="604"/>
      <c r="AJ596" s="91"/>
      <c r="AK596" s="91"/>
      <c r="AL596" s="91"/>
      <c r="AM596" s="91"/>
      <c r="AN596" s="91"/>
      <c r="AO596" s="91"/>
      <c r="AP596" s="91"/>
      <c r="AQ596" s="91"/>
      <c r="AR596" s="91"/>
      <c r="AS596" s="91"/>
      <c r="AT596" s="91"/>
      <c r="AU596" s="91"/>
      <c r="AV596" s="91"/>
      <c r="AW596" s="91"/>
      <c r="AX596" s="91"/>
      <c r="AY596" s="91"/>
      <c r="AZ596" s="91"/>
      <c r="BA596" s="91"/>
      <c r="BB596" s="91"/>
      <c r="BC596" s="91"/>
      <c r="BD596" s="91"/>
      <c r="BE596" s="91"/>
      <c r="BF596" s="91"/>
      <c r="BG596" s="91"/>
      <c r="BH596" s="91"/>
      <c r="BI596" s="91"/>
    </row>
    <row r="597" spans="1:61" s="44" customFormat="1" ht="23.45" hidden="1" customHeight="1">
      <c r="A597" s="932" t="s">
        <v>109</v>
      </c>
      <c r="B597" s="546" t="s">
        <v>721</v>
      </c>
      <c r="C597" s="546">
        <v>176</v>
      </c>
      <c r="D597" s="546" t="s">
        <v>15</v>
      </c>
      <c r="E597" s="546">
        <v>6100404</v>
      </c>
      <c r="F597" s="546">
        <v>243</v>
      </c>
      <c r="G597" s="81">
        <f>K597</f>
        <v>0</v>
      </c>
      <c r="H597" s="81"/>
      <c r="I597" s="81"/>
      <c r="J597" s="81"/>
      <c r="K597" s="81"/>
      <c r="L597" s="81"/>
      <c r="M597" s="81"/>
      <c r="N597" s="604"/>
      <c r="O597" s="944" t="s">
        <v>730</v>
      </c>
      <c r="AJ597" s="91"/>
      <c r="AK597" s="91"/>
      <c r="AL597" s="91"/>
      <c r="AM597" s="91"/>
      <c r="AN597" s="91"/>
      <c r="AO597" s="91"/>
      <c r="AP597" s="91"/>
      <c r="AQ597" s="91"/>
      <c r="AR597" s="91"/>
      <c r="AS597" s="91"/>
      <c r="AT597" s="91"/>
      <c r="AU597" s="91"/>
      <c r="AV597" s="91"/>
      <c r="AW597" s="91"/>
      <c r="AX597" s="91"/>
      <c r="AY597" s="91"/>
      <c r="AZ597" s="91"/>
      <c r="BA597" s="91"/>
      <c r="BB597" s="91"/>
      <c r="BC597" s="91"/>
      <c r="BD597" s="91"/>
      <c r="BE597" s="91"/>
      <c r="BF597" s="91"/>
      <c r="BG597" s="91"/>
      <c r="BH597" s="91"/>
      <c r="BI597" s="91"/>
    </row>
    <row r="598" spans="1:61" ht="24.6" hidden="1" customHeight="1">
      <c r="A598" s="932"/>
      <c r="B598" s="546" t="s">
        <v>246</v>
      </c>
      <c r="C598" s="546"/>
      <c r="D598" s="546"/>
      <c r="E598" s="546"/>
      <c r="F598" s="546"/>
      <c r="G598" s="81">
        <f>K598</f>
        <v>0</v>
      </c>
      <c r="H598" s="81"/>
      <c r="I598" s="81"/>
      <c r="J598" s="81"/>
      <c r="K598" s="81"/>
      <c r="L598" s="81"/>
      <c r="M598" s="81"/>
      <c r="N598" s="604"/>
      <c r="O598" s="944"/>
    </row>
    <row r="599" spans="1:61" ht="24.6" hidden="1" customHeight="1">
      <c r="A599" s="945" t="s">
        <v>129</v>
      </c>
      <c r="B599" s="57" t="s">
        <v>89</v>
      </c>
      <c r="C599" s="57"/>
      <c r="D599" s="57"/>
      <c r="E599" s="57"/>
      <c r="F599" s="57"/>
      <c r="G599" s="80">
        <f t="shared" ref="G599:L600" si="220">G601+G603</f>
        <v>0</v>
      </c>
      <c r="H599" s="80">
        <f t="shared" si="220"/>
        <v>0</v>
      </c>
      <c r="I599" s="80">
        <f t="shared" si="220"/>
        <v>0</v>
      </c>
      <c r="J599" s="80">
        <f t="shared" si="220"/>
        <v>0</v>
      </c>
      <c r="K599" s="80">
        <f t="shared" si="220"/>
        <v>0</v>
      </c>
      <c r="L599" s="80">
        <f t="shared" si="220"/>
        <v>0</v>
      </c>
      <c r="M599" s="80"/>
      <c r="N599" s="604"/>
      <c r="O599" s="610"/>
    </row>
    <row r="600" spans="1:61" ht="24.6" hidden="1" customHeight="1">
      <c r="A600" s="945"/>
      <c r="B600" s="57" t="s">
        <v>246</v>
      </c>
      <c r="C600" s="57"/>
      <c r="D600" s="57"/>
      <c r="E600" s="57"/>
      <c r="F600" s="57"/>
      <c r="G600" s="80">
        <f t="shared" si="220"/>
        <v>0</v>
      </c>
      <c r="H600" s="80">
        <f t="shared" si="220"/>
        <v>0</v>
      </c>
      <c r="I600" s="80">
        <f t="shared" si="220"/>
        <v>0</v>
      </c>
      <c r="J600" s="80">
        <f t="shared" si="220"/>
        <v>0</v>
      </c>
      <c r="K600" s="80">
        <f t="shared" si="220"/>
        <v>0</v>
      </c>
      <c r="L600" s="80">
        <f t="shared" si="220"/>
        <v>0</v>
      </c>
      <c r="M600" s="80"/>
      <c r="N600" s="604"/>
      <c r="O600" s="610"/>
    </row>
    <row r="601" spans="1:61" ht="22.15" hidden="1" customHeight="1">
      <c r="A601" s="932" t="s">
        <v>128</v>
      </c>
      <c r="B601" s="546" t="s">
        <v>89</v>
      </c>
      <c r="C601" s="546">
        <v>176</v>
      </c>
      <c r="D601" s="546" t="s">
        <v>15</v>
      </c>
      <c r="E601" s="546">
        <v>6100404</v>
      </c>
      <c r="F601" s="546">
        <v>243</v>
      </c>
      <c r="G601" s="81"/>
      <c r="H601" s="81"/>
      <c r="I601" s="81"/>
      <c r="J601" s="81"/>
      <c r="K601" s="81"/>
      <c r="L601" s="81"/>
      <c r="M601" s="81"/>
      <c r="N601" s="604"/>
      <c r="O601" s="944" t="s">
        <v>324</v>
      </c>
    </row>
    <row r="602" spans="1:61" s="44" customFormat="1" ht="23.45" hidden="1" customHeight="1">
      <c r="A602" s="932"/>
      <c r="B602" s="546" t="s">
        <v>246</v>
      </c>
      <c r="C602" s="546"/>
      <c r="D602" s="546"/>
      <c r="E602" s="546"/>
      <c r="F602" s="546"/>
      <c r="G602" s="81">
        <f>K602</f>
        <v>0</v>
      </c>
      <c r="H602" s="81"/>
      <c r="I602" s="81"/>
      <c r="J602" s="81"/>
      <c r="K602" s="81"/>
      <c r="L602" s="81"/>
      <c r="M602" s="81"/>
      <c r="N602" s="604"/>
      <c r="O602" s="944"/>
      <c r="AJ602" s="91"/>
      <c r="AK602" s="91"/>
      <c r="AL602" s="91"/>
      <c r="AM602" s="91"/>
      <c r="AN602" s="91"/>
      <c r="AO602" s="91"/>
      <c r="AP602" s="91"/>
      <c r="AQ602" s="91"/>
      <c r="AR602" s="91"/>
      <c r="AS602" s="91"/>
      <c r="AT602" s="91"/>
      <c r="AU602" s="91"/>
      <c r="AV602" s="91"/>
      <c r="AW602" s="91"/>
      <c r="AX602" s="91"/>
      <c r="AY602" s="91"/>
      <c r="AZ602" s="91"/>
      <c r="BA602" s="91"/>
      <c r="BB602" s="91"/>
      <c r="BC602" s="91"/>
      <c r="BD602" s="91"/>
      <c r="BE602" s="91"/>
      <c r="BF602" s="91"/>
      <c r="BG602" s="91"/>
      <c r="BH602" s="91"/>
      <c r="BI602" s="91"/>
    </row>
    <row r="603" spans="1:61" s="44" customFormat="1" ht="24" hidden="1" customHeight="1">
      <c r="A603" s="932" t="s">
        <v>109</v>
      </c>
      <c r="B603" s="546" t="s">
        <v>89</v>
      </c>
      <c r="C603" s="546">
        <v>176</v>
      </c>
      <c r="D603" s="546" t="s">
        <v>15</v>
      </c>
      <c r="E603" s="546">
        <v>6100404</v>
      </c>
      <c r="F603" s="546">
        <v>243</v>
      </c>
      <c r="G603" s="81"/>
      <c r="H603" s="81"/>
      <c r="I603" s="81"/>
      <c r="J603" s="81"/>
      <c r="K603" s="81"/>
      <c r="L603" s="81"/>
      <c r="M603" s="81"/>
      <c r="N603" s="604"/>
      <c r="O603" s="944" t="s">
        <v>291</v>
      </c>
      <c r="AJ603" s="91"/>
      <c r="AK603" s="91"/>
      <c r="AL603" s="91"/>
      <c r="AM603" s="91"/>
      <c r="AN603" s="91"/>
      <c r="AO603" s="91"/>
      <c r="AP603" s="91"/>
      <c r="AQ603" s="91"/>
      <c r="AR603" s="91"/>
      <c r="AS603" s="91"/>
      <c r="AT603" s="91"/>
      <c r="AU603" s="91"/>
      <c r="AV603" s="91"/>
      <c r="AW603" s="91"/>
      <c r="AX603" s="91"/>
      <c r="AY603" s="91"/>
      <c r="AZ603" s="91"/>
      <c r="BA603" s="91"/>
      <c r="BB603" s="91"/>
      <c r="BC603" s="91"/>
      <c r="BD603" s="91"/>
      <c r="BE603" s="91"/>
      <c r="BF603" s="91"/>
      <c r="BG603" s="91"/>
      <c r="BH603" s="91"/>
      <c r="BI603" s="91"/>
    </row>
    <row r="604" spans="1:61" ht="24.6" hidden="1" customHeight="1">
      <c r="A604" s="932"/>
      <c r="B604" s="546" t="s">
        <v>246</v>
      </c>
      <c r="C604" s="546"/>
      <c r="D604" s="546"/>
      <c r="E604" s="546"/>
      <c r="F604" s="546"/>
      <c r="G604" s="81"/>
      <c r="H604" s="81"/>
      <c r="I604" s="81"/>
      <c r="J604" s="81"/>
      <c r="K604" s="81"/>
      <c r="L604" s="81"/>
      <c r="M604" s="81"/>
      <c r="N604" s="604"/>
      <c r="O604" s="944"/>
    </row>
    <row r="605" spans="1:61" ht="24.6" customHeight="1">
      <c r="A605" s="945" t="s">
        <v>102</v>
      </c>
      <c r="B605" s="57" t="s">
        <v>721</v>
      </c>
      <c r="C605" s="57"/>
      <c r="D605" s="57"/>
      <c r="E605" s="57"/>
      <c r="F605" s="57"/>
      <c r="G605" s="80">
        <f>K605</f>
        <v>1</v>
      </c>
      <c r="H605" s="80"/>
      <c r="I605" s="80"/>
      <c r="J605" s="80"/>
      <c r="K605" s="80">
        <f>K611+K615</f>
        <v>1</v>
      </c>
      <c r="L605" s="80"/>
      <c r="M605" s="80"/>
      <c r="N605" s="604"/>
      <c r="O605" s="610"/>
    </row>
    <row r="606" spans="1:61" ht="24.6" customHeight="1">
      <c r="A606" s="945"/>
      <c r="B606" s="57" t="s">
        <v>439</v>
      </c>
      <c r="C606" s="57"/>
      <c r="D606" s="57"/>
      <c r="E606" s="57"/>
      <c r="F606" s="57"/>
      <c r="G606" s="80">
        <f>K606</f>
        <v>38344.5</v>
      </c>
      <c r="H606" s="80"/>
      <c r="I606" s="80"/>
      <c r="J606" s="80"/>
      <c r="K606" s="80">
        <f>K607+K608</f>
        <v>38344.5</v>
      </c>
      <c r="L606" s="80">
        <f>L607+L608</f>
        <v>0</v>
      </c>
      <c r="M606" s="80"/>
      <c r="N606" s="604"/>
      <c r="O606" s="610"/>
    </row>
    <row r="607" spans="1:61" ht="24.6" customHeight="1">
      <c r="A607" s="945"/>
      <c r="B607" s="57" t="s">
        <v>247</v>
      </c>
      <c r="C607" s="57"/>
      <c r="D607" s="57"/>
      <c r="E607" s="57"/>
      <c r="F607" s="57"/>
      <c r="G607" s="80">
        <f t="shared" ref="G607:G616" si="221">K607</f>
        <v>38344.5</v>
      </c>
      <c r="H607" s="80"/>
      <c r="I607" s="80"/>
      <c r="J607" s="80"/>
      <c r="K607" s="80">
        <f>K613+K616</f>
        <v>38344.5</v>
      </c>
      <c r="L607" s="80">
        <f>L613+L616</f>
        <v>0</v>
      </c>
      <c r="M607" s="80"/>
      <c r="N607" s="604"/>
      <c r="O607" s="610"/>
    </row>
    <row r="608" spans="1:61" ht="23.45" customHeight="1">
      <c r="A608" s="945"/>
      <c r="B608" s="57" t="s">
        <v>495</v>
      </c>
      <c r="C608" s="57"/>
      <c r="D608" s="57"/>
      <c r="E608" s="57"/>
      <c r="F608" s="57"/>
      <c r="G608" s="80">
        <f t="shared" si="221"/>
        <v>0</v>
      </c>
      <c r="H608" s="80">
        <f>H610+H616</f>
        <v>0</v>
      </c>
      <c r="I608" s="80">
        <f>I610+I616</f>
        <v>0</v>
      </c>
      <c r="J608" s="80">
        <f>J610+J616</f>
        <v>0</v>
      </c>
      <c r="K608" s="80">
        <f>K614</f>
        <v>0</v>
      </c>
      <c r="L608" s="80">
        <f>L614</f>
        <v>0</v>
      </c>
      <c r="M608" s="80"/>
      <c r="N608" s="604"/>
      <c r="O608" s="610"/>
    </row>
    <row r="609" spans="1:61" ht="24.6" hidden="1" customHeight="1">
      <c r="A609" s="932" t="s">
        <v>130</v>
      </c>
      <c r="B609" s="546" t="s">
        <v>89</v>
      </c>
      <c r="C609" s="546">
        <v>176</v>
      </c>
      <c r="D609" s="546" t="s">
        <v>15</v>
      </c>
      <c r="E609" s="546">
        <v>6100404</v>
      </c>
      <c r="F609" s="546">
        <v>243</v>
      </c>
      <c r="G609" s="80">
        <f t="shared" si="221"/>
        <v>0</v>
      </c>
      <c r="H609" s="81"/>
      <c r="I609" s="81"/>
      <c r="J609" s="81"/>
      <c r="K609" s="81"/>
      <c r="L609" s="81"/>
      <c r="M609" s="81"/>
      <c r="N609" s="604"/>
      <c r="O609" s="944" t="s">
        <v>211</v>
      </c>
    </row>
    <row r="610" spans="1:61" ht="24.6" hidden="1" customHeight="1">
      <c r="A610" s="932"/>
      <c r="B610" s="546" t="s">
        <v>246</v>
      </c>
      <c r="C610" s="546"/>
      <c r="D610" s="546"/>
      <c r="E610" s="546"/>
      <c r="F610" s="546"/>
      <c r="G610" s="80">
        <f t="shared" si="221"/>
        <v>0</v>
      </c>
      <c r="H610" s="81"/>
      <c r="I610" s="81"/>
      <c r="J610" s="81"/>
      <c r="K610" s="81"/>
      <c r="L610" s="81"/>
      <c r="M610" s="81"/>
      <c r="N610" s="604"/>
      <c r="O610" s="944"/>
    </row>
    <row r="611" spans="1:61" ht="24.6" customHeight="1">
      <c r="A611" s="932" t="s">
        <v>557</v>
      </c>
      <c r="B611" s="546" t="s">
        <v>721</v>
      </c>
      <c r="C611" s="546">
        <v>176</v>
      </c>
      <c r="D611" s="546" t="s">
        <v>15</v>
      </c>
      <c r="E611" s="546">
        <v>6100404</v>
      </c>
      <c r="F611" s="546">
        <v>243</v>
      </c>
      <c r="G611" s="81">
        <f t="shared" si="221"/>
        <v>1</v>
      </c>
      <c r="H611" s="81"/>
      <c r="I611" s="81"/>
      <c r="J611" s="81"/>
      <c r="K611" s="81">
        <v>1</v>
      </c>
      <c r="L611" s="81"/>
      <c r="M611" s="81"/>
      <c r="N611" s="604"/>
      <c r="O611" s="944" t="s">
        <v>915</v>
      </c>
    </row>
    <row r="612" spans="1:61" ht="24.6" customHeight="1">
      <c r="A612" s="932"/>
      <c r="B612" s="546" t="s">
        <v>439</v>
      </c>
      <c r="C612" s="546"/>
      <c r="D612" s="546"/>
      <c r="E612" s="546"/>
      <c r="F612" s="546"/>
      <c r="G612" s="81">
        <f t="shared" si="221"/>
        <v>38344.5</v>
      </c>
      <c r="H612" s="81"/>
      <c r="I612" s="81"/>
      <c r="J612" s="81"/>
      <c r="K612" s="81">
        <f>K613+K614</f>
        <v>38344.5</v>
      </c>
      <c r="L612" s="81">
        <f>L613+L614</f>
        <v>0</v>
      </c>
      <c r="M612" s="81"/>
      <c r="N612" s="604"/>
      <c r="O612" s="944"/>
    </row>
    <row r="613" spans="1:61" ht="24.6" customHeight="1">
      <c r="A613" s="932"/>
      <c r="B613" s="546" t="s">
        <v>247</v>
      </c>
      <c r="C613" s="546"/>
      <c r="D613" s="546"/>
      <c r="E613" s="546"/>
      <c r="F613" s="546"/>
      <c r="G613" s="81">
        <f t="shared" si="221"/>
        <v>38344.5</v>
      </c>
      <c r="H613" s="81"/>
      <c r="I613" s="81"/>
      <c r="J613" s="81"/>
      <c r="K613" s="81">
        <v>38344.5</v>
      </c>
      <c r="L613" s="81"/>
      <c r="M613" s="81"/>
      <c r="N613" s="604"/>
      <c r="O613" s="944"/>
    </row>
    <row r="614" spans="1:61" s="44" customFormat="1" ht="24.6" customHeight="1">
      <c r="A614" s="932"/>
      <c r="B614" s="546" t="s">
        <v>495</v>
      </c>
      <c r="C614" s="546"/>
      <c r="D614" s="546"/>
      <c r="E614" s="546"/>
      <c r="F614" s="546"/>
      <c r="G614" s="81">
        <f t="shared" si="221"/>
        <v>0</v>
      </c>
      <c r="H614" s="81"/>
      <c r="I614" s="81"/>
      <c r="J614" s="81"/>
      <c r="K614" s="81"/>
      <c r="L614" s="81"/>
      <c r="M614" s="81"/>
      <c r="N614" s="604"/>
      <c r="O614" s="944"/>
      <c r="AJ614" s="91"/>
      <c r="AK614" s="91"/>
      <c r="AL614" s="91"/>
      <c r="AM614" s="91"/>
      <c r="AN614" s="91"/>
      <c r="AO614" s="91"/>
      <c r="AP614" s="91"/>
      <c r="AQ614" s="91"/>
      <c r="AR614" s="91"/>
      <c r="AS614" s="91"/>
      <c r="AT614" s="91"/>
      <c r="AU614" s="91"/>
      <c r="AV614" s="91"/>
      <c r="AW614" s="91"/>
      <c r="AX614" s="91"/>
      <c r="AY614" s="91"/>
      <c r="AZ614" s="91"/>
      <c r="BA614" s="91"/>
      <c r="BB614" s="91"/>
      <c r="BC614" s="91"/>
      <c r="BD614" s="91"/>
      <c r="BE614" s="91"/>
      <c r="BF614" s="91"/>
      <c r="BG614" s="91"/>
      <c r="BH614" s="91"/>
      <c r="BI614" s="91"/>
    </row>
    <row r="615" spans="1:61" s="44" customFormat="1" ht="24.95" hidden="1" customHeight="1">
      <c r="A615" s="932" t="s">
        <v>109</v>
      </c>
      <c r="B615" s="546" t="s">
        <v>721</v>
      </c>
      <c r="C615" s="546">
        <v>176</v>
      </c>
      <c r="D615" s="546" t="s">
        <v>15</v>
      </c>
      <c r="E615" s="546">
        <v>6100404</v>
      </c>
      <c r="F615" s="546">
        <v>243</v>
      </c>
      <c r="G615" s="81">
        <f t="shared" si="221"/>
        <v>0</v>
      </c>
      <c r="H615" s="81"/>
      <c r="I615" s="81"/>
      <c r="J615" s="81"/>
      <c r="K615" s="81"/>
      <c r="L615" s="81"/>
      <c r="M615" s="81"/>
      <c r="N615" s="604"/>
      <c r="O615" s="944" t="s">
        <v>730</v>
      </c>
      <c r="AJ615" s="91"/>
      <c r="AK615" s="91"/>
      <c r="AL615" s="91"/>
      <c r="AM615" s="91"/>
      <c r="AN615" s="91"/>
      <c r="AO615" s="91"/>
      <c r="AP615" s="91"/>
      <c r="AQ615" s="91"/>
      <c r="AR615" s="91"/>
      <c r="AS615" s="91"/>
      <c r="AT615" s="91"/>
      <c r="AU615" s="91"/>
      <c r="AV615" s="91"/>
      <c r="AW615" s="91"/>
      <c r="AX615" s="91"/>
      <c r="AY615" s="91"/>
      <c r="AZ615" s="91"/>
      <c r="BA615" s="91"/>
      <c r="BB615" s="91"/>
      <c r="BC615" s="91"/>
      <c r="BD615" s="91"/>
      <c r="BE615" s="91"/>
      <c r="BF615" s="91"/>
      <c r="BG615" s="91"/>
      <c r="BH615" s="91"/>
      <c r="BI615" s="91"/>
    </row>
    <row r="616" spans="1:61" s="44" customFormat="1" ht="24.95" hidden="1" customHeight="1">
      <c r="A616" s="932"/>
      <c r="B616" s="546" t="s">
        <v>246</v>
      </c>
      <c r="C616" s="546"/>
      <c r="D616" s="546"/>
      <c r="E616" s="546"/>
      <c r="F616" s="546"/>
      <c r="G616" s="81">
        <f t="shared" si="221"/>
        <v>0</v>
      </c>
      <c r="H616" s="81"/>
      <c r="I616" s="81"/>
      <c r="J616" s="81"/>
      <c r="K616" s="81"/>
      <c r="L616" s="81"/>
      <c r="M616" s="81"/>
      <c r="N616" s="604"/>
      <c r="O616" s="944"/>
      <c r="AJ616" s="91"/>
      <c r="AK616" s="91"/>
      <c r="AL616" s="91"/>
      <c r="AM616" s="91"/>
      <c r="AN616" s="91"/>
      <c r="AO616" s="91"/>
      <c r="AP616" s="91"/>
      <c r="AQ616" s="91"/>
      <c r="AR616" s="91"/>
      <c r="AS616" s="91"/>
      <c r="AT616" s="91"/>
      <c r="AU616" s="91"/>
      <c r="AV616" s="91"/>
      <c r="AW616" s="91"/>
      <c r="AX616" s="91"/>
      <c r="AY616" s="91"/>
      <c r="AZ616" s="91"/>
      <c r="BA616" s="91"/>
      <c r="BB616" s="91"/>
      <c r="BC616" s="91"/>
      <c r="BD616" s="91"/>
      <c r="BE616" s="91"/>
      <c r="BF616" s="91"/>
      <c r="BG616" s="91"/>
      <c r="BH616" s="91"/>
      <c r="BI616" s="91"/>
    </row>
    <row r="617" spans="1:61" s="44" customFormat="1" ht="24.95" hidden="1" customHeight="1">
      <c r="A617" s="887" t="s">
        <v>132</v>
      </c>
      <c r="B617" s="57" t="s">
        <v>721</v>
      </c>
      <c r="C617" s="57"/>
      <c r="D617" s="57"/>
      <c r="E617" s="57"/>
      <c r="F617" s="57"/>
      <c r="G617" s="80">
        <f>G621+G625</f>
        <v>0</v>
      </c>
      <c r="H617" s="80">
        <f t="shared" ref="H617:J617" si="222">H621+H625</f>
        <v>0</v>
      </c>
      <c r="I617" s="80">
        <f t="shared" si="222"/>
        <v>0</v>
      </c>
      <c r="J617" s="80">
        <f t="shared" si="222"/>
        <v>0</v>
      </c>
      <c r="K617" s="80">
        <f>K621</f>
        <v>0</v>
      </c>
      <c r="L617" s="80">
        <f t="shared" ref="L617:M617" si="223">L621+L625</f>
        <v>0</v>
      </c>
      <c r="M617" s="80">
        <f t="shared" si="223"/>
        <v>0</v>
      </c>
      <c r="N617" s="604"/>
      <c r="O617" s="610"/>
      <c r="AJ617" s="91"/>
      <c r="AK617" s="91"/>
      <c r="AL617" s="91"/>
      <c r="AM617" s="91"/>
      <c r="AN617" s="91"/>
      <c r="AO617" s="91"/>
      <c r="AP617" s="91"/>
      <c r="AQ617" s="91"/>
      <c r="AR617" s="91"/>
      <c r="AS617" s="91"/>
      <c r="AT617" s="91"/>
      <c r="AU617" s="91"/>
      <c r="AV617" s="91"/>
      <c r="AW617" s="91"/>
      <c r="AX617" s="91"/>
      <c r="AY617" s="91"/>
      <c r="AZ617" s="91"/>
      <c r="BA617" s="91"/>
      <c r="BB617" s="91"/>
      <c r="BC617" s="91"/>
      <c r="BD617" s="91"/>
      <c r="BE617" s="91"/>
      <c r="BF617" s="91"/>
      <c r="BG617" s="91"/>
      <c r="BH617" s="91"/>
      <c r="BI617" s="91"/>
    </row>
    <row r="618" spans="1:61" ht="24.95" hidden="1" customHeight="1">
      <c r="A618" s="888"/>
      <c r="B618" s="57" t="s">
        <v>235</v>
      </c>
      <c r="C618" s="57"/>
      <c r="D618" s="57"/>
      <c r="E618" s="57"/>
      <c r="F618" s="57"/>
      <c r="G618" s="80">
        <f t="shared" ref="G618:M618" si="224">G619+G620</f>
        <v>0</v>
      </c>
      <c r="H618" s="80">
        <f t="shared" si="224"/>
        <v>0</v>
      </c>
      <c r="I618" s="80">
        <f t="shared" si="224"/>
        <v>0</v>
      </c>
      <c r="J618" s="80">
        <f t="shared" si="224"/>
        <v>0</v>
      </c>
      <c r="K618" s="80">
        <f t="shared" si="224"/>
        <v>0</v>
      </c>
      <c r="L618" s="80">
        <f t="shared" si="224"/>
        <v>0</v>
      </c>
      <c r="M618" s="80">
        <f t="shared" si="224"/>
        <v>0</v>
      </c>
      <c r="N618" s="604"/>
      <c r="O618" s="610"/>
    </row>
    <row r="619" spans="1:61" ht="23.45" hidden="1" customHeight="1">
      <c r="A619" s="888"/>
      <c r="B619" s="57" t="s">
        <v>247</v>
      </c>
      <c r="C619" s="57"/>
      <c r="D619" s="57"/>
      <c r="E619" s="57"/>
      <c r="F619" s="57"/>
      <c r="G619" s="80">
        <f>K619</f>
        <v>0</v>
      </c>
      <c r="H619" s="80">
        <f t="shared" ref="H619:J619" si="225">H624+H626</f>
        <v>0</v>
      </c>
      <c r="I619" s="80">
        <f t="shared" si="225"/>
        <v>0</v>
      </c>
      <c r="J619" s="80">
        <f t="shared" si="225"/>
        <v>0</v>
      </c>
      <c r="K619" s="80">
        <f>K623+K626</f>
        <v>0</v>
      </c>
      <c r="L619" s="80">
        <f>L623+L626</f>
        <v>0</v>
      </c>
      <c r="M619" s="80">
        <f t="shared" ref="M619" si="226">M624+M626</f>
        <v>0</v>
      </c>
      <c r="N619" s="604"/>
      <c r="O619" s="610"/>
    </row>
    <row r="620" spans="1:61" ht="24.6" hidden="1" customHeight="1">
      <c r="A620" s="552"/>
      <c r="B620" s="57" t="s">
        <v>495</v>
      </c>
      <c r="C620" s="57"/>
      <c r="D620" s="57"/>
      <c r="E620" s="57"/>
      <c r="F620" s="57"/>
      <c r="G620" s="80">
        <f>K620</f>
        <v>0</v>
      </c>
      <c r="H620" s="80"/>
      <c r="I620" s="80"/>
      <c r="J620" s="80"/>
      <c r="K620" s="80">
        <f>K624</f>
        <v>0</v>
      </c>
      <c r="L620" s="80">
        <f>L624</f>
        <v>0</v>
      </c>
      <c r="M620" s="80"/>
      <c r="N620" s="604"/>
      <c r="O620" s="610"/>
    </row>
    <row r="621" spans="1:61" ht="22.5" hidden="1" customHeight="1">
      <c r="A621" s="926" t="s">
        <v>310</v>
      </c>
      <c r="B621" s="546" t="s">
        <v>721</v>
      </c>
      <c r="C621" s="57"/>
      <c r="D621" s="57"/>
      <c r="E621" s="57"/>
      <c r="F621" s="57"/>
      <c r="G621" s="81">
        <f>K621</f>
        <v>0</v>
      </c>
      <c r="H621" s="81"/>
      <c r="I621" s="81"/>
      <c r="J621" s="81"/>
      <c r="K621" s="81"/>
      <c r="L621" s="81"/>
      <c r="M621" s="92"/>
      <c r="N621" s="604"/>
      <c r="O621" s="944" t="s">
        <v>847</v>
      </c>
    </row>
    <row r="622" spans="1:61" ht="28.5" hidden="1" customHeight="1">
      <c r="A622" s="927"/>
      <c r="B622" s="546" t="s">
        <v>439</v>
      </c>
      <c r="C622" s="57"/>
      <c r="D622" s="57"/>
      <c r="E622" s="57"/>
      <c r="F622" s="57"/>
      <c r="G622" s="81">
        <f t="shared" ref="G622:G624" si="227">K622</f>
        <v>0</v>
      </c>
      <c r="H622" s="81"/>
      <c r="I622" s="81"/>
      <c r="J622" s="81"/>
      <c r="K622" s="81">
        <f>K623+K624</f>
        <v>0</v>
      </c>
      <c r="L622" s="81">
        <f>L623+L624</f>
        <v>0</v>
      </c>
      <c r="M622" s="92"/>
      <c r="N622" s="604"/>
      <c r="O622" s="944"/>
    </row>
    <row r="623" spans="1:61" ht="28.5" hidden="1" customHeight="1">
      <c r="A623" s="927"/>
      <c r="B623" s="546" t="s">
        <v>247</v>
      </c>
      <c r="C623" s="57"/>
      <c r="D623" s="57"/>
      <c r="E623" s="57"/>
      <c r="F623" s="57"/>
      <c r="G623" s="81">
        <f t="shared" si="227"/>
        <v>0</v>
      </c>
      <c r="H623" s="81"/>
      <c r="I623" s="81"/>
      <c r="J623" s="81"/>
      <c r="K623" s="81"/>
      <c r="L623" s="81"/>
      <c r="M623" s="92"/>
      <c r="N623" s="604"/>
      <c r="O623" s="944"/>
    </row>
    <row r="624" spans="1:61" ht="24.6" hidden="1" customHeight="1">
      <c r="A624" s="928"/>
      <c r="B624" s="546" t="s">
        <v>495</v>
      </c>
      <c r="C624" s="57"/>
      <c r="D624" s="57"/>
      <c r="E624" s="57"/>
      <c r="F624" s="57"/>
      <c r="G624" s="81">
        <f t="shared" si="227"/>
        <v>0</v>
      </c>
      <c r="H624" s="81"/>
      <c r="I624" s="81"/>
      <c r="J624" s="81"/>
      <c r="K624" s="81"/>
      <c r="L624" s="81"/>
      <c r="M624" s="81"/>
      <c r="N624" s="604"/>
      <c r="O624" s="944"/>
    </row>
    <row r="625" spans="1:61" ht="24.6" hidden="1" customHeight="1">
      <c r="A625" s="932" t="s">
        <v>131</v>
      </c>
      <c r="B625" s="646" t="s">
        <v>721</v>
      </c>
      <c r="C625" s="546">
        <v>176</v>
      </c>
      <c r="D625" s="546" t="s">
        <v>15</v>
      </c>
      <c r="E625" s="546">
        <v>6100404</v>
      </c>
      <c r="F625" s="546">
        <v>243</v>
      </c>
      <c r="G625" s="81">
        <f>J625</f>
        <v>0</v>
      </c>
      <c r="H625" s="81"/>
      <c r="I625" s="81"/>
      <c r="J625" s="81"/>
      <c r="K625" s="81"/>
      <c r="L625" s="81"/>
      <c r="M625" s="81"/>
      <c r="N625" s="604"/>
      <c r="O625" s="944" t="s">
        <v>731</v>
      </c>
    </row>
    <row r="626" spans="1:61" ht="23.45" hidden="1" customHeight="1">
      <c r="A626" s="932"/>
      <c r="B626" s="546" t="s">
        <v>246</v>
      </c>
      <c r="C626" s="546"/>
      <c r="D626" s="546"/>
      <c r="E626" s="546"/>
      <c r="F626" s="546"/>
      <c r="G626" s="81">
        <f>J626+K626</f>
        <v>0</v>
      </c>
      <c r="H626" s="81"/>
      <c r="I626" s="81"/>
      <c r="J626" s="81"/>
      <c r="K626" s="81"/>
      <c r="L626" s="81"/>
      <c r="M626" s="81"/>
      <c r="N626" s="604"/>
      <c r="O626" s="944"/>
    </row>
    <row r="627" spans="1:61" ht="24.6" hidden="1" customHeight="1">
      <c r="A627" s="932" t="s">
        <v>173</v>
      </c>
      <c r="B627" s="546" t="s">
        <v>89</v>
      </c>
      <c r="C627" s="546">
        <v>176</v>
      </c>
      <c r="D627" s="546" t="s">
        <v>15</v>
      </c>
      <c r="E627" s="546">
        <v>6100404</v>
      </c>
      <c r="F627" s="546">
        <v>243</v>
      </c>
      <c r="G627" s="81">
        <v>0</v>
      </c>
      <c r="H627" s="81"/>
      <c r="I627" s="81"/>
      <c r="J627" s="81"/>
      <c r="K627" s="81"/>
      <c r="L627" s="81"/>
      <c r="M627" s="81"/>
      <c r="N627" s="604"/>
      <c r="O627" s="944" t="s">
        <v>211</v>
      </c>
    </row>
    <row r="628" spans="1:61" ht="24" hidden="1" customHeight="1">
      <c r="A628" s="932"/>
      <c r="B628" s="546" t="s">
        <v>246</v>
      </c>
      <c r="C628" s="546"/>
      <c r="D628" s="546"/>
      <c r="E628" s="546"/>
      <c r="F628" s="546"/>
      <c r="G628" s="81"/>
      <c r="H628" s="81"/>
      <c r="I628" s="81"/>
      <c r="J628" s="81"/>
      <c r="K628" s="81"/>
      <c r="L628" s="81"/>
      <c r="M628" s="81"/>
      <c r="N628" s="604"/>
      <c r="O628" s="944"/>
    </row>
    <row r="629" spans="1:61" ht="24.6" hidden="1" customHeight="1">
      <c r="A629" s="932" t="s">
        <v>109</v>
      </c>
      <c r="B629" s="546" t="s">
        <v>89</v>
      </c>
      <c r="C629" s="546"/>
      <c r="D629" s="546"/>
      <c r="E629" s="546"/>
      <c r="F629" s="546"/>
      <c r="G629" s="81"/>
      <c r="H629" s="81"/>
      <c r="I629" s="81"/>
      <c r="J629" s="81"/>
      <c r="K629" s="81"/>
      <c r="L629" s="81"/>
      <c r="M629" s="81"/>
      <c r="N629" s="604"/>
      <c r="O629" s="944" t="s">
        <v>31</v>
      </c>
    </row>
    <row r="630" spans="1:61" s="44" customFormat="1" ht="24.6" hidden="1" customHeight="1">
      <c r="A630" s="932"/>
      <c r="B630" s="546" t="s">
        <v>235</v>
      </c>
      <c r="C630" s="546">
        <v>176</v>
      </c>
      <c r="D630" s="546" t="s">
        <v>15</v>
      </c>
      <c r="E630" s="546">
        <v>6100404</v>
      </c>
      <c r="F630" s="546">
        <v>243</v>
      </c>
      <c r="G630" s="81">
        <f t="shared" ref="G630:L630" si="228">G631+G632</f>
        <v>0</v>
      </c>
      <c r="H630" s="81"/>
      <c r="I630" s="81"/>
      <c r="J630" s="81"/>
      <c r="K630" s="81"/>
      <c r="L630" s="81">
        <f t="shared" si="228"/>
        <v>0</v>
      </c>
      <c r="M630" s="81"/>
      <c r="N630" s="604"/>
      <c r="O630" s="944"/>
      <c r="AJ630" s="91"/>
      <c r="AK630" s="91"/>
      <c r="AL630" s="91"/>
      <c r="AM630" s="91"/>
      <c r="AN630" s="91"/>
      <c r="AO630" s="91"/>
      <c r="AP630" s="91"/>
      <c r="AQ630" s="91"/>
      <c r="AR630" s="91"/>
      <c r="AS630" s="91"/>
      <c r="AT630" s="91"/>
      <c r="AU630" s="91"/>
      <c r="AV630" s="91"/>
      <c r="AW630" s="91"/>
      <c r="AX630" s="91"/>
      <c r="AY630" s="91"/>
      <c r="AZ630" s="91"/>
      <c r="BA630" s="91"/>
      <c r="BB630" s="91"/>
      <c r="BC630" s="91"/>
      <c r="BD630" s="91"/>
      <c r="BE630" s="91"/>
      <c r="BF630" s="91"/>
      <c r="BG630" s="91"/>
      <c r="BH630" s="91"/>
      <c r="BI630" s="91"/>
    </row>
    <row r="631" spans="1:61" s="44" customFormat="1" ht="24.6" hidden="1" customHeight="1">
      <c r="A631" s="932"/>
      <c r="B631" s="546" t="s">
        <v>247</v>
      </c>
      <c r="C631" s="546"/>
      <c r="D631" s="546"/>
      <c r="E631" s="546"/>
      <c r="F631" s="546"/>
      <c r="G631" s="81"/>
      <c r="H631" s="81"/>
      <c r="I631" s="81"/>
      <c r="J631" s="81"/>
      <c r="K631" s="81"/>
      <c r="L631" s="81"/>
      <c r="M631" s="81"/>
      <c r="N631" s="604"/>
      <c r="O631" s="604"/>
      <c r="AJ631" s="91"/>
      <c r="AK631" s="91"/>
      <c r="AL631" s="91"/>
      <c r="AM631" s="91"/>
      <c r="AN631" s="91"/>
      <c r="AO631" s="91"/>
      <c r="AP631" s="91"/>
      <c r="AQ631" s="91"/>
      <c r="AR631" s="91"/>
      <c r="AS631" s="91"/>
      <c r="AT631" s="91"/>
      <c r="AU631" s="91"/>
      <c r="AV631" s="91"/>
      <c r="AW631" s="91"/>
      <c r="AX631" s="91"/>
      <c r="AY631" s="91"/>
      <c r="AZ631" s="91"/>
      <c r="BA631" s="91"/>
      <c r="BB631" s="91"/>
      <c r="BC631" s="91"/>
      <c r="BD631" s="91"/>
      <c r="BE631" s="91"/>
      <c r="BF631" s="91"/>
      <c r="BG631" s="91"/>
      <c r="BH631" s="91"/>
      <c r="BI631" s="91"/>
    </row>
    <row r="632" spans="1:61" ht="24.6" hidden="1" customHeight="1">
      <c r="A632" s="932"/>
      <c r="B632" s="546" t="s">
        <v>248</v>
      </c>
      <c r="C632" s="546"/>
      <c r="D632" s="546"/>
      <c r="E632" s="546"/>
      <c r="F632" s="546"/>
      <c r="G632" s="81"/>
      <c r="H632" s="81"/>
      <c r="I632" s="81"/>
      <c r="J632" s="81"/>
      <c r="K632" s="81"/>
      <c r="L632" s="81"/>
      <c r="M632" s="81"/>
      <c r="N632" s="604"/>
      <c r="O632" s="604"/>
    </row>
    <row r="633" spans="1:61" ht="24.95" customHeight="1">
      <c r="A633" s="945" t="s">
        <v>133</v>
      </c>
      <c r="B633" s="57" t="s">
        <v>721</v>
      </c>
      <c r="C633" s="57"/>
      <c r="D633" s="57"/>
      <c r="E633" s="57"/>
      <c r="F633" s="57"/>
      <c r="G633" s="80">
        <f>G637+G641</f>
        <v>0</v>
      </c>
      <c r="H633" s="80">
        <f t="shared" ref="H633:J633" si="229">H637+H641</f>
        <v>0</v>
      </c>
      <c r="I633" s="80">
        <f t="shared" si="229"/>
        <v>0</v>
      </c>
      <c r="J633" s="80">
        <f t="shared" si="229"/>
        <v>0</v>
      </c>
      <c r="K633" s="80">
        <f>K637</f>
        <v>0</v>
      </c>
      <c r="L633" s="80">
        <f t="shared" ref="L633:M633" si="230">L637+L641</f>
        <v>1</v>
      </c>
      <c r="M633" s="80">
        <f t="shared" si="230"/>
        <v>0</v>
      </c>
      <c r="N633" s="604"/>
      <c r="O633" s="610"/>
    </row>
    <row r="634" spans="1:61" ht="24.95" customHeight="1">
      <c r="A634" s="945"/>
      <c r="B634" s="57" t="s">
        <v>439</v>
      </c>
      <c r="C634" s="57"/>
      <c r="D634" s="57"/>
      <c r="E634" s="57"/>
      <c r="F634" s="57"/>
      <c r="G634" s="80">
        <f>K634</f>
        <v>0</v>
      </c>
      <c r="H634" s="80"/>
      <c r="I634" s="80"/>
      <c r="J634" s="80"/>
      <c r="K634" s="80">
        <f>K635+K636</f>
        <v>0</v>
      </c>
      <c r="L634" s="80">
        <f>L635+L636</f>
        <v>39000</v>
      </c>
      <c r="M634" s="80"/>
      <c r="N634" s="604"/>
      <c r="O634" s="610"/>
    </row>
    <row r="635" spans="1:61" ht="24.95" customHeight="1">
      <c r="A635" s="945"/>
      <c r="B635" s="57" t="s">
        <v>247</v>
      </c>
      <c r="C635" s="57"/>
      <c r="D635" s="57"/>
      <c r="E635" s="57"/>
      <c r="F635" s="57"/>
      <c r="G635" s="80">
        <f>G639+G642</f>
        <v>0</v>
      </c>
      <c r="H635" s="80">
        <f t="shared" ref="H635:M635" si="231">H639+H642</f>
        <v>0</v>
      </c>
      <c r="I635" s="80">
        <f t="shared" si="231"/>
        <v>0</v>
      </c>
      <c r="J635" s="80">
        <f t="shared" si="231"/>
        <v>0</v>
      </c>
      <c r="K635" s="80">
        <f t="shared" si="231"/>
        <v>0</v>
      </c>
      <c r="L635" s="80">
        <f t="shared" si="231"/>
        <v>39000</v>
      </c>
      <c r="M635" s="80">
        <f t="shared" si="231"/>
        <v>28000</v>
      </c>
      <c r="N635" s="604"/>
      <c r="O635" s="610"/>
    </row>
    <row r="636" spans="1:61" ht="26.45" customHeight="1">
      <c r="A636" s="945"/>
      <c r="B636" s="57" t="s">
        <v>495</v>
      </c>
      <c r="C636" s="57"/>
      <c r="D636" s="57"/>
      <c r="E636" s="57"/>
      <c r="F636" s="57"/>
      <c r="G636" s="80">
        <f t="shared" ref="G636" si="232">K636</f>
        <v>0</v>
      </c>
      <c r="H636" s="80">
        <f t="shared" ref="H636:K636" si="233">H640+H642</f>
        <v>0</v>
      </c>
      <c r="I636" s="80">
        <f t="shared" si="233"/>
        <v>0</v>
      </c>
      <c r="J636" s="80">
        <f t="shared" si="233"/>
        <v>0</v>
      </c>
      <c r="K636" s="80">
        <f t="shared" si="233"/>
        <v>0</v>
      </c>
      <c r="L636" s="80">
        <f>L640</f>
        <v>0</v>
      </c>
      <c r="M636" s="80"/>
      <c r="N636" s="604"/>
      <c r="O636" s="610"/>
    </row>
    <row r="637" spans="1:61" ht="20.25" customHeight="1">
      <c r="A637" s="1020" t="s">
        <v>917</v>
      </c>
      <c r="B637" s="546" t="s">
        <v>721</v>
      </c>
      <c r="C637" s="546">
        <v>176</v>
      </c>
      <c r="D637" s="546" t="s">
        <v>15</v>
      </c>
      <c r="E637" s="546">
        <v>6100404</v>
      </c>
      <c r="F637" s="546">
        <v>243</v>
      </c>
      <c r="G637" s="81">
        <f>K637</f>
        <v>0</v>
      </c>
      <c r="H637" s="81"/>
      <c r="I637" s="81"/>
      <c r="J637" s="81"/>
      <c r="K637" s="81"/>
      <c r="L637" s="81">
        <v>1</v>
      </c>
      <c r="M637" s="81"/>
      <c r="N637" s="604"/>
      <c r="O637" s="944" t="s">
        <v>918</v>
      </c>
    </row>
    <row r="638" spans="1:61" ht="20.25" customHeight="1">
      <c r="A638" s="1021"/>
      <c r="B638" s="546" t="s">
        <v>439</v>
      </c>
      <c r="C638" s="546"/>
      <c r="D638" s="546"/>
      <c r="E638" s="546"/>
      <c r="F638" s="546"/>
      <c r="G638" s="81">
        <f>K638</f>
        <v>0</v>
      </c>
      <c r="H638" s="81"/>
      <c r="I638" s="81"/>
      <c r="J638" s="81"/>
      <c r="K638" s="81">
        <f>K639+K640</f>
        <v>0</v>
      </c>
      <c r="L638" s="81">
        <f>L639+L640</f>
        <v>39000</v>
      </c>
      <c r="M638" s="81"/>
      <c r="N638" s="604"/>
      <c r="O638" s="944"/>
    </row>
    <row r="639" spans="1:61" ht="20.25" customHeight="1">
      <c r="A639" s="1021"/>
      <c r="B639" s="546" t="s">
        <v>247</v>
      </c>
      <c r="C639" s="546"/>
      <c r="D639" s="546"/>
      <c r="E639" s="546"/>
      <c r="F639" s="546"/>
      <c r="G639" s="81">
        <f t="shared" ref="G639:G640" si="234">K639</f>
        <v>0</v>
      </c>
      <c r="H639" s="81"/>
      <c r="I639" s="81"/>
      <c r="J639" s="81"/>
      <c r="K639" s="81"/>
      <c r="L639" s="81">
        <f>24000+15000</f>
        <v>39000</v>
      </c>
      <c r="M639" s="81"/>
      <c r="N639" s="604"/>
      <c r="O639" s="944"/>
    </row>
    <row r="640" spans="1:61" s="44" customFormat="1" ht="21.75" customHeight="1">
      <c r="A640" s="1022"/>
      <c r="B640" s="546" t="s">
        <v>495</v>
      </c>
      <c r="C640" s="546"/>
      <c r="D640" s="546"/>
      <c r="E640" s="546"/>
      <c r="F640" s="546"/>
      <c r="G640" s="81">
        <f t="shared" si="234"/>
        <v>0</v>
      </c>
      <c r="H640" s="81"/>
      <c r="I640" s="81"/>
      <c r="J640" s="81"/>
      <c r="K640" s="81"/>
      <c r="L640" s="81">
        <f>15000-15000</f>
        <v>0</v>
      </c>
      <c r="M640" s="81"/>
      <c r="N640" s="604"/>
      <c r="O640" s="944"/>
      <c r="AJ640" s="91"/>
      <c r="AK640" s="91"/>
      <c r="AL640" s="91"/>
      <c r="AM640" s="91"/>
      <c r="AN640" s="91"/>
      <c r="AO640" s="91"/>
      <c r="AP640" s="91"/>
      <c r="AQ640" s="91"/>
      <c r="AR640" s="91"/>
      <c r="AS640" s="91"/>
      <c r="AT640" s="91"/>
      <c r="AU640" s="91"/>
      <c r="AV640" s="91"/>
      <c r="AW640" s="91"/>
      <c r="AX640" s="91"/>
      <c r="AY640" s="91"/>
      <c r="AZ640" s="91"/>
      <c r="BA640" s="91"/>
      <c r="BB640" s="91"/>
      <c r="BC640" s="91"/>
      <c r="BD640" s="91"/>
      <c r="BE640" s="91"/>
      <c r="BF640" s="91"/>
      <c r="BG640" s="91"/>
      <c r="BH640" s="91"/>
      <c r="BI640" s="91"/>
    </row>
    <row r="641" spans="1:61" s="44" customFormat="1" ht="22.9" customHeight="1">
      <c r="A641" s="926" t="s">
        <v>805</v>
      </c>
      <c r="B641" s="546" t="s">
        <v>89</v>
      </c>
      <c r="C641" s="546">
        <v>176</v>
      </c>
      <c r="D641" s="546" t="s">
        <v>15</v>
      </c>
      <c r="E641" s="546">
        <v>6100404</v>
      </c>
      <c r="F641" s="546">
        <v>243</v>
      </c>
      <c r="G641" s="81"/>
      <c r="H641" s="81"/>
      <c r="I641" s="81"/>
      <c r="J641" s="81"/>
      <c r="K641" s="81"/>
      <c r="L641" s="81"/>
      <c r="M641" s="81"/>
      <c r="N641" s="604"/>
      <c r="O641" s="944" t="s">
        <v>822</v>
      </c>
      <c r="AJ641" s="91"/>
      <c r="AK641" s="91"/>
      <c r="AL641" s="91"/>
      <c r="AM641" s="91"/>
      <c r="AN641" s="91"/>
      <c r="AO641" s="91"/>
      <c r="AP641" s="91"/>
      <c r="AQ641" s="91"/>
      <c r="AR641" s="91"/>
      <c r="AS641" s="91"/>
      <c r="AT641" s="91"/>
      <c r="AU641" s="91"/>
      <c r="AV641" s="91"/>
      <c r="AW641" s="91"/>
      <c r="AX641" s="91"/>
      <c r="AY641" s="91"/>
      <c r="AZ641" s="91"/>
      <c r="BA641" s="91"/>
      <c r="BB641" s="91"/>
      <c r="BC641" s="91"/>
      <c r="BD641" s="91"/>
      <c r="BE641" s="91"/>
      <c r="BF641" s="91"/>
      <c r="BG641" s="91"/>
      <c r="BH641" s="91"/>
      <c r="BI641" s="91"/>
    </row>
    <row r="642" spans="1:61" ht="24.6" customHeight="1">
      <c r="A642" s="928"/>
      <c r="B642" s="546" t="s">
        <v>246</v>
      </c>
      <c r="C642" s="546"/>
      <c r="D642" s="546"/>
      <c r="E642" s="546"/>
      <c r="F642" s="546"/>
      <c r="G642" s="81">
        <f>J642</f>
        <v>0</v>
      </c>
      <c r="H642" s="81"/>
      <c r="I642" s="81"/>
      <c r="J642" s="81"/>
      <c r="K642" s="81"/>
      <c r="L642" s="81"/>
      <c r="M642" s="81">
        <v>28000</v>
      </c>
      <c r="N642" s="604"/>
      <c r="O642" s="944"/>
    </row>
    <row r="643" spans="1:61" ht="24.6" customHeight="1">
      <c r="A643" s="945" t="s">
        <v>103</v>
      </c>
      <c r="B643" s="57" t="s">
        <v>721</v>
      </c>
      <c r="C643" s="57"/>
      <c r="D643" s="57"/>
      <c r="E643" s="57"/>
      <c r="F643" s="57"/>
      <c r="G643" s="80">
        <f>G647+G651+G656+G660</f>
        <v>1</v>
      </c>
      <c r="H643" s="80">
        <f t="shared" ref="H643:M643" si="235">H647+H651+H656+H660</f>
        <v>0</v>
      </c>
      <c r="I643" s="80">
        <f t="shared" si="235"/>
        <v>0</v>
      </c>
      <c r="J643" s="80">
        <f t="shared" si="235"/>
        <v>0</v>
      </c>
      <c r="K643" s="80">
        <f t="shared" si="235"/>
        <v>1</v>
      </c>
      <c r="L643" s="80">
        <f t="shared" si="235"/>
        <v>0</v>
      </c>
      <c r="M643" s="80">
        <f t="shared" si="235"/>
        <v>0</v>
      </c>
      <c r="N643" s="604"/>
      <c r="O643" s="610"/>
    </row>
    <row r="644" spans="1:61" ht="24.6" customHeight="1">
      <c r="A644" s="945"/>
      <c r="B644" s="57" t="s">
        <v>439</v>
      </c>
      <c r="C644" s="57"/>
      <c r="D644" s="57"/>
      <c r="E644" s="57"/>
      <c r="F644" s="57"/>
      <c r="G644" s="80">
        <f>G645+G646</f>
        <v>33956.400000000001</v>
      </c>
      <c r="H644" s="80">
        <f t="shared" ref="H644:L644" si="236">H645+H646</f>
        <v>0</v>
      </c>
      <c r="I644" s="80">
        <f t="shared" si="236"/>
        <v>0</v>
      </c>
      <c r="J644" s="80">
        <f t="shared" si="236"/>
        <v>0</v>
      </c>
      <c r="K644" s="80">
        <f t="shared" si="236"/>
        <v>33956.400000000001</v>
      </c>
      <c r="L644" s="80">
        <f t="shared" si="236"/>
        <v>0</v>
      </c>
      <c r="M644" s="80">
        <f t="shared" ref="M644" si="237">M645+M646</f>
        <v>0</v>
      </c>
      <c r="N644" s="604"/>
      <c r="O644" s="610"/>
    </row>
    <row r="645" spans="1:61" ht="24" customHeight="1">
      <c r="A645" s="945"/>
      <c r="B645" s="57" t="s">
        <v>247</v>
      </c>
      <c r="C645" s="57"/>
      <c r="D645" s="57"/>
      <c r="E645" s="57"/>
      <c r="F645" s="57"/>
      <c r="G645" s="80">
        <f>G648+G653+G658+G661</f>
        <v>23264</v>
      </c>
      <c r="H645" s="80">
        <f t="shared" ref="H645:M645" si="238">H648+H653+H658+H661</f>
        <v>0</v>
      </c>
      <c r="I645" s="80">
        <f t="shared" si="238"/>
        <v>0</v>
      </c>
      <c r="J645" s="80">
        <f t="shared" si="238"/>
        <v>0</v>
      </c>
      <c r="K645" s="80">
        <f t="shared" si="238"/>
        <v>23264</v>
      </c>
      <c r="L645" s="80">
        <f t="shared" si="238"/>
        <v>0</v>
      </c>
      <c r="M645" s="80">
        <f t="shared" si="238"/>
        <v>0</v>
      </c>
      <c r="N645" s="604"/>
      <c r="O645" s="610"/>
    </row>
    <row r="646" spans="1:61" ht="24.6" customHeight="1">
      <c r="A646" s="945"/>
      <c r="B646" s="57" t="s">
        <v>495</v>
      </c>
      <c r="C646" s="57"/>
      <c r="D646" s="57"/>
      <c r="E646" s="57"/>
      <c r="F646" s="57"/>
      <c r="G646" s="80">
        <f>K646</f>
        <v>10692.4</v>
      </c>
      <c r="H646" s="80">
        <f t="shared" ref="H646:J646" si="239">H655+H659</f>
        <v>0</v>
      </c>
      <c r="I646" s="80">
        <f t="shared" si="239"/>
        <v>0</v>
      </c>
      <c r="J646" s="80">
        <f t="shared" si="239"/>
        <v>0</v>
      </c>
      <c r="K646" s="80">
        <f>K654+K659</f>
        <v>10692.4</v>
      </c>
      <c r="L646" s="80">
        <f>L654</f>
        <v>0</v>
      </c>
      <c r="M646" s="80">
        <f>M654</f>
        <v>0</v>
      </c>
      <c r="N646" s="604"/>
      <c r="O646" s="610"/>
    </row>
    <row r="647" spans="1:61" ht="24.6" hidden="1" customHeight="1">
      <c r="A647" s="926" t="s">
        <v>759</v>
      </c>
      <c r="B647" s="546" t="s">
        <v>89</v>
      </c>
      <c r="C647" s="546">
        <v>176</v>
      </c>
      <c r="D647" s="546" t="s">
        <v>15</v>
      </c>
      <c r="E647" s="546">
        <v>6100404</v>
      </c>
      <c r="F647" s="546">
        <v>243</v>
      </c>
      <c r="G647" s="81">
        <f>K647</f>
        <v>0</v>
      </c>
      <c r="H647" s="81"/>
      <c r="I647" s="81"/>
      <c r="J647" s="81"/>
      <c r="K647" s="81"/>
      <c r="L647" s="81"/>
      <c r="M647" s="81"/>
      <c r="N647" s="604"/>
      <c r="O647" s="933" t="s">
        <v>768</v>
      </c>
    </row>
    <row r="648" spans="1:61" ht="24.6" hidden="1" customHeight="1">
      <c r="A648" s="928"/>
      <c r="B648" s="546" t="s">
        <v>246</v>
      </c>
      <c r="C648" s="546"/>
      <c r="D648" s="546"/>
      <c r="E648" s="546"/>
      <c r="F648" s="546"/>
      <c r="G648" s="81">
        <f>K648</f>
        <v>0</v>
      </c>
      <c r="H648" s="81"/>
      <c r="I648" s="81"/>
      <c r="J648" s="81"/>
      <c r="K648" s="81"/>
      <c r="L648" s="81">
        <f>14004-14004</f>
        <v>0</v>
      </c>
      <c r="M648" s="81"/>
      <c r="N648" s="604"/>
      <c r="O648" s="934"/>
    </row>
    <row r="649" spans="1:61" ht="15" hidden="1" customHeight="1">
      <c r="A649" s="932" t="s">
        <v>172</v>
      </c>
      <c r="B649" s="546" t="s">
        <v>89</v>
      </c>
      <c r="C649" s="546">
        <v>176</v>
      </c>
      <c r="D649" s="546" t="s">
        <v>15</v>
      </c>
      <c r="E649" s="546">
        <v>6100404</v>
      </c>
      <c r="F649" s="546">
        <v>243</v>
      </c>
      <c r="G649" s="81">
        <v>0</v>
      </c>
      <c r="H649" s="81"/>
      <c r="I649" s="81"/>
      <c r="J649" s="81"/>
      <c r="K649" s="81"/>
      <c r="L649" s="81"/>
      <c r="M649" s="81"/>
      <c r="N649" s="604"/>
      <c r="O649" s="944" t="s">
        <v>209</v>
      </c>
    </row>
    <row r="650" spans="1:61" ht="20.45" hidden="1" customHeight="1">
      <c r="A650" s="932"/>
      <c r="B650" s="546" t="s">
        <v>246</v>
      </c>
      <c r="C650" s="546"/>
      <c r="D650" s="546"/>
      <c r="E650" s="546"/>
      <c r="F650" s="546"/>
      <c r="G650" s="81"/>
      <c r="H650" s="81"/>
      <c r="I650" s="81"/>
      <c r="J650" s="81"/>
      <c r="K650" s="81"/>
      <c r="L650" s="81"/>
      <c r="M650" s="81"/>
      <c r="N650" s="604"/>
      <c r="O650" s="944"/>
    </row>
    <row r="651" spans="1:61" ht="22.9" hidden="1" customHeight="1">
      <c r="A651" s="926" t="s">
        <v>171</v>
      </c>
      <c r="B651" s="546" t="s">
        <v>721</v>
      </c>
      <c r="C651" s="546">
        <v>176</v>
      </c>
      <c r="D651" s="546" t="s">
        <v>15</v>
      </c>
      <c r="E651" s="546">
        <v>6100404</v>
      </c>
      <c r="F651" s="546">
        <v>243</v>
      </c>
      <c r="G651" s="81"/>
      <c r="H651" s="81"/>
      <c r="I651" s="81"/>
      <c r="J651" s="81"/>
      <c r="K651" s="81"/>
      <c r="L651" s="81"/>
      <c r="M651" s="81"/>
      <c r="N651" s="604"/>
      <c r="O651" s="944" t="s">
        <v>958</v>
      </c>
    </row>
    <row r="652" spans="1:61" ht="22.9" hidden="1" customHeight="1">
      <c r="A652" s="927"/>
      <c r="B652" s="546" t="s">
        <v>439</v>
      </c>
      <c r="C652" s="546"/>
      <c r="D652" s="546"/>
      <c r="E652" s="546"/>
      <c r="F652" s="546"/>
      <c r="G652" s="81">
        <f>K652</f>
        <v>0</v>
      </c>
      <c r="H652" s="81">
        <f t="shared" ref="H652:J652" si="240">H653</f>
        <v>0</v>
      </c>
      <c r="I652" s="81">
        <f t="shared" si="240"/>
        <v>0</v>
      </c>
      <c r="J652" s="81">
        <f t="shared" si="240"/>
        <v>0</v>
      </c>
      <c r="K652" s="81">
        <f>K653+K654</f>
        <v>0</v>
      </c>
      <c r="L652" s="81">
        <f>L653+L654</f>
        <v>0</v>
      </c>
      <c r="M652" s="81">
        <f>M653+M654</f>
        <v>0</v>
      </c>
      <c r="N652" s="604"/>
      <c r="O652" s="944"/>
    </row>
    <row r="653" spans="1:61" ht="22.9" hidden="1" customHeight="1">
      <c r="A653" s="927"/>
      <c r="B653" s="546" t="s">
        <v>247</v>
      </c>
      <c r="C653" s="546"/>
      <c r="D653" s="546"/>
      <c r="E653" s="546"/>
      <c r="F653" s="546"/>
      <c r="G653" s="81">
        <f>K653</f>
        <v>0</v>
      </c>
      <c r="H653" s="81"/>
      <c r="I653" s="81"/>
      <c r="J653" s="81"/>
      <c r="K653" s="81">
        <v>0</v>
      </c>
      <c r="L653" s="81">
        <v>0</v>
      </c>
      <c r="M653" s="81"/>
      <c r="N653" s="604"/>
      <c r="O653" s="944"/>
    </row>
    <row r="654" spans="1:61" ht="32.25" hidden="1" customHeight="1">
      <c r="A654" s="927"/>
      <c r="B654" s="546" t="s">
        <v>495</v>
      </c>
      <c r="C654" s="546"/>
      <c r="D654" s="546"/>
      <c r="E654" s="546"/>
      <c r="F654" s="546"/>
      <c r="G654" s="81">
        <f>J654+K654</f>
        <v>0</v>
      </c>
      <c r="H654" s="81"/>
      <c r="I654" s="81"/>
      <c r="J654" s="81"/>
      <c r="K654" s="81">
        <v>0</v>
      </c>
      <c r="L654" s="81">
        <v>0</v>
      </c>
      <c r="M654" s="81"/>
      <c r="N654" s="604"/>
      <c r="O654" s="944"/>
    </row>
    <row r="655" spans="1:61" ht="29.45" hidden="1" customHeight="1">
      <c r="A655" s="928"/>
      <c r="B655" s="546" t="s">
        <v>765</v>
      </c>
      <c r="C655" s="546"/>
      <c r="D655" s="546"/>
      <c r="E655" s="546"/>
      <c r="F655" s="546"/>
      <c r="G655" s="81">
        <f>J655</f>
        <v>0</v>
      </c>
      <c r="H655" s="81"/>
      <c r="I655" s="81"/>
      <c r="J655" s="81"/>
      <c r="K655" s="81"/>
      <c r="L655" s="81"/>
      <c r="M655" s="81"/>
      <c r="N655" s="604"/>
      <c r="O655" s="944"/>
    </row>
    <row r="656" spans="1:61" ht="23.45" customHeight="1">
      <c r="A656" s="926" t="s">
        <v>182</v>
      </c>
      <c r="B656" s="792" t="s">
        <v>721</v>
      </c>
      <c r="C656" s="546">
        <v>176</v>
      </c>
      <c r="D656" s="546" t="s">
        <v>15</v>
      </c>
      <c r="E656" s="546">
        <v>6100404</v>
      </c>
      <c r="F656" s="546">
        <v>243</v>
      </c>
      <c r="G656" s="81">
        <f>K656</f>
        <v>1</v>
      </c>
      <c r="H656" s="81"/>
      <c r="I656" s="81"/>
      <c r="J656" s="81"/>
      <c r="K656" s="81">
        <v>1</v>
      </c>
      <c r="L656" s="81"/>
      <c r="M656" s="81"/>
      <c r="N656" s="604"/>
      <c r="O656" s="944" t="s">
        <v>848</v>
      </c>
    </row>
    <row r="657" spans="1:61" ht="23.45" customHeight="1">
      <c r="A657" s="927"/>
      <c r="B657" s="546" t="s">
        <v>439</v>
      </c>
      <c r="C657" s="546"/>
      <c r="D657" s="546"/>
      <c r="E657" s="546"/>
      <c r="F657" s="546"/>
      <c r="G657" s="81">
        <f t="shared" ref="G657:G659" si="241">K657</f>
        <v>33956.400000000001</v>
      </c>
      <c r="H657" s="81"/>
      <c r="I657" s="81"/>
      <c r="J657" s="81">
        <f>J658+J659</f>
        <v>0</v>
      </c>
      <c r="K657" s="81">
        <f>K658+K659</f>
        <v>33956.400000000001</v>
      </c>
      <c r="L657" s="81"/>
      <c r="M657" s="81"/>
      <c r="N657" s="604"/>
      <c r="O657" s="944"/>
    </row>
    <row r="658" spans="1:61" ht="21" customHeight="1">
      <c r="A658" s="927"/>
      <c r="B658" s="546" t="s">
        <v>327</v>
      </c>
      <c r="C658" s="546"/>
      <c r="D658" s="546"/>
      <c r="E658" s="546"/>
      <c r="F658" s="546"/>
      <c r="G658" s="81">
        <f t="shared" si="241"/>
        <v>23264</v>
      </c>
      <c r="H658" s="81"/>
      <c r="I658" s="81"/>
      <c r="J658" s="81"/>
      <c r="K658" s="81">
        <v>23264</v>
      </c>
      <c r="L658" s="81"/>
      <c r="N658" s="604"/>
      <c r="O658" s="944"/>
    </row>
    <row r="659" spans="1:61" s="44" customFormat="1" ht="22.9" customHeight="1">
      <c r="A659" s="928"/>
      <c r="B659" s="546" t="s">
        <v>765</v>
      </c>
      <c r="C659" s="546"/>
      <c r="D659" s="546"/>
      <c r="E659" s="546"/>
      <c r="F659" s="546"/>
      <c r="G659" s="81">
        <f t="shared" si="241"/>
        <v>10692.4</v>
      </c>
      <c r="H659" s="81"/>
      <c r="I659" s="81"/>
      <c r="J659" s="81"/>
      <c r="K659" s="81">
        <v>10692.4</v>
      </c>
      <c r="L659" s="81"/>
      <c r="M659" s="81"/>
      <c r="N659" s="604"/>
      <c r="O659" s="944"/>
      <c r="AJ659" s="91"/>
      <c r="AK659" s="91"/>
      <c r="AL659" s="91"/>
      <c r="AM659" s="91"/>
      <c r="AN659" s="91"/>
      <c r="AO659" s="91"/>
      <c r="AP659" s="91"/>
      <c r="AQ659" s="91"/>
      <c r="AR659" s="91"/>
      <c r="AS659" s="91"/>
      <c r="AT659" s="91"/>
      <c r="AU659" s="91"/>
      <c r="AV659" s="91"/>
      <c r="AW659" s="91"/>
      <c r="AX659" s="91"/>
      <c r="AY659" s="91"/>
      <c r="AZ659" s="91"/>
      <c r="BA659" s="91"/>
      <c r="BB659" s="91"/>
      <c r="BC659" s="91"/>
      <c r="BD659" s="91"/>
      <c r="BE659" s="91"/>
      <c r="BF659" s="91"/>
      <c r="BG659" s="91"/>
      <c r="BH659" s="91"/>
      <c r="BI659" s="91"/>
    </row>
    <row r="660" spans="1:61" s="44" customFormat="1" ht="21" hidden="1" customHeight="1">
      <c r="A660" s="932" t="s">
        <v>109</v>
      </c>
      <c r="B660" s="546" t="s">
        <v>721</v>
      </c>
      <c r="C660" s="546">
        <v>176</v>
      </c>
      <c r="D660" s="546" t="s">
        <v>15</v>
      </c>
      <c r="E660" s="546">
        <v>6100404</v>
      </c>
      <c r="F660" s="546">
        <v>243</v>
      </c>
      <c r="G660" s="81"/>
      <c r="H660" s="81"/>
      <c r="I660" s="81"/>
      <c r="J660" s="81"/>
      <c r="K660" s="81"/>
      <c r="L660" s="81"/>
      <c r="M660" s="81"/>
      <c r="N660" s="604"/>
      <c r="O660" s="944" t="s">
        <v>730</v>
      </c>
      <c r="AJ660" s="91"/>
      <c r="AK660" s="91"/>
      <c r="AL660" s="91"/>
      <c r="AM660" s="91"/>
      <c r="AN660" s="91"/>
      <c r="AO660" s="91"/>
      <c r="AP660" s="91"/>
      <c r="AQ660" s="91"/>
      <c r="AR660" s="91"/>
      <c r="AS660" s="91"/>
      <c r="AT660" s="91"/>
      <c r="AU660" s="91"/>
      <c r="AV660" s="91"/>
      <c r="AW660" s="91"/>
      <c r="AX660" s="91"/>
      <c r="AY660" s="91"/>
      <c r="AZ660" s="91"/>
      <c r="BA660" s="91"/>
      <c r="BB660" s="91"/>
      <c r="BC660" s="91"/>
      <c r="BD660" s="91"/>
      <c r="BE660" s="91"/>
      <c r="BF660" s="91"/>
      <c r="BG660" s="91"/>
      <c r="BH660" s="91"/>
      <c r="BI660" s="91"/>
    </row>
    <row r="661" spans="1:61" ht="24.6" hidden="1" customHeight="1">
      <c r="A661" s="932"/>
      <c r="B661" s="546" t="s">
        <v>246</v>
      </c>
      <c r="C661" s="546"/>
      <c r="D661" s="546"/>
      <c r="E661" s="546"/>
      <c r="F661" s="546"/>
      <c r="G661" s="81">
        <f>K661</f>
        <v>0</v>
      </c>
      <c r="H661" s="81"/>
      <c r="I661" s="81"/>
      <c r="J661" s="81"/>
      <c r="K661" s="81"/>
      <c r="L661" s="81"/>
      <c r="M661" s="81"/>
      <c r="N661" s="604"/>
      <c r="O661" s="944"/>
    </row>
    <row r="662" spans="1:61" ht="24.6" hidden="1" customHeight="1">
      <c r="A662" s="945" t="s">
        <v>104</v>
      </c>
      <c r="B662" s="57" t="s">
        <v>89</v>
      </c>
      <c r="C662" s="57"/>
      <c r="D662" s="57"/>
      <c r="E662" s="57"/>
      <c r="F662" s="57"/>
      <c r="G662" s="80">
        <f t="shared" ref="G662:M663" si="242">G664+G666</f>
        <v>0</v>
      </c>
      <c r="H662" s="80"/>
      <c r="I662" s="80"/>
      <c r="J662" s="80"/>
      <c r="K662" s="80"/>
      <c r="L662" s="80">
        <f t="shared" si="242"/>
        <v>0</v>
      </c>
      <c r="M662" s="80">
        <f t="shared" si="242"/>
        <v>0</v>
      </c>
      <c r="N662" s="604"/>
      <c r="O662" s="610"/>
    </row>
    <row r="663" spans="1:61" ht="24.95" hidden="1" customHeight="1">
      <c r="A663" s="945"/>
      <c r="B663" s="57" t="s">
        <v>246</v>
      </c>
      <c r="C663" s="57"/>
      <c r="D663" s="57"/>
      <c r="E663" s="57"/>
      <c r="F663" s="57"/>
      <c r="G663" s="80">
        <f t="shared" si="242"/>
        <v>0</v>
      </c>
      <c r="H663" s="80">
        <f t="shared" si="242"/>
        <v>0</v>
      </c>
      <c r="I663" s="80">
        <f t="shared" si="242"/>
        <v>0</v>
      </c>
      <c r="J663" s="80">
        <f t="shared" si="242"/>
        <v>0</v>
      </c>
      <c r="K663" s="80">
        <f t="shared" si="242"/>
        <v>0</v>
      </c>
      <c r="L663" s="80">
        <f t="shared" si="242"/>
        <v>0</v>
      </c>
      <c r="M663" s="80">
        <f t="shared" si="242"/>
        <v>0</v>
      </c>
      <c r="N663" s="604"/>
      <c r="O663" s="610"/>
    </row>
    <row r="664" spans="1:61" ht="0.6" hidden="1" customHeight="1">
      <c r="A664" s="932" t="s">
        <v>134</v>
      </c>
      <c r="B664" s="546" t="s">
        <v>89</v>
      </c>
      <c r="C664" s="546">
        <v>176</v>
      </c>
      <c r="D664" s="546" t="s">
        <v>15</v>
      </c>
      <c r="E664" s="546">
        <v>6100404</v>
      </c>
      <c r="F664" s="546">
        <v>243</v>
      </c>
      <c r="G664" s="81">
        <v>0</v>
      </c>
      <c r="H664" s="81"/>
      <c r="I664" s="81"/>
      <c r="J664" s="81"/>
      <c r="K664" s="81"/>
      <c r="L664" s="81"/>
      <c r="M664" s="81"/>
      <c r="N664" s="604"/>
      <c r="O664" s="944" t="s">
        <v>257</v>
      </c>
    </row>
    <row r="665" spans="1:61" s="44" customFormat="1" ht="24.6" hidden="1" customHeight="1">
      <c r="A665" s="932"/>
      <c r="B665" s="546" t="s">
        <v>246</v>
      </c>
      <c r="C665" s="546"/>
      <c r="D665" s="546"/>
      <c r="E665" s="546"/>
      <c r="F665" s="546"/>
      <c r="G665" s="81"/>
      <c r="H665" s="81"/>
      <c r="I665" s="81"/>
      <c r="J665" s="81"/>
      <c r="K665" s="81"/>
      <c r="L665" s="81"/>
      <c r="M665" s="81"/>
      <c r="N665" s="604"/>
      <c r="O665" s="944"/>
      <c r="AJ665" s="91"/>
      <c r="AK665" s="91"/>
      <c r="AL665" s="91"/>
      <c r="AM665" s="91"/>
      <c r="AN665" s="91"/>
      <c r="AO665" s="91"/>
      <c r="AP665" s="91"/>
      <c r="AQ665" s="91"/>
      <c r="AR665" s="91"/>
      <c r="AS665" s="91"/>
      <c r="AT665" s="91"/>
      <c r="AU665" s="91"/>
      <c r="AV665" s="91"/>
      <c r="AW665" s="91"/>
      <c r="AX665" s="91"/>
      <c r="AY665" s="91"/>
      <c r="AZ665" s="91"/>
      <c r="BA665" s="91"/>
      <c r="BB665" s="91"/>
      <c r="BC665" s="91"/>
      <c r="BD665" s="91"/>
      <c r="BE665" s="91"/>
      <c r="BF665" s="91"/>
      <c r="BG665" s="91"/>
      <c r="BH665" s="91"/>
      <c r="BI665" s="91"/>
    </row>
    <row r="666" spans="1:61" s="44" customFormat="1" ht="23.45" hidden="1" customHeight="1">
      <c r="A666" s="932" t="s">
        <v>109</v>
      </c>
      <c r="B666" s="546" t="s">
        <v>89</v>
      </c>
      <c r="C666" s="546">
        <v>176</v>
      </c>
      <c r="D666" s="546" t="s">
        <v>15</v>
      </c>
      <c r="E666" s="546">
        <v>6100404</v>
      </c>
      <c r="F666" s="546">
        <v>243</v>
      </c>
      <c r="G666" s="81"/>
      <c r="H666" s="81"/>
      <c r="I666" s="81"/>
      <c r="J666" s="81"/>
      <c r="K666" s="81"/>
      <c r="L666" s="81"/>
      <c r="M666" s="81"/>
      <c r="N666" s="604"/>
      <c r="O666" s="944" t="s">
        <v>291</v>
      </c>
      <c r="AJ666" s="91"/>
      <c r="AK666" s="91"/>
      <c r="AL666" s="91"/>
      <c r="AM666" s="91"/>
      <c r="AN666" s="91"/>
      <c r="AO666" s="91"/>
      <c r="AP666" s="91"/>
      <c r="AQ666" s="91"/>
      <c r="AR666" s="91"/>
      <c r="AS666" s="91"/>
      <c r="AT666" s="91"/>
      <c r="AU666" s="91"/>
      <c r="AV666" s="91"/>
      <c r="AW666" s="91"/>
      <c r="AX666" s="91"/>
      <c r="AY666" s="91"/>
      <c r="AZ666" s="91"/>
      <c r="BA666" s="91"/>
      <c r="BB666" s="91"/>
      <c r="BC666" s="91"/>
      <c r="BD666" s="91"/>
      <c r="BE666" s="91"/>
      <c r="BF666" s="91"/>
      <c r="BG666" s="91"/>
      <c r="BH666" s="91"/>
      <c r="BI666" s="91"/>
    </row>
    <row r="667" spans="1:61" ht="24.6" hidden="1" customHeight="1">
      <c r="A667" s="932"/>
      <c r="B667" s="546" t="s">
        <v>246</v>
      </c>
      <c r="C667" s="546"/>
      <c r="D667" s="546"/>
      <c r="E667" s="546"/>
      <c r="F667" s="546"/>
      <c r="G667" s="81">
        <f>J667</f>
        <v>0</v>
      </c>
      <c r="H667" s="81"/>
      <c r="I667" s="81"/>
      <c r="J667" s="81"/>
      <c r="K667" s="81"/>
      <c r="L667" s="81"/>
      <c r="M667" s="81"/>
      <c r="N667" s="604"/>
      <c r="O667" s="944"/>
    </row>
    <row r="668" spans="1:61" ht="24.6" hidden="1" customHeight="1">
      <c r="A668" s="945" t="s">
        <v>136</v>
      </c>
      <c r="B668" s="57" t="s">
        <v>89</v>
      </c>
      <c r="C668" s="57"/>
      <c r="D668" s="57"/>
      <c r="E668" s="57"/>
      <c r="F668" s="57"/>
      <c r="G668" s="80">
        <f>G674+G678+G680</f>
        <v>0</v>
      </c>
      <c r="H668" s="80"/>
      <c r="I668" s="80"/>
      <c r="J668" s="80"/>
      <c r="K668" s="80"/>
      <c r="L668" s="80">
        <f t="shared" ref="L668:M668" si="243">L674+L678+L680</f>
        <v>0</v>
      </c>
      <c r="M668" s="80">
        <f t="shared" si="243"/>
        <v>0</v>
      </c>
      <c r="N668" s="604"/>
      <c r="O668" s="610"/>
    </row>
    <row r="669" spans="1:61" ht="24.6" hidden="1" customHeight="1">
      <c r="A669" s="945"/>
      <c r="B669" s="57" t="s">
        <v>246</v>
      </c>
      <c r="C669" s="57"/>
      <c r="D669" s="57"/>
      <c r="E669" s="57"/>
      <c r="F669" s="57"/>
      <c r="G669" s="80">
        <f>G675+G679+G681</f>
        <v>0</v>
      </c>
      <c r="H669" s="80">
        <f t="shared" ref="H669:K669" si="244">H675+H679+H681</f>
        <v>0</v>
      </c>
      <c r="I669" s="80">
        <f t="shared" si="244"/>
        <v>0</v>
      </c>
      <c r="J669" s="80">
        <f t="shared" si="244"/>
        <v>0</v>
      </c>
      <c r="K669" s="80">
        <f t="shared" si="244"/>
        <v>0</v>
      </c>
      <c r="L669" s="80">
        <f t="shared" ref="L669:M669" si="245">L675+L679+L681</f>
        <v>0</v>
      </c>
      <c r="M669" s="80">
        <f t="shared" si="245"/>
        <v>0</v>
      </c>
      <c r="N669" s="604"/>
      <c r="O669" s="610"/>
    </row>
    <row r="670" spans="1:61" ht="0.6" hidden="1" customHeight="1">
      <c r="A670" s="932" t="s">
        <v>135</v>
      </c>
      <c r="B670" s="546" t="s">
        <v>89</v>
      </c>
      <c r="C670" s="546">
        <v>176</v>
      </c>
      <c r="D670" s="546" t="s">
        <v>15</v>
      </c>
      <c r="E670" s="546">
        <v>6100404</v>
      </c>
      <c r="F670" s="546">
        <v>243</v>
      </c>
      <c r="G670" s="81">
        <v>0</v>
      </c>
      <c r="H670" s="81"/>
      <c r="I670" s="81"/>
      <c r="J670" s="81"/>
      <c r="K670" s="81"/>
      <c r="L670" s="81"/>
      <c r="M670" s="81"/>
      <c r="N670" s="604"/>
      <c r="O670" s="944" t="s">
        <v>211</v>
      </c>
    </row>
    <row r="671" spans="1:61" ht="22.9" hidden="1" customHeight="1">
      <c r="A671" s="932"/>
      <c r="B671" s="546" t="s">
        <v>246</v>
      </c>
      <c r="C671" s="546"/>
      <c r="D671" s="546"/>
      <c r="E671" s="546"/>
      <c r="F671" s="546"/>
      <c r="G671" s="81"/>
      <c r="H671" s="81"/>
      <c r="I671" s="81"/>
      <c r="J671" s="81"/>
      <c r="K671" s="81"/>
      <c r="L671" s="81"/>
      <c r="M671" s="81"/>
      <c r="N671" s="604"/>
      <c r="O671" s="944"/>
    </row>
    <row r="672" spans="1:61" ht="24.6" hidden="1" customHeight="1">
      <c r="A672" s="545" t="s">
        <v>170</v>
      </c>
      <c r="B672" s="546" t="s">
        <v>89</v>
      </c>
      <c r="C672" s="546">
        <v>176</v>
      </c>
      <c r="D672" s="546" t="s">
        <v>15</v>
      </c>
      <c r="E672" s="546">
        <v>6100404</v>
      </c>
      <c r="F672" s="546">
        <v>243</v>
      </c>
      <c r="G672" s="81">
        <v>0</v>
      </c>
      <c r="H672" s="81"/>
      <c r="I672" s="81"/>
      <c r="J672" s="81"/>
      <c r="K672" s="81"/>
      <c r="L672" s="81"/>
      <c r="M672" s="81"/>
      <c r="N672" s="604"/>
      <c r="O672" s="604" t="s">
        <v>39</v>
      </c>
    </row>
    <row r="673" spans="1:61" ht="0.6" hidden="1" customHeight="1">
      <c r="A673" s="545"/>
      <c r="B673" s="546" t="s">
        <v>246</v>
      </c>
      <c r="C673" s="546"/>
      <c r="D673" s="546"/>
      <c r="E673" s="546"/>
      <c r="F673" s="546"/>
      <c r="G673" s="81"/>
      <c r="H673" s="81"/>
      <c r="I673" s="81"/>
      <c r="J673" s="81"/>
      <c r="K673" s="81"/>
      <c r="L673" s="81"/>
      <c r="M673" s="81"/>
      <c r="N673" s="604"/>
      <c r="O673" s="604"/>
    </row>
    <row r="674" spans="1:61" ht="24.6" hidden="1" customHeight="1">
      <c r="A674" s="932" t="s">
        <v>156</v>
      </c>
      <c r="B674" s="546" t="s">
        <v>89</v>
      </c>
      <c r="C674" s="546">
        <v>176</v>
      </c>
      <c r="D674" s="546" t="s">
        <v>15</v>
      </c>
      <c r="E674" s="546">
        <v>6100404</v>
      </c>
      <c r="F674" s="546">
        <v>243</v>
      </c>
      <c r="G674" s="81">
        <v>0</v>
      </c>
      <c r="H674" s="81"/>
      <c r="I674" s="81"/>
      <c r="J674" s="81"/>
      <c r="K674" s="81"/>
      <c r="L674" s="81"/>
      <c r="M674" s="81"/>
      <c r="N674" s="604"/>
      <c r="O674" s="944" t="s">
        <v>313</v>
      </c>
    </row>
    <row r="675" spans="1:61" ht="23.45" hidden="1" customHeight="1">
      <c r="A675" s="932"/>
      <c r="B675" s="546" t="s">
        <v>246</v>
      </c>
      <c r="C675" s="546"/>
      <c r="D675" s="546"/>
      <c r="E675" s="546"/>
      <c r="F675" s="546"/>
      <c r="G675" s="81"/>
      <c r="H675" s="81"/>
      <c r="I675" s="81"/>
      <c r="J675" s="81"/>
      <c r="K675" s="81"/>
      <c r="L675" s="81"/>
      <c r="M675" s="81"/>
      <c r="N675" s="604"/>
      <c r="O675" s="944"/>
    </row>
    <row r="676" spans="1:61" ht="24.6" hidden="1" customHeight="1">
      <c r="A676" s="547" t="s">
        <v>163</v>
      </c>
      <c r="B676" s="546" t="s">
        <v>89</v>
      </c>
      <c r="C676" s="546">
        <v>176</v>
      </c>
      <c r="D676" s="546" t="s">
        <v>15</v>
      </c>
      <c r="E676" s="546">
        <v>6100404</v>
      </c>
      <c r="F676" s="546">
        <v>243</v>
      </c>
      <c r="G676" s="81">
        <v>0</v>
      </c>
      <c r="H676" s="81"/>
      <c r="I676" s="81"/>
      <c r="J676" s="81"/>
      <c r="K676" s="81"/>
      <c r="L676" s="81"/>
      <c r="M676" s="81"/>
      <c r="N676" s="604"/>
      <c r="O676" s="604"/>
    </row>
    <row r="677" spans="1:61" s="44" customFormat="1" ht="24.6" hidden="1" customHeight="1">
      <c r="A677" s="547"/>
      <c r="B677" s="546" t="s">
        <v>246</v>
      </c>
      <c r="C677" s="546"/>
      <c r="D677" s="546"/>
      <c r="E677" s="546"/>
      <c r="F677" s="546"/>
      <c r="G677" s="81"/>
      <c r="H677" s="81"/>
      <c r="I677" s="81"/>
      <c r="J677" s="81"/>
      <c r="K677" s="81"/>
      <c r="L677" s="81"/>
      <c r="M677" s="81"/>
      <c r="N677" s="604"/>
      <c r="O677" s="604"/>
      <c r="AJ677" s="91"/>
      <c r="AK677" s="91"/>
      <c r="AL677" s="91"/>
      <c r="AM677" s="91"/>
      <c r="AN677" s="91"/>
      <c r="AO677" s="91"/>
      <c r="AP677" s="91"/>
      <c r="AQ677" s="91"/>
      <c r="AR677" s="91"/>
      <c r="AS677" s="91"/>
      <c r="AT677" s="91"/>
      <c r="AU677" s="91"/>
      <c r="AV677" s="91"/>
      <c r="AW677" s="91"/>
      <c r="AX677" s="91"/>
      <c r="AY677" s="91"/>
      <c r="AZ677" s="91"/>
      <c r="BA677" s="91"/>
      <c r="BB677" s="91"/>
      <c r="BC677" s="91"/>
      <c r="BD677" s="91"/>
      <c r="BE677" s="91"/>
      <c r="BF677" s="91"/>
      <c r="BG677" s="91"/>
      <c r="BH677" s="91"/>
      <c r="BI677" s="91"/>
    </row>
    <row r="678" spans="1:61" s="44" customFormat="1" ht="24.6" hidden="1" customHeight="1">
      <c r="A678" s="926" t="s">
        <v>312</v>
      </c>
      <c r="B678" s="546" t="s">
        <v>89</v>
      </c>
      <c r="C678" s="546"/>
      <c r="D678" s="546"/>
      <c r="E678" s="546"/>
      <c r="F678" s="546"/>
      <c r="G678" s="81"/>
      <c r="H678" s="81"/>
      <c r="I678" s="81"/>
      <c r="J678" s="81"/>
      <c r="K678" s="81"/>
      <c r="L678" s="81"/>
      <c r="M678" s="81"/>
      <c r="N678" s="604"/>
      <c r="O678" s="944" t="s">
        <v>449</v>
      </c>
      <c r="AJ678" s="91"/>
      <c r="AK678" s="91"/>
      <c r="AL678" s="91"/>
      <c r="AM678" s="91"/>
      <c r="AN678" s="91"/>
      <c r="AO678" s="91"/>
      <c r="AP678" s="91"/>
      <c r="AQ678" s="91"/>
      <c r="AR678" s="91"/>
      <c r="AS678" s="91"/>
      <c r="AT678" s="91"/>
      <c r="AU678" s="91"/>
      <c r="AV678" s="91"/>
      <c r="AW678" s="91"/>
      <c r="AX678" s="91"/>
      <c r="AY678" s="91"/>
      <c r="AZ678" s="91"/>
      <c r="BA678" s="91"/>
      <c r="BB678" s="91"/>
      <c r="BC678" s="91"/>
      <c r="BD678" s="91"/>
      <c r="BE678" s="91"/>
      <c r="BF678" s="91"/>
      <c r="BG678" s="91"/>
      <c r="BH678" s="91"/>
      <c r="BI678" s="91"/>
    </row>
    <row r="679" spans="1:61" s="44" customFormat="1" ht="24.6" hidden="1" customHeight="1">
      <c r="A679" s="928"/>
      <c r="B679" s="546" t="s">
        <v>246</v>
      </c>
      <c r="C679" s="546"/>
      <c r="D679" s="546"/>
      <c r="E679" s="546"/>
      <c r="F679" s="546"/>
      <c r="G679" s="81"/>
      <c r="H679" s="81"/>
      <c r="I679" s="81"/>
      <c r="J679" s="81"/>
      <c r="K679" s="81"/>
      <c r="L679" s="81"/>
      <c r="M679" s="81"/>
      <c r="N679" s="604"/>
      <c r="O679" s="944"/>
      <c r="AJ679" s="91"/>
      <c r="AK679" s="91"/>
      <c r="AL679" s="91"/>
      <c r="AM679" s="91"/>
      <c r="AN679" s="91"/>
      <c r="AO679" s="91"/>
      <c r="AP679" s="91"/>
      <c r="AQ679" s="91"/>
      <c r="AR679" s="91"/>
      <c r="AS679" s="91"/>
      <c r="AT679" s="91"/>
      <c r="AU679" s="91"/>
      <c r="AV679" s="91"/>
      <c r="AW679" s="91"/>
      <c r="AX679" s="91"/>
      <c r="AY679" s="91"/>
      <c r="AZ679" s="91"/>
      <c r="BA679" s="91"/>
      <c r="BB679" s="91"/>
      <c r="BC679" s="91"/>
      <c r="BD679" s="91"/>
      <c r="BE679" s="91"/>
      <c r="BF679" s="91"/>
      <c r="BG679" s="91"/>
      <c r="BH679" s="91"/>
      <c r="BI679" s="91"/>
    </row>
    <row r="680" spans="1:61" s="44" customFormat="1" ht="24.95" hidden="1" customHeight="1">
      <c r="A680" s="932" t="s">
        <v>109</v>
      </c>
      <c r="B680" s="546" t="s">
        <v>89</v>
      </c>
      <c r="C680" s="546">
        <v>176</v>
      </c>
      <c r="D680" s="546" t="s">
        <v>15</v>
      </c>
      <c r="E680" s="546">
        <v>6100404</v>
      </c>
      <c r="F680" s="546">
        <v>243</v>
      </c>
      <c r="G680" s="81"/>
      <c r="H680" s="81"/>
      <c r="I680" s="81"/>
      <c r="J680" s="81"/>
      <c r="K680" s="81"/>
      <c r="L680" s="81"/>
      <c r="M680" s="81"/>
      <c r="N680" s="604"/>
      <c r="O680" s="944" t="s">
        <v>311</v>
      </c>
      <c r="AJ680" s="91"/>
      <c r="AK680" s="91"/>
      <c r="AL680" s="91"/>
      <c r="AM680" s="91"/>
      <c r="AN680" s="91"/>
      <c r="AO680" s="91"/>
      <c r="AP680" s="91"/>
      <c r="AQ680" s="91"/>
      <c r="AR680" s="91"/>
      <c r="AS680" s="91"/>
      <c r="AT680" s="91"/>
      <c r="AU680" s="91"/>
      <c r="AV680" s="91"/>
      <c r="AW680" s="91"/>
      <c r="AX680" s="91"/>
      <c r="AY680" s="91"/>
      <c r="AZ680" s="91"/>
      <c r="BA680" s="91"/>
      <c r="BB680" s="91"/>
      <c r="BC680" s="91"/>
      <c r="BD680" s="91"/>
      <c r="BE680" s="91"/>
      <c r="BF680" s="91"/>
      <c r="BG680" s="91"/>
      <c r="BH680" s="91"/>
      <c r="BI680" s="91"/>
    </row>
    <row r="681" spans="1:61" ht="24.95" hidden="1" customHeight="1">
      <c r="A681" s="932"/>
      <c r="B681" s="546" t="s">
        <v>246</v>
      </c>
      <c r="C681" s="546"/>
      <c r="D681" s="546"/>
      <c r="E681" s="546"/>
      <c r="F681" s="546"/>
      <c r="G681" s="81">
        <f>J681</f>
        <v>0</v>
      </c>
      <c r="H681" s="81"/>
      <c r="I681" s="81"/>
      <c r="J681" s="81"/>
      <c r="K681" s="81"/>
      <c r="L681" s="81"/>
      <c r="M681" s="81"/>
      <c r="N681" s="604"/>
      <c r="O681" s="944"/>
    </row>
    <row r="682" spans="1:61" ht="24.95" hidden="1" customHeight="1">
      <c r="A682" s="1023" t="s">
        <v>105</v>
      </c>
      <c r="B682" s="57" t="s">
        <v>721</v>
      </c>
      <c r="C682" s="57"/>
      <c r="D682" s="57"/>
      <c r="E682" s="57"/>
      <c r="F682" s="57"/>
      <c r="G682" s="80">
        <f>K682</f>
        <v>0</v>
      </c>
      <c r="H682" s="80">
        <f t="shared" ref="H682:M682" si="246">H686+H688</f>
        <v>0</v>
      </c>
      <c r="I682" s="80">
        <f t="shared" si="246"/>
        <v>0</v>
      </c>
      <c r="J682" s="80">
        <f t="shared" si="246"/>
        <v>0</v>
      </c>
      <c r="K682" s="80">
        <f t="shared" si="246"/>
        <v>0</v>
      </c>
      <c r="L682" s="80">
        <f t="shared" si="246"/>
        <v>0</v>
      </c>
      <c r="M682" s="80">
        <f t="shared" si="246"/>
        <v>0</v>
      </c>
      <c r="N682" s="604"/>
      <c r="O682" s="610"/>
    </row>
    <row r="683" spans="1:61" ht="24.95" hidden="1" customHeight="1">
      <c r="A683" s="1023"/>
      <c r="B683" s="57" t="s">
        <v>439</v>
      </c>
      <c r="C683" s="57"/>
      <c r="D683" s="57"/>
      <c r="E683" s="57"/>
      <c r="F683" s="57"/>
      <c r="G683" s="80">
        <f t="shared" ref="G683:G695" si="247">K683</f>
        <v>0</v>
      </c>
      <c r="H683" s="80"/>
      <c r="I683" s="80"/>
      <c r="J683" s="80"/>
      <c r="K683" s="80">
        <f>K684+K685</f>
        <v>0</v>
      </c>
      <c r="L683" s="80">
        <f t="shared" ref="L683:M683" si="248">L684+L685</f>
        <v>0</v>
      </c>
      <c r="M683" s="80">
        <f t="shared" si="248"/>
        <v>0</v>
      </c>
      <c r="N683" s="604"/>
      <c r="O683" s="610"/>
    </row>
    <row r="684" spans="1:61" ht="24.95" hidden="1" customHeight="1">
      <c r="A684" s="1023"/>
      <c r="B684" s="57" t="s">
        <v>247</v>
      </c>
      <c r="C684" s="57"/>
      <c r="D684" s="57"/>
      <c r="E684" s="57"/>
      <c r="F684" s="57"/>
      <c r="G684" s="80">
        <f t="shared" si="247"/>
        <v>0</v>
      </c>
      <c r="H684" s="80"/>
      <c r="I684" s="80"/>
      <c r="J684" s="80"/>
      <c r="K684" s="80">
        <f>K687+K690+K694</f>
        <v>0</v>
      </c>
      <c r="L684" s="80">
        <f t="shared" ref="L684:M684" si="249">L687+L690+L694</f>
        <v>0</v>
      </c>
      <c r="M684" s="80">
        <f t="shared" si="249"/>
        <v>0</v>
      </c>
      <c r="N684" s="604"/>
      <c r="O684" s="610"/>
    </row>
    <row r="685" spans="1:61" ht="24.6" hidden="1" customHeight="1">
      <c r="A685" s="1023"/>
      <c r="B685" s="57" t="s">
        <v>495</v>
      </c>
      <c r="C685" s="57"/>
      <c r="D685" s="57"/>
      <c r="E685" s="57"/>
      <c r="F685" s="57"/>
      <c r="G685" s="80">
        <f t="shared" si="247"/>
        <v>0</v>
      </c>
      <c r="H685" s="80">
        <f t="shared" ref="H685:J685" si="250">H687+H691</f>
        <v>0</v>
      </c>
      <c r="I685" s="80">
        <f t="shared" si="250"/>
        <v>0</v>
      </c>
      <c r="J685" s="80">
        <f t="shared" si="250"/>
        <v>0</v>
      </c>
      <c r="K685" s="80">
        <f>K691+K695</f>
        <v>0</v>
      </c>
      <c r="L685" s="80">
        <f>L691+L695</f>
        <v>0</v>
      </c>
      <c r="M685" s="80">
        <f>M691+M695</f>
        <v>0</v>
      </c>
      <c r="N685" s="604"/>
      <c r="O685" s="610"/>
    </row>
    <row r="686" spans="1:61" ht="21.6" hidden="1" customHeight="1">
      <c r="A686" s="926" t="s">
        <v>461</v>
      </c>
      <c r="B686" s="57" t="s">
        <v>721</v>
      </c>
      <c r="C686" s="546">
        <v>176</v>
      </c>
      <c r="D686" s="546" t="s">
        <v>15</v>
      </c>
      <c r="E686" s="546">
        <v>6100404</v>
      </c>
      <c r="F686" s="546">
        <v>243</v>
      </c>
      <c r="G686" s="80">
        <f t="shared" si="247"/>
        <v>0</v>
      </c>
      <c r="H686" s="81"/>
      <c r="I686" s="81"/>
      <c r="J686" s="81"/>
      <c r="K686" s="81"/>
      <c r="L686" s="81"/>
      <c r="M686" s="81"/>
      <c r="N686" s="604"/>
      <c r="O686" s="944" t="s">
        <v>724</v>
      </c>
    </row>
    <row r="687" spans="1:61" ht="24.6" hidden="1" customHeight="1">
      <c r="A687" s="928"/>
      <c r="B687" s="546" t="s">
        <v>246</v>
      </c>
      <c r="C687" s="546"/>
      <c r="D687" s="546"/>
      <c r="E687" s="546"/>
      <c r="F687" s="546"/>
      <c r="G687" s="80">
        <f t="shared" si="247"/>
        <v>0</v>
      </c>
      <c r="H687" s="81"/>
      <c r="I687" s="81"/>
      <c r="J687" s="81"/>
      <c r="K687" s="81"/>
      <c r="L687" s="81"/>
      <c r="M687" s="81"/>
      <c r="N687" s="604"/>
      <c r="O687" s="944"/>
    </row>
    <row r="688" spans="1:61" ht="22.5" hidden="1" customHeight="1">
      <c r="A688" s="1018" t="s">
        <v>462</v>
      </c>
      <c r="B688" s="57" t="s">
        <v>721</v>
      </c>
      <c r="C688" s="546">
        <v>176</v>
      </c>
      <c r="D688" s="546" t="s">
        <v>15</v>
      </c>
      <c r="E688" s="546">
        <v>6100404</v>
      </c>
      <c r="F688" s="546">
        <v>243</v>
      </c>
      <c r="G688" s="81">
        <f t="shared" si="247"/>
        <v>0</v>
      </c>
      <c r="H688" s="81"/>
      <c r="I688" s="81"/>
      <c r="J688" s="81"/>
      <c r="K688" s="81"/>
      <c r="L688" s="81"/>
      <c r="M688" s="81"/>
      <c r="N688" s="604"/>
      <c r="O688" s="944" t="s">
        <v>723</v>
      </c>
    </row>
    <row r="689" spans="1:61" ht="22.5" hidden="1" customHeight="1">
      <c r="A689" s="1018"/>
      <c r="B689" s="546" t="s">
        <v>439</v>
      </c>
      <c r="C689" s="546"/>
      <c r="D689" s="546"/>
      <c r="E689" s="546"/>
      <c r="F689" s="546"/>
      <c r="G689" s="81">
        <f t="shared" si="247"/>
        <v>0</v>
      </c>
      <c r="H689" s="81"/>
      <c r="I689" s="81"/>
      <c r="J689" s="81"/>
      <c r="K689" s="81">
        <f>K690+K691</f>
        <v>0</v>
      </c>
      <c r="L689" s="81"/>
      <c r="M689" s="81"/>
      <c r="N689" s="604"/>
      <c r="O689" s="944"/>
    </row>
    <row r="690" spans="1:61" ht="22.5" hidden="1" customHeight="1">
      <c r="A690" s="1018"/>
      <c r="B690" s="546" t="s">
        <v>247</v>
      </c>
      <c r="C690" s="546"/>
      <c r="D690" s="546"/>
      <c r="E690" s="546"/>
      <c r="F690" s="546"/>
      <c r="G690" s="81">
        <f t="shared" si="247"/>
        <v>0</v>
      </c>
      <c r="H690" s="81"/>
      <c r="I690" s="81"/>
      <c r="J690" s="81"/>
      <c r="K690" s="81"/>
      <c r="L690" s="81"/>
      <c r="M690" s="81"/>
      <c r="N690" s="604"/>
      <c r="O690" s="944"/>
    </row>
    <row r="691" spans="1:61" ht="22.9" hidden="1" customHeight="1">
      <c r="A691" s="1018"/>
      <c r="B691" s="546" t="s">
        <v>495</v>
      </c>
      <c r="C691" s="546"/>
      <c r="D691" s="546"/>
      <c r="E691" s="546"/>
      <c r="F691" s="546"/>
      <c r="G691" s="81">
        <f t="shared" si="247"/>
        <v>0</v>
      </c>
      <c r="H691" s="81"/>
      <c r="I691" s="81"/>
      <c r="J691" s="81"/>
      <c r="K691" s="81"/>
      <c r="L691" s="81"/>
      <c r="M691" s="81"/>
      <c r="N691" s="604"/>
      <c r="O691" s="944"/>
    </row>
    <row r="692" spans="1:61" s="44" customFormat="1" ht="22.5" hidden="1" customHeight="1">
      <c r="A692" s="1018" t="s">
        <v>558</v>
      </c>
      <c r="B692" s="546" t="s">
        <v>721</v>
      </c>
      <c r="C692" s="546">
        <v>176</v>
      </c>
      <c r="D692" s="546" t="s">
        <v>15</v>
      </c>
      <c r="E692" s="546">
        <v>6100404</v>
      </c>
      <c r="F692" s="546">
        <v>243</v>
      </c>
      <c r="G692" s="80">
        <f t="shared" si="247"/>
        <v>0</v>
      </c>
      <c r="H692" s="81"/>
      <c r="I692" s="81"/>
      <c r="J692" s="81"/>
      <c r="K692" s="81"/>
      <c r="L692" s="81"/>
      <c r="M692" s="81"/>
      <c r="N692" s="604"/>
      <c r="O692" s="944" t="s">
        <v>732</v>
      </c>
      <c r="AJ692" s="91"/>
      <c r="AK692" s="91"/>
      <c r="AL692" s="91"/>
      <c r="AM692" s="91"/>
      <c r="AN692" s="91"/>
      <c r="AO692" s="91"/>
      <c r="AP692" s="91"/>
      <c r="AQ692" s="91"/>
      <c r="AR692" s="91"/>
      <c r="AS692" s="91"/>
      <c r="AT692" s="91"/>
      <c r="AU692" s="91"/>
      <c r="AV692" s="91"/>
      <c r="AW692" s="91"/>
      <c r="AX692" s="91"/>
      <c r="AY692" s="91"/>
      <c r="AZ692" s="91"/>
      <c r="BA692" s="91"/>
      <c r="BB692" s="91"/>
      <c r="BC692" s="91"/>
      <c r="BD692" s="91"/>
      <c r="BE692" s="91"/>
      <c r="BF692" s="91"/>
      <c r="BG692" s="91"/>
      <c r="BH692" s="91"/>
      <c r="BI692" s="91"/>
    </row>
    <row r="693" spans="1:61" s="44" customFormat="1" ht="22.5" hidden="1" customHeight="1">
      <c r="A693" s="1018"/>
      <c r="B693" s="546" t="s">
        <v>439</v>
      </c>
      <c r="C693" s="546"/>
      <c r="D693" s="546"/>
      <c r="E693" s="546"/>
      <c r="F693" s="546"/>
      <c r="G693" s="81">
        <f t="shared" si="247"/>
        <v>0</v>
      </c>
      <c r="H693" s="81"/>
      <c r="I693" s="81"/>
      <c r="J693" s="81"/>
      <c r="K693" s="81">
        <f>K694+K695</f>
        <v>0</v>
      </c>
      <c r="L693" s="81"/>
      <c r="M693" s="81"/>
      <c r="N693" s="604"/>
      <c r="O693" s="944"/>
      <c r="AJ693" s="91"/>
      <c r="AK693" s="91"/>
      <c r="AL693" s="91"/>
      <c r="AM693" s="91"/>
      <c r="AN693" s="91"/>
      <c r="AO693" s="91"/>
      <c r="AP693" s="91"/>
      <c r="AQ693" s="91"/>
      <c r="AR693" s="91"/>
      <c r="AS693" s="91"/>
      <c r="AT693" s="91"/>
      <c r="AU693" s="91"/>
      <c r="AV693" s="91"/>
      <c r="AW693" s="91"/>
      <c r="AX693" s="91"/>
      <c r="AY693" s="91"/>
      <c r="AZ693" s="91"/>
      <c r="BA693" s="91"/>
      <c r="BB693" s="91"/>
      <c r="BC693" s="91"/>
      <c r="BD693" s="91"/>
      <c r="BE693" s="91"/>
      <c r="BF693" s="91"/>
      <c r="BG693" s="91"/>
      <c r="BH693" s="91"/>
      <c r="BI693" s="91"/>
    </row>
    <row r="694" spans="1:61" s="44" customFormat="1" ht="22.5" hidden="1" customHeight="1">
      <c r="A694" s="1018"/>
      <c r="B694" s="546" t="s">
        <v>247</v>
      </c>
      <c r="C694" s="546"/>
      <c r="D694" s="546"/>
      <c r="E694" s="546"/>
      <c r="F694" s="546"/>
      <c r="G694" s="81">
        <f t="shared" si="247"/>
        <v>0</v>
      </c>
      <c r="H694" s="81"/>
      <c r="I694" s="81"/>
      <c r="J694" s="81"/>
      <c r="K694" s="81"/>
      <c r="L694" s="81"/>
      <c r="M694" s="81"/>
      <c r="N694" s="604"/>
      <c r="O694" s="944"/>
      <c r="AJ694" s="91"/>
      <c r="AK694" s="91"/>
      <c r="AL694" s="91"/>
      <c r="AM694" s="91"/>
      <c r="AN694" s="91"/>
      <c r="AO694" s="91"/>
      <c r="AP694" s="91"/>
      <c r="AQ694" s="91"/>
      <c r="AR694" s="91"/>
      <c r="AS694" s="91"/>
      <c r="AT694" s="91"/>
      <c r="AU694" s="91"/>
      <c r="AV694" s="91"/>
      <c r="AW694" s="91"/>
      <c r="AX694" s="91"/>
      <c r="AY694" s="91"/>
      <c r="AZ694" s="91"/>
      <c r="BA694" s="91"/>
      <c r="BB694" s="91"/>
      <c r="BC694" s="91"/>
      <c r="BD694" s="91"/>
      <c r="BE694" s="91"/>
      <c r="BF694" s="91"/>
      <c r="BG694" s="91"/>
      <c r="BH694" s="91"/>
      <c r="BI694" s="91"/>
    </row>
    <row r="695" spans="1:61" ht="24.6" hidden="1" customHeight="1">
      <c r="A695" s="1018"/>
      <c r="B695" s="546" t="s">
        <v>495</v>
      </c>
      <c r="C695" s="546"/>
      <c r="D695" s="546"/>
      <c r="E695" s="546"/>
      <c r="F695" s="546"/>
      <c r="G695" s="80">
        <f t="shared" si="247"/>
        <v>0</v>
      </c>
      <c r="H695" s="81"/>
      <c r="I695" s="81"/>
      <c r="J695" s="81"/>
      <c r="K695" s="81"/>
      <c r="L695" s="81"/>
      <c r="M695" s="81"/>
      <c r="N695" s="604"/>
      <c r="O695" s="944"/>
    </row>
    <row r="696" spans="1:61" ht="27.75" hidden="1" customHeight="1">
      <c r="A696" s="945" t="s">
        <v>106</v>
      </c>
      <c r="B696" s="57" t="s">
        <v>89</v>
      </c>
      <c r="C696" s="57"/>
      <c r="D696" s="57"/>
      <c r="E696" s="57"/>
      <c r="F696" s="57"/>
      <c r="G696" s="80">
        <f t="shared" ref="G696:L697" si="251">G698+G702</f>
        <v>0</v>
      </c>
      <c r="H696" s="80"/>
      <c r="I696" s="80"/>
      <c r="J696" s="80"/>
      <c r="K696" s="80"/>
      <c r="L696" s="80">
        <f t="shared" si="251"/>
        <v>0</v>
      </c>
      <c r="M696" s="80">
        <f>M700</f>
        <v>5</v>
      </c>
      <c r="N696" s="604"/>
      <c r="O696" s="610"/>
    </row>
    <row r="697" spans="1:61" ht="24" hidden="1" customHeight="1">
      <c r="A697" s="945"/>
      <c r="B697" s="57" t="s">
        <v>246</v>
      </c>
      <c r="C697" s="57"/>
      <c r="D697" s="57"/>
      <c r="E697" s="57"/>
      <c r="F697" s="57"/>
      <c r="G697" s="80">
        <f t="shared" si="251"/>
        <v>0</v>
      </c>
      <c r="H697" s="80"/>
      <c r="I697" s="80"/>
      <c r="J697" s="80"/>
      <c r="K697" s="80"/>
      <c r="L697" s="80">
        <f t="shared" si="251"/>
        <v>0</v>
      </c>
      <c r="M697" s="80">
        <f>M701</f>
        <v>215000</v>
      </c>
      <c r="N697" s="604"/>
      <c r="O697" s="610"/>
    </row>
    <row r="698" spans="1:61" ht="24" hidden="1" customHeight="1">
      <c r="A698" s="932" t="s">
        <v>109</v>
      </c>
      <c r="B698" s="546" t="s">
        <v>89</v>
      </c>
      <c r="C698" s="546">
        <v>176</v>
      </c>
      <c r="D698" s="546" t="s">
        <v>15</v>
      </c>
      <c r="E698" s="546">
        <v>6100404</v>
      </c>
      <c r="F698" s="546">
        <v>243</v>
      </c>
      <c r="G698" s="81"/>
      <c r="H698" s="81"/>
      <c r="I698" s="81"/>
      <c r="J698" s="81"/>
      <c r="K698" s="81"/>
      <c r="L698" s="81"/>
      <c r="M698" s="81"/>
      <c r="N698" s="604"/>
      <c r="O698" s="944" t="s">
        <v>291</v>
      </c>
    </row>
    <row r="699" spans="1:61" ht="24" hidden="1" customHeight="1">
      <c r="A699" s="932"/>
      <c r="B699" s="546" t="s">
        <v>246</v>
      </c>
      <c r="C699" s="546"/>
      <c r="D699" s="546"/>
      <c r="E699" s="546"/>
      <c r="F699" s="546"/>
      <c r="G699" s="81"/>
      <c r="H699" s="81"/>
      <c r="I699" s="81"/>
      <c r="J699" s="81"/>
      <c r="K699" s="81"/>
      <c r="L699" s="81"/>
      <c r="M699" s="81"/>
      <c r="N699" s="604"/>
      <c r="O699" s="944"/>
    </row>
    <row r="700" spans="1:61" ht="24" hidden="1" customHeight="1">
      <c r="A700" s="932" t="s">
        <v>95</v>
      </c>
      <c r="B700" s="546" t="s">
        <v>89</v>
      </c>
      <c r="C700" s="546">
        <v>176</v>
      </c>
      <c r="D700" s="546" t="s">
        <v>15</v>
      </c>
      <c r="E700" s="546">
        <v>6100404</v>
      </c>
      <c r="F700" s="546">
        <v>243</v>
      </c>
      <c r="G700" s="81"/>
      <c r="H700" s="81"/>
      <c r="I700" s="81"/>
      <c r="J700" s="81"/>
      <c r="K700" s="81"/>
      <c r="L700" s="81"/>
      <c r="M700" s="81">
        <v>5</v>
      </c>
      <c r="N700" s="604"/>
      <c r="O700" s="933" t="s">
        <v>224</v>
      </c>
    </row>
    <row r="701" spans="1:61" s="44" customFormat="1" ht="24" hidden="1" customHeight="1">
      <c r="A701" s="932"/>
      <c r="B701" s="546" t="s">
        <v>246</v>
      </c>
      <c r="C701" s="546"/>
      <c r="D701" s="546"/>
      <c r="E701" s="546"/>
      <c r="F701" s="546"/>
      <c r="G701" s="81"/>
      <c r="H701" s="81"/>
      <c r="I701" s="81"/>
      <c r="J701" s="81"/>
      <c r="K701" s="81"/>
      <c r="L701" s="81"/>
      <c r="M701" s="81">
        <v>215000</v>
      </c>
      <c r="N701" s="604"/>
      <c r="O701" s="934"/>
      <c r="AJ701" s="91"/>
      <c r="AK701" s="91"/>
      <c r="AL701" s="91"/>
      <c r="AM701" s="91"/>
      <c r="AN701" s="91"/>
      <c r="AO701" s="91"/>
      <c r="AP701" s="91"/>
      <c r="AQ701" s="91"/>
      <c r="AR701" s="91"/>
      <c r="AS701" s="91"/>
      <c r="AT701" s="91"/>
      <c r="AU701" s="91"/>
      <c r="AV701" s="91"/>
      <c r="AW701" s="91"/>
      <c r="AX701" s="91"/>
      <c r="AY701" s="91"/>
      <c r="AZ701" s="91"/>
      <c r="BA701" s="91"/>
      <c r="BB701" s="91"/>
      <c r="BC701" s="91"/>
      <c r="BD701" s="91"/>
      <c r="BE701" s="91"/>
      <c r="BF701" s="91"/>
      <c r="BG701" s="91"/>
      <c r="BH701" s="91"/>
      <c r="BI701" s="91"/>
    </row>
    <row r="702" spans="1:61" s="44" customFormat="1" ht="24.6" hidden="1" customHeight="1">
      <c r="A702" s="932" t="s">
        <v>169</v>
      </c>
      <c r="B702" s="546" t="s">
        <v>89</v>
      </c>
      <c r="C702" s="546">
        <v>176</v>
      </c>
      <c r="D702" s="546" t="s">
        <v>15</v>
      </c>
      <c r="E702" s="546">
        <v>6100404</v>
      </c>
      <c r="F702" s="546">
        <v>243</v>
      </c>
      <c r="G702" s="81">
        <v>0</v>
      </c>
      <c r="H702" s="81"/>
      <c r="I702" s="81"/>
      <c r="J702" s="81"/>
      <c r="K702" s="81"/>
      <c r="L702" s="81"/>
      <c r="M702" s="81"/>
      <c r="N702" s="604"/>
      <c r="O702" s="944" t="s">
        <v>31</v>
      </c>
      <c r="AJ702" s="91"/>
      <c r="AK702" s="91"/>
      <c r="AL702" s="91"/>
      <c r="AM702" s="91"/>
      <c r="AN702" s="91"/>
      <c r="AO702" s="91"/>
      <c r="AP702" s="91"/>
      <c r="AQ702" s="91"/>
      <c r="AR702" s="91"/>
      <c r="AS702" s="91"/>
      <c r="AT702" s="91"/>
      <c r="AU702" s="91"/>
      <c r="AV702" s="91"/>
      <c r="AW702" s="91"/>
      <c r="AX702" s="91"/>
      <c r="AY702" s="91"/>
      <c r="AZ702" s="91"/>
      <c r="BA702" s="91"/>
      <c r="BB702" s="91"/>
      <c r="BC702" s="91"/>
      <c r="BD702" s="91"/>
      <c r="BE702" s="91"/>
      <c r="BF702" s="91"/>
      <c r="BG702" s="91"/>
      <c r="BH702" s="91"/>
      <c r="BI702" s="91"/>
    </row>
    <row r="703" spans="1:61" ht="24.6" hidden="1" customHeight="1">
      <c r="A703" s="932"/>
      <c r="B703" s="546" t="s">
        <v>246</v>
      </c>
      <c r="C703" s="546"/>
      <c r="D703" s="546"/>
      <c r="E703" s="546"/>
      <c r="F703" s="546"/>
      <c r="G703" s="81"/>
      <c r="H703" s="81"/>
      <c r="I703" s="81"/>
      <c r="J703" s="81"/>
      <c r="K703" s="81"/>
      <c r="L703" s="81"/>
      <c r="M703" s="81"/>
      <c r="N703" s="604"/>
      <c r="O703" s="944"/>
    </row>
    <row r="704" spans="1:61" ht="24.95" hidden="1" customHeight="1">
      <c r="A704" s="945" t="s">
        <v>137</v>
      </c>
      <c r="B704" s="57" t="s">
        <v>721</v>
      </c>
      <c r="C704" s="57"/>
      <c r="D704" s="57"/>
      <c r="E704" s="57"/>
      <c r="F704" s="57"/>
      <c r="G704" s="80">
        <f>K704</f>
        <v>0</v>
      </c>
      <c r="H704" s="80">
        <f t="shared" ref="H704:J704" si="252">-H710+H714+H718</f>
        <v>0</v>
      </c>
      <c r="I704" s="80">
        <f t="shared" si="252"/>
        <v>0</v>
      </c>
      <c r="J704" s="80">
        <f t="shared" si="252"/>
        <v>0</v>
      </c>
      <c r="K704" s="80">
        <f>K710</f>
        <v>0</v>
      </c>
      <c r="L704" s="80">
        <f>L710</f>
        <v>0</v>
      </c>
      <c r="M704" s="80">
        <f t="shared" ref="M704" si="253">-M710+M714+M718</f>
        <v>0</v>
      </c>
      <c r="N704" s="604"/>
      <c r="O704" s="610"/>
    </row>
    <row r="705" spans="1:61" ht="24.95" hidden="1" customHeight="1">
      <c r="A705" s="945"/>
      <c r="B705" s="57" t="s">
        <v>439</v>
      </c>
      <c r="C705" s="57"/>
      <c r="D705" s="57"/>
      <c r="E705" s="57"/>
      <c r="F705" s="57"/>
      <c r="G705" s="80">
        <f t="shared" ref="G705:G707" si="254">K705</f>
        <v>0</v>
      </c>
      <c r="H705" s="80"/>
      <c r="I705" s="80"/>
      <c r="J705" s="80"/>
      <c r="K705" s="80">
        <f>K706+K707</f>
        <v>0</v>
      </c>
      <c r="L705" s="80">
        <f>L706+L707</f>
        <v>0</v>
      </c>
      <c r="M705" s="80"/>
      <c r="N705" s="604"/>
      <c r="O705" s="610"/>
    </row>
    <row r="706" spans="1:61" ht="24.95" hidden="1" customHeight="1">
      <c r="A706" s="945"/>
      <c r="B706" s="57" t="s">
        <v>247</v>
      </c>
      <c r="C706" s="57"/>
      <c r="D706" s="57"/>
      <c r="E706" s="57"/>
      <c r="F706" s="57"/>
      <c r="G706" s="80">
        <f t="shared" si="254"/>
        <v>0</v>
      </c>
      <c r="H706" s="80"/>
      <c r="I706" s="80"/>
      <c r="J706" s="80"/>
      <c r="K706" s="80">
        <f>K712</f>
        <v>0</v>
      </c>
      <c r="L706" s="80">
        <f>L712</f>
        <v>0</v>
      </c>
      <c r="M706" s="80"/>
      <c r="N706" s="604"/>
      <c r="O706" s="610"/>
    </row>
    <row r="707" spans="1:61" ht="24.95" hidden="1" customHeight="1">
      <c r="A707" s="945"/>
      <c r="B707" s="57" t="s">
        <v>495</v>
      </c>
      <c r="C707" s="57"/>
      <c r="D707" s="57"/>
      <c r="E707" s="57"/>
      <c r="F707" s="57"/>
      <c r="G707" s="80">
        <f t="shared" si="254"/>
        <v>0</v>
      </c>
      <c r="H707" s="80">
        <f t="shared" ref="H707:L707" si="255">H713</f>
        <v>0</v>
      </c>
      <c r="I707" s="80">
        <f t="shared" si="255"/>
        <v>0</v>
      </c>
      <c r="J707" s="80">
        <f t="shared" si="255"/>
        <v>0</v>
      </c>
      <c r="K707" s="80">
        <f t="shared" si="255"/>
        <v>0</v>
      </c>
      <c r="L707" s="80">
        <f t="shared" si="255"/>
        <v>0</v>
      </c>
      <c r="M707" s="80">
        <f>M708</f>
        <v>0</v>
      </c>
      <c r="N707" s="604"/>
      <c r="O707" s="610"/>
    </row>
    <row r="708" spans="1:61" ht="24" hidden="1" customHeight="1">
      <c r="A708" s="945"/>
      <c r="B708" s="57" t="s">
        <v>327</v>
      </c>
      <c r="C708" s="57"/>
      <c r="D708" s="57"/>
      <c r="E708" s="57"/>
      <c r="F708" s="57"/>
      <c r="G708" s="80">
        <f>G716</f>
        <v>0</v>
      </c>
      <c r="H708" s="80">
        <f t="shared" ref="H708:K708" si="256">H716</f>
        <v>0</v>
      </c>
      <c r="I708" s="80">
        <f t="shared" si="256"/>
        <v>0</v>
      </c>
      <c r="J708" s="80">
        <f t="shared" si="256"/>
        <v>0</v>
      </c>
      <c r="K708" s="80">
        <f t="shared" si="256"/>
        <v>0</v>
      </c>
      <c r="L708" s="80">
        <f>L716+L713</f>
        <v>0</v>
      </c>
      <c r="M708" s="80">
        <f>M713</f>
        <v>0</v>
      </c>
      <c r="N708" s="604"/>
      <c r="O708" s="610"/>
    </row>
    <row r="709" spans="1:61" ht="24.6" hidden="1" customHeight="1">
      <c r="A709" s="945"/>
      <c r="B709" s="57" t="s">
        <v>342</v>
      </c>
      <c r="C709" s="57"/>
      <c r="D709" s="57"/>
      <c r="E709" s="57"/>
      <c r="F709" s="57"/>
      <c r="G709" s="80">
        <f t="shared" ref="G709" si="257">G713+G717+G719</f>
        <v>0</v>
      </c>
      <c r="H709" s="80"/>
      <c r="I709" s="80"/>
      <c r="J709" s="80"/>
      <c r="K709" s="80"/>
      <c r="L709" s="80">
        <f>L717</f>
        <v>0</v>
      </c>
      <c r="M709" s="80"/>
      <c r="N709" s="604"/>
      <c r="O709" s="610"/>
    </row>
    <row r="710" spans="1:61" ht="24.95" hidden="1" customHeight="1">
      <c r="A710" s="932" t="s">
        <v>109</v>
      </c>
      <c r="B710" s="546" t="s">
        <v>721</v>
      </c>
      <c r="C710" s="546">
        <v>176</v>
      </c>
      <c r="D710" s="546" t="s">
        <v>15</v>
      </c>
      <c r="E710" s="546">
        <v>6100404</v>
      </c>
      <c r="F710" s="546">
        <v>243</v>
      </c>
      <c r="G710" s="81">
        <f>K710</f>
        <v>0</v>
      </c>
      <c r="H710" s="81"/>
      <c r="I710" s="81"/>
      <c r="J710" s="81"/>
      <c r="K710" s="81"/>
      <c r="L710" s="81"/>
      <c r="M710" s="81"/>
      <c r="N710" s="604"/>
      <c r="O710" s="944" t="s">
        <v>733</v>
      </c>
    </row>
    <row r="711" spans="1:61" ht="24.95" hidden="1" customHeight="1">
      <c r="A711" s="932"/>
      <c r="B711" s="546" t="s">
        <v>439</v>
      </c>
      <c r="C711" s="546"/>
      <c r="D711" s="546"/>
      <c r="E711" s="546"/>
      <c r="F711" s="546"/>
      <c r="G711" s="81">
        <f t="shared" ref="G711:G713" si="258">K711</f>
        <v>0</v>
      </c>
      <c r="H711" s="81"/>
      <c r="I711" s="81"/>
      <c r="J711" s="81"/>
      <c r="K711" s="81">
        <f>K712+K713</f>
        <v>0</v>
      </c>
      <c r="L711" s="81">
        <f>L712+L713</f>
        <v>0</v>
      </c>
      <c r="M711" s="81"/>
      <c r="N711" s="604"/>
      <c r="O711" s="944"/>
    </row>
    <row r="712" spans="1:61" ht="24.95" hidden="1" customHeight="1">
      <c r="A712" s="932"/>
      <c r="B712" s="546" t="s">
        <v>247</v>
      </c>
      <c r="C712" s="546"/>
      <c r="D712" s="546"/>
      <c r="E712" s="546"/>
      <c r="F712" s="546"/>
      <c r="G712" s="81">
        <f t="shared" si="258"/>
        <v>0</v>
      </c>
      <c r="H712" s="81"/>
      <c r="I712" s="81"/>
      <c r="J712" s="81"/>
      <c r="K712" s="81"/>
      <c r="L712" s="81"/>
      <c r="M712" s="81"/>
      <c r="N712" s="604"/>
      <c r="O712" s="944"/>
    </row>
    <row r="713" spans="1:61" ht="24.95" hidden="1" customHeight="1">
      <c r="A713" s="932"/>
      <c r="B713" s="546" t="s">
        <v>495</v>
      </c>
      <c r="C713" s="546"/>
      <c r="D713" s="546"/>
      <c r="E713" s="546"/>
      <c r="F713" s="546"/>
      <c r="G713" s="81">
        <f t="shared" si="258"/>
        <v>0</v>
      </c>
      <c r="H713" s="81"/>
      <c r="I713" s="81"/>
      <c r="J713" s="81"/>
      <c r="K713" s="81"/>
      <c r="L713" s="81"/>
      <c r="M713" s="81"/>
      <c r="N713" s="604"/>
      <c r="O713" s="944"/>
    </row>
    <row r="714" spans="1:61" ht="24.95" hidden="1" customHeight="1">
      <c r="A714" s="932" t="s">
        <v>210</v>
      </c>
      <c r="B714" s="546" t="s">
        <v>89</v>
      </c>
      <c r="C714" s="546">
        <v>176</v>
      </c>
      <c r="D714" s="546" t="s">
        <v>15</v>
      </c>
      <c r="E714" s="546">
        <v>6100404</v>
      </c>
      <c r="F714" s="546">
        <v>243</v>
      </c>
      <c r="G714" s="81">
        <v>1.6180000000000001</v>
      </c>
      <c r="H714" s="81"/>
      <c r="I714" s="81"/>
      <c r="J714" s="81"/>
      <c r="K714" s="81"/>
      <c r="L714" s="81"/>
      <c r="M714" s="81"/>
      <c r="N714" s="604"/>
      <c r="O714" s="944" t="s">
        <v>483</v>
      </c>
    </row>
    <row r="715" spans="1:61" ht="24" hidden="1" customHeight="1">
      <c r="A715" s="932"/>
      <c r="B715" s="546" t="s">
        <v>246</v>
      </c>
      <c r="C715" s="546"/>
      <c r="D715" s="546"/>
      <c r="E715" s="546"/>
      <c r="F715" s="546"/>
      <c r="G715" s="81">
        <f>G716</f>
        <v>0</v>
      </c>
      <c r="H715" s="81"/>
      <c r="I715" s="81"/>
      <c r="J715" s="81">
        <f>J716</f>
        <v>0</v>
      </c>
      <c r="K715" s="81"/>
      <c r="L715" s="81"/>
      <c r="M715" s="81"/>
      <c r="N715" s="604"/>
      <c r="O715" s="944"/>
    </row>
    <row r="716" spans="1:61" ht="24" hidden="1" customHeight="1">
      <c r="A716" s="932"/>
      <c r="B716" s="546" t="s">
        <v>327</v>
      </c>
      <c r="C716" s="546"/>
      <c r="D716" s="546"/>
      <c r="E716" s="546"/>
      <c r="F716" s="546"/>
      <c r="G716" s="81">
        <f>J716</f>
        <v>0</v>
      </c>
      <c r="H716" s="81"/>
      <c r="I716" s="81"/>
      <c r="J716" s="81"/>
      <c r="K716" s="81"/>
      <c r="L716" s="81"/>
      <c r="M716" s="81"/>
      <c r="N716" s="604"/>
      <c r="O716" s="944"/>
    </row>
    <row r="717" spans="1:61" s="44" customFormat="1" ht="24.6" hidden="1" customHeight="1">
      <c r="A717" s="932"/>
      <c r="B717" s="546" t="s">
        <v>342</v>
      </c>
      <c r="C717" s="546"/>
      <c r="D717" s="546"/>
      <c r="E717" s="546"/>
      <c r="F717" s="546"/>
      <c r="G717" s="81"/>
      <c r="H717" s="81"/>
      <c r="I717" s="81"/>
      <c r="J717" s="81"/>
      <c r="K717" s="81"/>
      <c r="L717" s="81"/>
      <c r="M717" s="81"/>
      <c r="N717" s="604"/>
      <c r="O717" s="944"/>
      <c r="AJ717" s="91"/>
      <c r="AK717" s="91"/>
      <c r="AL717" s="91"/>
      <c r="AM717" s="91"/>
      <c r="AN717" s="91"/>
      <c r="AO717" s="91"/>
      <c r="AP717" s="91"/>
      <c r="AQ717" s="91"/>
      <c r="AR717" s="91"/>
      <c r="AS717" s="91"/>
      <c r="AT717" s="91"/>
      <c r="AU717" s="91"/>
      <c r="AV717" s="91"/>
      <c r="AW717" s="91"/>
      <c r="AX717" s="91"/>
      <c r="AY717" s="91"/>
      <c r="AZ717" s="91"/>
      <c r="BA717" s="91"/>
      <c r="BB717" s="91"/>
      <c r="BC717" s="91"/>
      <c r="BD717" s="91"/>
      <c r="BE717" s="91"/>
      <c r="BF717" s="91"/>
      <c r="BG717" s="91"/>
      <c r="BH717" s="91"/>
      <c r="BI717" s="91"/>
    </row>
    <row r="718" spans="1:61" s="44" customFormat="1" ht="23.45" hidden="1" customHeight="1">
      <c r="A718" s="932" t="s">
        <v>251</v>
      </c>
      <c r="B718" s="546" t="s">
        <v>89</v>
      </c>
      <c r="C718" s="546">
        <v>176</v>
      </c>
      <c r="D718" s="546" t="s">
        <v>15</v>
      </c>
      <c r="E718" s="546">
        <v>6100404</v>
      </c>
      <c r="F718" s="546">
        <v>243</v>
      </c>
      <c r="G718" s="81">
        <v>0</v>
      </c>
      <c r="H718" s="81"/>
      <c r="I718" s="81"/>
      <c r="J718" s="81"/>
      <c r="K718" s="81"/>
      <c r="L718" s="81"/>
      <c r="M718" s="81"/>
      <c r="N718" s="604"/>
      <c r="O718" s="944" t="s">
        <v>314</v>
      </c>
      <c r="AJ718" s="91"/>
      <c r="AK718" s="91"/>
      <c r="AL718" s="91"/>
      <c r="AM718" s="91"/>
      <c r="AN718" s="91"/>
      <c r="AO718" s="91"/>
      <c r="AP718" s="91"/>
      <c r="AQ718" s="91"/>
      <c r="AR718" s="91"/>
      <c r="AS718" s="91"/>
      <c r="AT718" s="91"/>
      <c r="AU718" s="91"/>
      <c r="AV718" s="91"/>
      <c r="AW718" s="91"/>
      <c r="AX718" s="91"/>
      <c r="AY718" s="91"/>
      <c r="AZ718" s="91"/>
      <c r="BA718" s="91"/>
      <c r="BB718" s="91"/>
      <c r="BC718" s="91"/>
      <c r="BD718" s="91"/>
      <c r="BE718" s="91"/>
      <c r="BF718" s="91"/>
      <c r="BG718" s="91"/>
      <c r="BH718" s="91"/>
      <c r="BI718" s="91"/>
    </row>
    <row r="719" spans="1:61" ht="18.75" hidden="1" customHeight="1">
      <c r="A719" s="932"/>
      <c r="B719" s="546" t="s">
        <v>246</v>
      </c>
      <c r="C719" s="546"/>
      <c r="D719" s="546"/>
      <c r="E719" s="546"/>
      <c r="F719" s="546"/>
      <c r="G719" s="81">
        <v>0</v>
      </c>
      <c r="H719" s="81"/>
      <c r="I719" s="81"/>
      <c r="J719" s="81"/>
      <c r="K719" s="81"/>
      <c r="L719" s="81"/>
      <c r="M719" s="81"/>
      <c r="N719" s="604"/>
      <c r="O719" s="944"/>
    </row>
    <row r="720" spans="1:61" s="44" customFormat="1" ht="22.9" hidden="1" customHeight="1">
      <c r="A720" s="926" t="s">
        <v>559</v>
      </c>
      <c r="B720" s="546" t="s">
        <v>721</v>
      </c>
      <c r="C720" s="546">
        <v>176</v>
      </c>
      <c r="D720" s="546" t="s">
        <v>15</v>
      </c>
      <c r="E720" s="546">
        <v>6100404</v>
      </c>
      <c r="F720" s="546">
        <v>243</v>
      </c>
      <c r="G720" s="80">
        <f t="shared" ref="G720:G723" si="259">K720</f>
        <v>0</v>
      </c>
      <c r="H720" s="81"/>
      <c r="I720" s="81"/>
      <c r="J720" s="81"/>
      <c r="K720" s="81"/>
      <c r="L720" s="81"/>
      <c r="M720" s="81"/>
      <c r="N720" s="604"/>
      <c r="O720" s="944" t="s">
        <v>722</v>
      </c>
      <c r="AJ720" s="91"/>
      <c r="AK720" s="91"/>
      <c r="AL720" s="91"/>
      <c r="AM720" s="91"/>
      <c r="AN720" s="91"/>
      <c r="AO720" s="91"/>
      <c r="AP720" s="91"/>
      <c r="AQ720" s="91"/>
      <c r="AR720" s="91"/>
      <c r="AS720" s="91"/>
      <c r="AT720" s="91"/>
      <c r="AU720" s="91"/>
      <c r="AV720" s="91"/>
      <c r="AW720" s="91"/>
      <c r="AX720" s="91"/>
      <c r="AY720" s="91"/>
      <c r="AZ720" s="91"/>
      <c r="BA720" s="91"/>
      <c r="BB720" s="91"/>
      <c r="BC720" s="91"/>
      <c r="BD720" s="91"/>
      <c r="BE720" s="91"/>
      <c r="BF720" s="91"/>
      <c r="BG720" s="91"/>
      <c r="BH720" s="91"/>
      <c r="BI720" s="91"/>
    </row>
    <row r="721" spans="1:61" s="44" customFormat="1" ht="22.9" hidden="1" customHeight="1">
      <c r="A721" s="927"/>
      <c r="B721" s="546" t="s">
        <v>439</v>
      </c>
      <c r="C721" s="546"/>
      <c r="D721" s="546"/>
      <c r="E721" s="546"/>
      <c r="F721" s="546"/>
      <c r="G721" s="80">
        <f t="shared" si="259"/>
        <v>0</v>
      </c>
      <c r="H721" s="81"/>
      <c r="I721" s="81"/>
      <c r="J721" s="81"/>
      <c r="K721" s="81"/>
      <c r="L721" s="81">
        <f>L722+L723</f>
        <v>0</v>
      </c>
      <c r="M721" s="81"/>
      <c r="N721" s="604"/>
      <c r="O721" s="944"/>
      <c r="AJ721" s="91"/>
      <c r="AK721" s="91"/>
      <c r="AL721" s="91"/>
      <c r="AM721" s="91"/>
      <c r="AN721" s="91"/>
      <c r="AO721" s="91"/>
      <c r="AP721" s="91"/>
      <c r="AQ721" s="91"/>
      <c r="AR721" s="91"/>
      <c r="AS721" s="91"/>
      <c r="AT721" s="91"/>
      <c r="AU721" s="91"/>
      <c r="AV721" s="91"/>
      <c r="AW721" s="91"/>
      <c r="AX721" s="91"/>
      <c r="AY721" s="91"/>
      <c r="AZ721" s="91"/>
      <c r="BA721" s="91"/>
      <c r="BB721" s="91"/>
      <c r="BC721" s="91"/>
      <c r="BD721" s="91"/>
      <c r="BE721" s="91"/>
      <c r="BF721" s="91"/>
      <c r="BG721" s="91"/>
      <c r="BH721" s="91"/>
      <c r="BI721" s="91"/>
    </row>
    <row r="722" spans="1:61" s="44" customFormat="1" ht="22.9" hidden="1" customHeight="1">
      <c r="A722" s="927"/>
      <c r="B722" s="546" t="s">
        <v>247</v>
      </c>
      <c r="C722" s="546"/>
      <c r="D722" s="546"/>
      <c r="E722" s="546"/>
      <c r="F722" s="546"/>
      <c r="G722" s="80">
        <f t="shared" si="259"/>
        <v>0</v>
      </c>
      <c r="H722" s="81"/>
      <c r="I722" s="81"/>
      <c r="J722" s="81"/>
      <c r="K722" s="81"/>
      <c r="L722" s="81"/>
      <c r="M722" s="81"/>
      <c r="N722" s="604"/>
      <c r="O722" s="944"/>
      <c r="AJ722" s="91"/>
      <c r="AK722" s="91"/>
      <c r="AL722" s="91"/>
      <c r="AM722" s="91"/>
      <c r="AN722" s="91"/>
      <c r="AO722" s="91"/>
      <c r="AP722" s="91"/>
      <c r="AQ722" s="91"/>
      <c r="AR722" s="91"/>
      <c r="AS722" s="91"/>
      <c r="AT722" s="91"/>
      <c r="AU722" s="91"/>
      <c r="AV722" s="91"/>
      <c r="AW722" s="91"/>
      <c r="AX722" s="91"/>
      <c r="AY722" s="91"/>
      <c r="AZ722" s="91"/>
      <c r="BA722" s="91"/>
      <c r="BB722" s="91"/>
      <c r="BC722" s="91"/>
      <c r="BD722" s="91"/>
      <c r="BE722" s="91"/>
      <c r="BF722" s="91"/>
      <c r="BG722" s="91"/>
      <c r="BH722" s="91"/>
      <c r="BI722" s="91"/>
    </row>
    <row r="723" spans="1:61" ht="24.6" hidden="1" customHeight="1">
      <c r="A723" s="928"/>
      <c r="B723" s="546" t="s">
        <v>495</v>
      </c>
      <c r="C723" s="546"/>
      <c r="D723" s="546"/>
      <c r="E723" s="546"/>
      <c r="F723" s="546"/>
      <c r="G723" s="80">
        <f t="shared" si="259"/>
        <v>0</v>
      </c>
      <c r="H723" s="81"/>
      <c r="I723" s="81"/>
      <c r="J723" s="81"/>
      <c r="K723" s="81"/>
      <c r="L723" s="81"/>
      <c r="M723" s="81"/>
      <c r="N723" s="604"/>
      <c r="O723" s="944"/>
    </row>
    <row r="724" spans="1:61" ht="22.9" hidden="1" customHeight="1">
      <c r="A724" s="945" t="s">
        <v>139</v>
      </c>
      <c r="B724" s="57" t="s">
        <v>721</v>
      </c>
      <c r="C724" s="57"/>
      <c r="D724" s="57"/>
      <c r="E724" s="57"/>
      <c r="F724" s="57"/>
      <c r="G724" s="80">
        <f>G730</f>
        <v>0</v>
      </c>
      <c r="H724" s="80">
        <f t="shared" ref="H724:M724" si="260">H730</f>
        <v>0</v>
      </c>
      <c r="I724" s="80">
        <f t="shared" si="260"/>
        <v>0</v>
      </c>
      <c r="J724" s="80">
        <f t="shared" si="260"/>
        <v>0</v>
      </c>
      <c r="K724" s="80">
        <f t="shared" si="260"/>
        <v>0</v>
      </c>
      <c r="L724" s="80">
        <f t="shared" si="260"/>
        <v>0</v>
      </c>
      <c r="M724" s="80">
        <f t="shared" si="260"/>
        <v>0</v>
      </c>
      <c r="N724" s="604"/>
      <c r="O724" s="610"/>
    </row>
    <row r="725" spans="1:61" ht="22.9" hidden="1" customHeight="1">
      <c r="A725" s="945"/>
      <c r="B725" s="57" t="s">
        <v>439</v>
      </c>
      <c r="C725" s="57"/>
      <c r="D725" s="57"/>
      <c r="E725" s="57"/>
      <c r="F725" s="57"/>
      <c r="G725" s="80">
        <f t="shared" ref="G725:G733" si="261">K725</f>
        <v>0</v>
      </c>
      <c r="H725" s="80"/>
      <c r="I725" s="80"/>
      <c r="J725" s="80"/>
      <c r="K725" s="80">
        <f>K726+K727</f>
        <v>0</v>
      </c>
      <c r="L725" s="80"/>
      <c r="M725" s="80"/>
      <c r="N725" s="604"/>
      <c r="O725" s="610"/>
    </row>
    <row r="726" spans="1:61" ht="22.9" hidden="1" customHeight="1">
      <c r="A726" s="945"/>
      <c r="B726" s="57" t="s">
        <v>247</v>
      </c>
      <c r="C726" s="57"/>
      <c r="D726" s="57"/>
      <c r="E726" s="57"/>
      <c r="F726" s="57"/>
      <c r="G726" s="80">
        <f t="shared" si="261"/>
        <v>0</v>
      </c>
      <c r="H726" s="80"/>
      <c r="I726" s="80"/>
      <c r="J726" s="80"/>
      <c r="K726" s="80">
        <f>K732</f>
        <v>0</v>
      </c>
      <c r="L726" s="80"/>
      <c r="M726" s="80"/>
      <c r="N726" s="604"/>
      <c r="O726" s="610"/>
    </row>
    <row r="727" spans="1:61" ht="24" hidden="1" customHeight="1">
      <c r="A727" s="945"/>
      <c r="B727" s="57" t="s">
        <v>495</v>
      </c>
      <c r="C727" s="57"/>
      <c r="D727" s="57"/>
      <c r="E727" s="57"/>
      <c r="F727" s="57"/>
      <c r="G727" s="80">
        <f t="shared" si="261"/>
        <v>0</v>
      </c>
      <c r="H727" s="80"/>
      <c r="I727" s="80"/>
      <c r="J727" s="80">
        <f>J733</f>
        <v>0</v>
      </c>
      <c r="K727" s="80">
        <f>K733</f>
        <v>0</v>
      </c>
      <c r="L727" s="80">
        <f>L729+L733+L735</f>
        <v>0</v>
      </c>
      <c r="M727" s="80"/>
      <c r="N727" s="604"/>
      <c r="O727" s="610"/>
    </row>
    <row r="728" spans="1:61" ht="1.1499999999999999" hidden="1" customHeight="1">
      <c r="A728" s="932" t="s">
        <v>168</v>
      </c>
      <c r="B728" s="546" t="s">
        <v>89</v>
      </c>
      <c r="C728" s="546">
        <v>176</v>
      </c>
      <c r="D728" s="546" t="s">
        <v>15</v>
      </c>
      <c r="E728" s="546">
        <v>6100404</v>
      </c>
      <c r="F728" s="546">
        <v>243</v>
      </c>
      <c r="G728" s="80">
        <f t="shared" si="261"/>
        <v>0</v>
      </c>
      <c r="H728" s="81"/>
      <c r="I728" s="81"/>
      <c r="J728" s="81"/>
      <c r="K728" s="81"/>
      <c r="L728" s="81"/>
      <c r="M728" s="81"/>
      <c r="N728" s="604"/>
      <c r="O728" s="944" t="s">
        <v>230</v>
      </c>
    </row>
    <row r="729" spans="1:61" ht="24.6" hidden="1" customHeight="1">
      <c r="A729" s="932"/>
      <c r="B729" s="546" t="s">
        <v>246</v>
      </c>
      <c r="C729" s="546"/>
      <c r="D729" s="546"/>
      <c r="E729" s="546"/>
      <c r="F729" s="546"/>
      <c r="G729" s="80">
        <f t="shared" si="261"/>
        <v>0</v>
      </c>
      <c r="H729" s="81"/>
      <c r="I729" s="81"/>
      <c r="J729" s="81"/>
      <c r="K729" s="81"/>
      <c r="L729" s="81"/>
      <c r="M729" s="81"/>
      <c r="N729" s="604"/>
      <c r="O729" s="944"/>
    </row>
    <row r="730" spans="1:61" ht="19.5" hidden="1" customHeight="1">
      <c r="A730" s="926" t="s">
        <v>109</v>
      </c>
      <c r="B730" s="546" t="s">
        <v>721</v>
      </c>
      <c r="C730" s="546">
        <v>176</v>
      </c>
      <c r="D730" s="546" t="s">
        <v>15</v>
      </c>
      <c r="E730" s="546">
        <v>6100404</v>
      </c>
      <c r="F730" s="546">
        <v>243</v>
      </c>
      <c r="G730" s="81">
        <f t="shared" si="261"/>
        <v>0</v>
      </c>
      <c r="H730" s="81"/>
      <c r="I730" s="81"/>
      <c r="J730" s="81"/>
      <c r="K730" s="81"/>
      <c r="L730" s="81"/>
      <c r="M730" s="81"/>
      <c r="N730" s="604"/>
      <c r="O730" s="944" t="s">
        <v>733</v>
      </c>
    </row>
    <row r="731" spans="1:61" ht="15.75" hidden="1" customHeight="1">
      <c r="A731" s="927"/>
      <c r="B731" s="546" t="s">
        <v>439</v>
      </c>
      <c r="C731" s="546"/>
      <c r="D731" s="546"/>
      <c r="E731" s="546"/>
      <c r="F731" s="546"/>
      <c r="G731" s="81">
        <f t="shared" si="261"/>
        <v>0</v>
      </c>
      <c r="H731" s="81"/>
      <c r="I731" s="81"/>
      <c r="J731" s="81"/>
      <c r="K731" s="81">
        <f>K732+K733</f>
        <v>0</v>
      </c>
      <c r="L731" s="81"/>
      <c r="M731" s="81"/>
      <c r="N731" s="604"/>
      <c r="O731" s="944"/>
    </row>
    <row r="732" spans="1:61" ht="21" hidden="1" customHeight="1">
      <c r="A732" s="927"/>
      <c r="B732" s="546" t="s">
        <v>247</v>
      </c>
      <c r="C732" s="546"/>
      <c r="D732" s="546"/>
      <c r="E732" s="546"/>
      <c r="F732" s="546"/>
      <c r="G732" s="81">
        <f t="shared" si="261"/>
        <v>0</v>
      </c>
      <c r="H732" s="81"/>
      <c r="I732" s="81"/>
      <c r="J732" s="81"/>
      <c r="K732" s="81"/>
      <c r="L732" s="81"/>
      <c r="M732" s="81"/>
      <c r="N732" s="604"/>
      <c r="O732" s="944"/>
    </row>
    <row r="733" spans="1:61" s="44" customFormat="1" ht="18" hidden="1" customHeight="1">
      <c r="A733" s="928"/>
      <c r="B733" s="546" t="s">
        <v>495</v>
      </c>
      <c r="C733" s="546"/>
      <c r="D733" s="546"/>
      <c r="E733" s="546"/>
      <c r="F733" s="546"/>
      <c r="G733" s="80">
        <f t="shared" si="261"/>
        <v>0</v>
      </c>
      <c r="H733" s="81"/>
      <c r="I733" s="81"/>
      <c r="J733" s="81"/>
      <c r="K733" s="81"/>
      <c r="L733" s="81"/>
      <c r="M733" s="81"/>
      <c r="N733" s="604"/>
      <c r="O733" s="944"/>
      <c r="AJ733" s="91"/>
      <c r="AK733" s="91"/>
      <c r="AL733" s="91"/>
      <c r="AM733" s="91"/>
      <c r="AN733" s="91"/>
      <c r="AO733" s="91"/>
      <c r="AP733" s="91"/>
      <c r="AQ733" s="91"/>
      <c r="AR733" s="91"/>
      <c r="AS733" s="91"/>
      <c r="AT733" s="91"/>
      <c r="AU733" s="91"/>
      <c r="AV733" s="91"/>
      <c r="AW733" s="91"/>
      <c r="AX733" s="91"/>
      <c r="AY733" s="91"/>
      <c r="AZ733" s="91"/>
      <c r="BA733" s="91"/>
      <c r="BB733" s="91"/>
      <c r="BC733" s="91"/>
      <c r="BD733" s="91"/>
      <c r="BE733" s="91"/>
      <c r="BF733" s="91"/>
      <c r="BG733" s="91"/>
      <c r="BH733" s="91"/>
      <c r="BI733" s="91"/>
    </row>
    <row r="734" spans="1:61" s="44" customFormat="1" ht="0.6" customHeight="1">
      <c r="A734" s="932" t="s">
        <v>225</v>
      </c>
      <c r="B734" s="546" t="s">
        <v>89</v>
      </c>
      <c r="C734" s="546"/>
      <c r="D734" s="546"/>
      <c r="E734" s="546"/>
      <c r="F734" s="546"/>
      <c r="G734" s="81"/>
      <c r="H734" s="81"/>
      <c r="I734" s="81"/>
      <c r="J734" s="81"/>
      <c r="K734" s="81"/>
      <c r="L734" s="81"/>
      <c r="M734" s="81"/>
      <c r="N734" s="604"/>
      <c r="O734" s="944" t="s">
        <v>226</v>
      </c>
      <c r="AJ734" s="91"/>
      <c r="AK734" s="91"/>
      <c r="AL734" s="91"/>
      <c r="AM734" s="91"/>
      <c r="AN734" s="91"/>
      <c r="AO734" s="91"/>
      <c r="AP734" s="91"/>
      <c r="AQ734" s="91"/>
      <c r="AR734" s="91"/>
      <c r="AS734" s="91"/>
      <c r="AT734" s="91"/>
      <c r="AU734" s="91"/>
      <c r="AV734" s="91"/>
      <c r="AW734" s="91"/>
      <c r="AX734" s="91"/>
      <c r="AY734" s="91"/>
      <c r="AZ734" s="91"/>
      <c r="BA734" s="91"/>
      <c r="BB734" s="91"/>
      <c r="BC734" s="91"/>
      <c r="BD734" s="91"/>
      <c r="BE734" s="91"/>
      <c r="BF734" s="91"/>
      <c r="BG734" s="91"/>
      <c r="BH734" s="91"/>
      <c r="BI734" s="91"/>
    </row>
    <row r="735" spans="1:61" ht="24.6" hidden="1" customHeight="1">
      <c r="A735" s="932"/>
      <c r="B735" s="546" t="s">
        <v>246</v>
      </c>
      <c r="C735" s="546"/>
      <c r="D735" s="546"/>
      <c r="E735" s="546"/>
      <c r="F735" s="546"/>
      <c r="G735" s="81"/>
      <c r="H735" s="81"/>
      <c r="I735" s="81"/>
      <c r="J735" s="81"/>
      <c r="K735" s="81"/>
      <c r="L735" s="81"/>
      <c r="M735" s="81"/>
      <c r="N735" s="604"/>
      <c r="O735" s="944"/>
    </row>
    <row r="736" spans="1:61" ht="23.45" hidden="1" customHeight="1">
      <c r="A736" s="887" t="s">
        <v>140</v>
      </c>
      <c r="B736" s="57" t="s">
        <v>89</v>
      </c>
      <c r="C736" s="57"/>
      <c r="D736" s="57"/>
      <c r="E736" s="57"/>
      <c r="F736" s="57"/>
      <c r="G736" s="80">
        <f t="shared" ref="G736:L737" si="262">G738+G740</f>
        <v>0</v>
      </c>
      <c r="H736" s="80"/>
      <c r="I736" s="80"/>
      <c r="J736" s="80"/>
      <c r="K736" s="80">
        <f>K738</f>
        <v>0</v>
      </c>
      <c r="L736" s="80">
        <f t="shared" si="262"/>
        <v>0</v>
      </c>
      <c r="M736" s="80"/>
      <c r="N736" s="604"/>
      <c r="O736" s="610"/>
    </row>
    <row r="737" spans="1:61" ht="24.6" hidden="1" customHeight="1">
      <c r="A737" s="889"/>
      <c r="B737" s="57" t="s">
        <v>246</v>
      </c>
      <c r="C737" s="57"/>
      <c r="D737" s="57"/>
      <c r="E737" s="57"/>
      <c r="F737" s="57"/>
      <c r="G737" s="80">
        <f t="shared" si="262"/>
        <v>0</v>
      </c>
      <c r="H737" s="80"/>
      <c r="I737" s="80"/>
      <c r="J737" s="80"/>
      <c r="K737" s="80">
        <f>K739</f>
        <v>0</v>
      </c>
      <c r="L737" s="80">
        <f t="shared" si="262"/>
        <v>0</v>
      </c>
      <c r="M737" s="80"/>
      <c r="N737" s="604"/>
      <c r="O737" s="610"/>
    </row>
    <row r="738" spans="1:61" ht="21" hidden="1" customHeight="1">
      <c r="A738" s="926" t="s">
        <v>109</v>
      </c>
      <c r="B738" s="546" t="s">
        <v>89</v>
      </c>
      <c r="C738" s="546">
        <v>176</v>
      </c>
      <c r="D738" s="546" t="s">
        <v>15</v>
      </c>
      <c r="E738" s="546">
        <v>6100404</v>
      </c>
      <c r="F738" s="546">
        <v>243</v>
      </c>
      <c r="G738" s="81"/>
      <c r="H738" s="81"/>
      <c r="I738" s="81"/>
      <c r="J738" s="81"/>
      <c r="K738" s="81"/>
      <c r="L738" s="81"/>
      <c r="M738" s="81"/>
      <c r="N738" s="604"/>
      <c r="O738" s="944" t="s">
        <v>730</v>
      </c>
    </row>
    <row r="739" spans="1:61" ht="24" hidden="1" customHeight="1">
      <c r="A739" s="928"/>
      <c r="B739" s="546" t="s">
        <v>246</v>
      </c>
      <c r="C739" s="546"/>
      <c r="D739" s="546"/>
      <c r="E739" s="546"/>
      <c r="F739" s="546"/>
      <c r="G739" s="81">
        <f>K739</f>
        <v>0</v>
      </c>
      <c r="H739" s="81"/>
      <c r="I739" s="81"/>
      <c r="J739" s="81"/>
      <c r="K739" s="81"/>
      <c r="L739" s="81"/>
      <c r="M739" s="81"/>
      <c r="N739" s="604"/>
      <c r="O739" s="944"/>
    </row>
    <row r="740" spans="1:61" ht="24.6" hidden="1" customHeight="1">
      <c r="A740" s="932" t="s">
        <v>167</v>
      </c>
      <c r="B740" s="546" t="s">
        <v>89</v>
      </c>
      <c r="C740" s="546">
        <v>176</v>
      </c>
      <c r="D740" s="546" t="s">
        <v>15</v>
      </c>
      <c r="E740" s="546">
        <v>6100404</v>
      </c>
      <c r="F740" s="546">
        <v>243</v>
      </c>
      <c r="G740" s="81">
        <v>0</v>
      </c>
      <c r="H740" s="81"/>
      <c r="I740" s="81"/>
      <c r="J740" s="81"/>
      <c r="K740" s="81"/>
      <c r="L740" s="81"/>
      <c r="M740" s="81"/>
      <c r="N740" s="604"/>
      <c r="O740" s="944" t="s">
        <v>231</v>
      </c>
    </row>
    <row r="741" spans="1:61" s="44" customFormat="1" ht="24.6" hidden="1" customHeight="1">
      <c r="A741" s="932"/>
      <c r="B741" s="546" t="s">
        <v>246</v>
      </c>
      <c r="C741" s="546"/>
      <c r="D741" s="546"/>
      <c r="E741" s="546"/>
      <c r="F741" s="546"/>
      <c r="G741" s="81"/>
      <c r="H741" s="81"/>
      <c r="I741" s="81"/>
      <c r="J741" s="81"/>
      <c r="K741" s="81"/>
      <c r="L741" s="81"/>
      <c r="M741" s="81"/>
      <c r="N741" s="604"/>
      <c r="O741" s="944"/>
      <c r="AJ741" s="91"/>
      <c r="AK741" s="91"/>
      <c r="AL741" s="91"/>
      <c r="AM741" s="91"/>
      <c r="AN741" s="91"/>
      <c r="AO741" s="91"/>
      <c r="AP741" s="91"/>
      <c r="AQ741" s="91"/>
      <c r="AR741" s="91"/>
      <c r="AS741" s="91"/>
      <c r="AT741" s="91"/>
      <c r="AU741" s="91"/>
      <c r="AV741" s="91"/>
      <c r="AW741" s="91"/>
      <c r="AX741" s="91"/>
      <c r="AY741" s="91"/>
      <c r="AZ741" s="91"/>
      <c r="BA741" s="91"/>
      <c r="BB741" s="91"/>
      <c r="BC741" s="91"/>
      <c r="BD741" s="91"/>
      <c r="BE741" s="91"/>
      <c r="BF741" s="91"/>
      <c r="BG741" s="91"/>
      <c r="BH741" s="91"/>
      <c r="BI741" s="91"/>
    </row>
    <row r="742" spans="1:61" s="44" customFormat="1" ht="0.6" hidden="1" customHeight="1">
      <c r="A742" s="545" t="s">
        <v>115</v>
      </c>
      <c r="B742" s="546" t="s">
        <v>89</v>
      </c>
      <c r="C742" s="546">
        <v>176</v>
      </c>
      <c r="D742" s="546" t="s">
        <v>15</v>
      </c>
      <c r="E742" s="546">
        <v>6100404</v>
      </c>
      <c r="F742" s="546">
        <v>243</v>
      </c>
      <c r="G742" s="81"/>
      <c r="H742" s="81"/>
      <c r="I742" s="81"/>
      <c r="J742" s="81"/>
      <c r="K742" s="81"/>
      <c r="L742" s="81"/>
      <c r="M742" s="81"/>
      <c r="N742" s="604"/>
      <c r="O742" s="604" t="s">
        <v>35</v>
      </c>
      <c r="AJ742" s="91"/>
      <c r="AK742" s="91"/>
      <c r="AL742" s="91"/>
      <c r="AM742" s="91"/>
      <c r="AN742" s="91"/>
      <c r="AO742" s="91"/>
      <c r="AP742" s="91"/>
      <c r="AQ742" s="91"/>
      <c r="AR742" s="91"/>
      <c r="AS742" s="91"/>
      <c r="AT742" s="91"/>
      <c r="AU742" s="91"/>
      <c r="AV742" s="91"/>
      <c r="AW742" s="91"/>
      <c r="AX742" s="91"/>
      <c r="AY742" s="91"/>
      <c r="AZ742" s="91"/>
      <c r="BA742" s="91"/>
      <c r="BB742" s="91"/>
      <c r="BC742" s="91"/>
      <c r="BD742" s="91"/>
      <c r="BE742" s="91"/>
      <c r="BF742" s="91"/>
      <c r="BG742" s="91"/>
      <c r="BH742" s="91"/>
      <c r="BI742" s="91"/>
    </row>
    <row r="743" spans="1:61" ht="24.6" hidden="1" customHeight="1">
      <c r="A743" s="545"/>
      <c r="B743" s="546" t="s">
        <v>246</v>
      </c>
      <c r="C743" s="546"/>
      <c r="D743" s="546"/>
      <c r="E743" s="546"/>
      <c r="F743" s="546"/>
      <c r="G743" s="81"/>
      <c r="H743" s="81"/>
      <c r="I743" s="81"/>
      <c r="J743" s="81"/>
      <c r="K743" s="81"/>
      <c r="L743" s="81"/>
      <c r="M743" s="81"/>
      <c r="N743" s="604"/>
      <c r="O743" s="604"/>
    </row>
    <row r="744" spans="1:61" ht="24.95" customHeight="1">
      <c r="A744" s="945" t="s">
        <v>141</v>
      </c>
      <c r="B744" s="57" t="s">
        <v>721</v>
      </c>
      <c r="C744" s="57"/>
      <c r="D744" s="57"/>
      <c r="E744" s="57"/>
      <c r="F744" s="57"/>
      <c r="G744" s="80">
        <f>K744</f>
        <v>1</v>
      </c>
      <c r="H744" s="80">
        <f t="shared" ref="H744:M745" si="263">H746+H748+H752</f>
        <v>0</v>
      </c>
      <c r="I744" s="80">
        <f t="shared" si="263"/>
        <v>0</v>
      </c>
      <c r="J744" s="80">
        <f t="shared" si="263"/>
        <v>0</v>
      </c>
      <c r="K744" s="80">
        <f t="shared" si="263"/>
        <v>1</v>
      </c>
      <c r="L744" s="80">
        <f t="shared" si="263"/>
        <v>1</v>
      </c>
      <c r="M744" s="80">
        <f t="shared" si="263"/>
        <v>1</v>
      </c>
      <c r="N744" s="604"/>
      <c r="O744" s="610"/>
    </row>
    <row r="745" spans="1:61" ht="24.6" customHeight="1">
      <c r="A745" s="945"/>
      <c r="B745" s="57" t="s">
        <v>246</v>
      </c>
      <c r="C745" s="57"/>
      <c r="D745" s="57"/>
      <c r="E745" s="57"/>
      <c r="F745" s="57"/>
      <c r="G745" s="80">
        <f t="shared" ref="G745:G749" si="264">K745</f>
        <v>50449.2</v>
      </c>
      <c r="H745" s="80">
        <f t="shared" si="263"/>
        <v>0</v>
      </c>
      <c r="I745" s="80">
        <f t="shared" si="263"/>
        <v>0</v>
      </c>
      <c r="J745" s="80">
        <f t="shared" si="263"/>
        <v>0</v>
      </c>
      <c r="K745" s="80">
        <f t="shared" si="263"/>
        <v>50449.2</v>
      </c>
      <c r="L745" s="80">
        <f t="shared" si="263"/>
        <v>108000</v>
      </c>
      <c r="M745" s="80">
        <f t="shared" si="263"/>
        <v>40000</v>
      </c>
      <c r="N745" s="604"/>
      <c r="O745" s="610"/>
    </row>
    <row r="746" spans="1:61" ht="23.25" hidden="1" customHeight="1">
      <c r="A746" s="932" t="s">
        <v>1088</v>
      </c>
      <c r="B746" s="792" t="s">
        <v>721</v>
      </c>
      <c r="C746" s="546">
        <v>176</v>
      </c>
      <c r="D746" s="546" t="s">
        <v>15</v>
      </c>
      <c r="E746" s="546">
        <v>6100404</v>
      </c>
      <c r="F746" s="546">
        <v>243</v>
      </c>
      <c r="G746" s="80">
        <f t="shared" si="264"/>
        <v>0</v>
      </c>
      <c r="H746" s="81"/>
      <c r="I746" s="81"/>
      <c r="J746" s="81"/>
      <c r="K746" s="81"/>
      <c r="L746" s="81"/>
      <c r="M746" s="81"/>
      <c r="N746" s="604"/>
      <c r="O746" s="944" t="s">
        <v>1089</v>
      </c>
    </row>
    <row r="747" spans="1:61" ht="26.25" hidden="1" customHeight="1">
      <c r="A747" s="932"/>
      <c r="B747" s="546" t="s">
        <v>246</v>
      </c>
      <c r="C747" s="546"/>
      <c r="D747" s="546"/>
      <c r="E747" s="546"/>
      <c r="F747" s="546"/>
      <c r="G747" s="80">
        <f t="shared" si="264"/>
        <v>0</v>
      </c>
      <c r="H747" s="81"/>
      <c r="I747" s="81"/>
      <c r="J747" s="81"/>
      <c r="K747" s="81"/>
      <c r="L747" s="81"/>
      <c r="M747" s="81"/>
      <c r="N747" s="604"/>
      <c r="O747" s="944"/>
    </row>
    <row r="748" spans="1:61" ht="23.25" customHeight="1">
      <c r="A748" s="932" t="s">
        <v>166</v>
      </c>
      <c r="B748" s="546" t="s">
        <v>721</v>
      </c>
      <c r="C748" s="546">
        <v>176</v>
      </c>
      <c r="D748" s="546" t="s">
        <v>15</v>
      </c>
      <c r="E748" s="546">
        <v>6100404</v>
      </c>
      <c r="F748" s="546">
        <v>243</v>
      </c>
      <c r="G748" s="81">
        <f t="shared" si="264"/>
        <v>1</v>
      </c>
      <c r="H748" s="81"/>
      <c r="I748" s="81"/>
      <c r="J748" s="81"/>
      <c r="K748" s="81">
        <v>1</v>
      </c>
      <c r="L748" s="81">
        <v>1</v>
      </c>
      <c r="M748" s="81">
        <v>1</v>
      </c>
      <c r="N748" s="604"/>
      <c r="O748" s="944" t="s">
        <v>1122</v>
      </c>
    </row>
    <row r="749" spans="1:61" ht="22.5" customHeight="1">
      <c r="A749" s="932"/>
      <c r="B749" s="546" t="s">
        <v>246</v>
      </c>
      <c r="C749" s="546"/>
      <c r="D749" s="546"/>
      <c r="E749" s="546"/>
      <c r="F749" s="546"/>
      <c r="G749" s="81">
        <f t="shared" si="264"/>
        <v>50449.2</v>
      </c>
      <c r="H749" s="81"/>
      <c r="I749" s="81"/>
      <c r="J749" s="81"/>
      <c r="K749" s="81">
        <v>50449.2</v>
      </c>
      <c r="L749" s="81">
        <f>113000-5000</f>
        <v>108000</v>
      </c>
      <c r="M749" s="81">
        <v>40000</v>
      </c>
      <c r="N749" s="604"/>
      <c r="O749" s="944"/>
    </row>
    <row r="750" spans="1:61" ht="34.5" hidden="1" customHeight="1">
      <c r="A750" s="545" t="s">
        <v>165</v>
      </c>
      <c r="B750" s="546" t="s">
        <v>89</v>
      </c>
      <c r="C750" s="546">
        <v>176</v>
      </c>
      <c r="D750" s="546" t="s">
        <v>15</v>
      </c>
      <c r="E750" s="546">
        <v>6100404</v>
      </c>
      <c r="F750" s="546">
        <v>243</v>
      </c>
      <c r="G750" s="81"/>
      <c r="H750" s="81"/>
      <c r="I750" s="81"/>
      <c r="J750" s="81"/>
      <c r="K750" s="81"/>
      <c r="L750" s="81"/>
      <c r="M750" s="81"/>
      <c r="N750" s="604"/>
      <c r="O750" s="604" t="s">
        <v>35</v>
      </c>
    </row>
    <row r="751" spans="1:61" s="44" customFormat="1" ht="34.5" hidden="1" customHeight="1">
      <c r="A751" s="545"/>
      <c r="B751" s="546" t="s">
        <v>246</v>
      </c>
      <c r="C751" s="546"/>
      <c r="D751" s="546"/>
      <c r="E751" s="546"/>
      <c r="F751" s="546"/>
      <c r="G751" s="81"/>
      <c r="H751" s="81"/>
      <c r="I751" s="81"/>
      <c r="J751" s="81"/>
      <c r="K751" s="81"/>
      <c r="L751" s="81"/>
      <c r="M751" s="81"/>
      <c r="N751" s="604"/>
      <c r="O751" s="604"/>
      <c r="AJ751" s="91"/>
      <c r="AK751" s="91"/>
      <c r="AL751" s="91"/>
      <c r="AM751" s="91"/>
      <c r="AN751" s="91"/>
      <c r="AO751" s="91"/>
      <c r="AP751" s="91"/>
      <c r="AQ751" s="91"/>
      <c r="AR751" s="91"/>
      <c r="AS751" s="91"/>
      <c r="AT751" s="91"/>
      <c r="AU751" s="91"/>
      <c r="AV751" s="91"/>
      <c r="AW751" s="91"/>
      <c r="AX751" s="91"/>
      <c r="AY751" s="91"/>
      <c r="AZ751" s="91"/>
      <c r="BA751" s="91"/>
      <c r="BB751" s="91"/>
      <c r="BC751" s="91"/>
      <c r="BD751" s="91"/>
      <c r="BE751" s="91"/>
      <c r="BF751" s="91"/>
      <c r="BG751" s="91"/>
      <c r="BH751" s="91"/>
      <c r="BI751" s="91"/>
    </row>
    <row r="752" spans="1:61" s="44" customFormat="1" ht="34.5" hidden="1" customHeight="1">
      <c r="A752" s="932" t="s">
        <v>164</v>
      </c>
      <c r="B752" s="546" t="s">
        <v>89</v>
      </c>
      <c r="C752" s="546">
        <v>176</v>
      </c>
      <c r="D752" s="546" t="s">
        <v>15</v>
      </c>
      <c r="E752" s="546">
        <v>6100404</v>
      </c>
      <c r="F752" s="546">
        <v>243</v>
      </c>
      <c r="G752" s="81">
        <f>K752</f>
        <v>0</v>
      </c>
      <c r="H752" s="81"/>
      <c r="I752" s="81"/>
      <c r="J752" s="81"/>
      <c r="K752" s="81"/>
      <c r="L752" s="81"/>
      <c r="M752" s="81"/>
      <c r="N752" s="604"/>
      <c r="O752" s="944" t="s">
        <v>226</v>
      </c>
      <c r="AJ752" s="91"/>
      <c r="AK752" s="91"/>
      <c r="AL752" s="91"/>
      <c r="AM752" s="91"/>
      <c r="AN752" s="91"/>
      <c r="AO752" s="91"/>
      <c r="AP752" s="91"/>
      <c r="AQ752" s="91"/>
      <c r="AR752" s="91"/>
      <c r="AS752" s="91"/>
      <c r="AT752" s="91"/>
      <c r="AU752" s="91"/>
      <c r="AV752" s="91"/>
      <c r="AW752" s="91"/>
      <c r="AX752" s="91"/>
      <c r="AY752" s="91"/>
      <c r="AZ752" s="91"/>
      <c r="BA752" s="91"/>
      <c r="BB752" s="91"/>
      <c r="BC752" s="91"/>
      <c r="BD752" s="91"/>
      <c r="BE752" s="91"/>
      <c r="BF752" s="91"/>
      <c r="BG752" s="91"/>
      <c r="BH752" s="91"/>
      <c r="BI752" s="91"/>
    </row>
    <row r="753" spans="1:61" ht="34.5" hidden="1" customHeight="1">
      <c r="A753" s="932"/>
      <c r="B753" s="546" t="s">
        <v>246</v>
      </c>
      <c r="C753" s="546"/>
      <c r="D753" s="546"/>
      <c r="E753" s="546"/>
      <c r="F753" s="546"/>
      <c r="G753" s="81">
        <f>K753</f>
        <v>0</v>
      </c>
      <c r="H753" s="81"/>
      <c r="I753" s="81"/>
      <c r="J753" s="81"/>
      <c r="K753" s="81"/>
      <c r="L753" s="81"/>
      <c r="M753" s="81"/>
      <c r="N753" s="604"/>
      <c r="O753" s="944"/>
    </row>
    <row r="754" spans="1:61" ht="24.6" hidden="1" customHeight="1">
      <c r="A754" s="945" t="s">
        <v>107</v>
      </c>
      <c r="B754" s="57" t="s">
        <v>89</v>
      </c>
      <c r="C754" s="57"/>
      <c r="D754" s="57"/>
      <c r="E754" s="57"/>
      <c r="F754" s="57"/>
      <c r="G754" s="80">
        <f t="shared" ref="G754:L755" si="265">G756+G758</f>
        <v>0</v>
      </c>
      <c r="H754" s="80">
        <f t="shared" si="265"/>
        <v>0</v>
      </c>
      <c r="I754" s="80">
        <f t="shared" si="265"/>
        <v>0</v>
      </c>
      <c r="J754" s="80">
        <f t="shared" si="265"/>
        <v>0</v>
      </c>
      <c r="K754" s="80"/>
      <c r="L754" s="80">
        <f t="shared" si="265"/>
        <v>0</v>
      </c>
      <c r="M754" s="80">
        <f>M756</f>
        <v>0</v>
      </c>
      <c r="N754" s="604"/>
      <c r="O754" s="610"/>
    </row>
    <row r="755" spans="1:61" ht="24.6" hidden="1" customHeight="1">
      <c r="A755" s="945"/>
      <c r="B755" s="57" t="s">
        <v>246</v>
      </c>
      <c r="C755" s="57"/>
      <c r="D755" s="57"/>
      <c r="E755" s="57"/>
      <c r="F755" s="57"/>
      <c r="G755" s="80">
        <f t="shared" si="265"/>
        <v>0</v>
      </c>
      <c r="H755" s="80">
        <f t="shared" si="265"/>
        <v>0</v>
      </c>
      <c r="I755" s="80">
        <f t="shared" si="265"/>
        <v>0</v>
      </c>
      <c r="J755" s="80">
        <f t="shared" si="265"/>
        <v>0</v>
      </c>
      <c r="K755" s="80"/>
      <c r="L755" s="80">
        <f t="shared" si="265"/>
        <v>0</v>
      </c>
      <c r="M755" s="80">
        <f>M757</f>
        <v>0</v>
      </c>
      <c r="N755" s="604"/>
      <c r="O755" s="610"/>
    </row>
    <row r="756" spans="1:61" ht="29.45" hidden="1" customHeight="1">
      <c r="A756" s="932" t="s">
        <v>527</v>
      </c>
      <c r="B756" s="546" t="s">
        <v>89</v>
      </c>
      <c r="C756" s="546">
        <v>176</v>
      </c>
      <c r="D756" s="546" t="s">
        <v>15</v>
      </c>
      <c r="E756" s="546">
        <v>6100404</v>
      </c>
      <c r="F756" s="546">
        <v>243</v>
      </c>
      <c r="G756" s="81">
        <f>J756</f>
        <v>0</v>
      </c>
      <c r="H756" s="81"/>
      <c r="I756" s="81"/>
      <c r="J756" s="81"/>
      <c r="K756" s="81"/>
      <c r="L756" s="81"/>
      <c r="M756" s="81"/>
      <c r="N756" s="604"/>
      <c r="O756" s="944" t="s">
        <v>325</v>
      </c>
    </row>
    <row r="757" spans="1:61" s="44" customFormat="1" ht="28.5" hidden="1" customHeight="1">
      <c r="A757" s="932"/>
      <c r="B757" s="546" t="s">
        <v>246</v>
      </c>
      <c r="C757" s="546"/>
      <c r="D757" s="546"/>
      <c r="E757" s="546"/>
      <c r="F757" s="546"/>
      <c r="G757" s="81">
        <f>J757</f>
        <v>0</v>
      </c>
      <c r="H757" s="81"/>
      <c r="I757" s="81"/>
      <c r="J757" s="81"/>
      <c r="K757" s="81"/>
      <c r="L757" s="81"/>
      <c r="M757" s="81"/>
      <c r="N757" s="604"/>
      <c r="O757" s="944"/>
      <c r="AJ757" s="91"/>
      <c r="AK757" s="91"/>
      <c r="AL757" s="91"/>
      <c r="AM757" s="91"/>
      <c r="AN757" s="91"/>
      <c r="AO757" s="91"/>
      <c r="AP757" s="91"/>
      <c r="AQ757" s="91"/>
      <c r="AR757" s="91"/>
      <c r="AS757" s="91"/>
      <c r="AT757" s="91"/>
      <c r="AU757" s="91"/>
      <c r="AV757" s="91"/>
      <c r="AW757" s="91"/>
      <c r="AX757" s="91"/>
      <c r="AY757" s="91"/>
      <c r="AZ757" s="91"/>
      <c r="BA757" s="91"/>
      <c r="BB757" s="91"/>
      <c r="BC757" s="91"/>
      <c r="BD757" s="91"/>
      <c r="BE757" s="91"/>
      <c r="BF757" s="91"/>
      <c r="BG757" s="91"/>
      <c r="BH757" s="91"/>
      <c r="BI757" s="91"/>
    </row>
    <row r="758" spans="1:61" s="44" customFormat="1" ht="24.6" hidden="1" customHeight="1">
      <c r="A758" s="932" t="s">
        <v>109</v>
      </c>
      <c r="B758" s="546" t="s">
        <v>89</v>
      </c>
      <c r="C758" s="546">
        <v>176</v>
      </c>
      <c r="D758" s="546" t="s">
        <v>15</v>
      </c>
      <c r="E758" s="546">
        <v>6100404</v>
      </c>
      <c r="F758" s="546">
        <v>243</v>
      </c>
      <c r="G758" s="81"/>
      <c r="H758" s="81"/>
      <c r="I758" s="81"/>
      <c r="J758" s="81"/>
      <c r="K758" s="81"/>
      <c r="L758" s="81"/>
      <c r="M758" s="81"/>
      <c r="N758" s="604"/>
      <c r="O758" s="944" t="s">
        <v>291</v>
      </c>
      <c r="AJ758" s="91"/>
      <c r="AK758" s="91"/>
      <c r="AL758" s="91"/>
      <c r="AM758" s="91"/>
      <c r="AN758" s="91"/>
      <c r="AO758" s="91"/>
      <c r="AP758" s="91"/>
      <c r="AQ758" s="91"/>
      <c r="AR758" s="91"/>
      <c r="AS758" s="91"/>
      <c r="AT758" s="91"/>
      <c r="AU758" s="91"/>
      <c r="AV758" s="91"/>
      <c r="AW758" s="91"/>
      <c r="AX758" s="91"/>
      <c r="AY758" s="91"/>
      <c r="AZ758" s="91"/>
      <c r="BA758" s="91"/>
      <c r="BB758" s="91"/>
      <c r="BC758" s="91"/>
      <c r="BD758" s="91"/>
      <c r="BE758" s="91"/>
      <c r="BF758" s="91"/>
      <c r="BG758" s="91"/>
      <c r="BH758" s="91"/>
      <c r="BI758" s="91"/>
    </row>
    <row r="759" spans="1:61" ht="24.6" hidden="1" customHeight="1">
      <c r="A759" s="932"/>
      <c r="B759" s="546" t="s">
        <v>246</v>
      </c>
      <c r="C759" s="546"/>
      <c r="D759" s="546"/>
      <c r="E759" s="546"/>
      <c r="F759" s="546"/>
      <c r="G759" s="81"/>
      <c r="H759" s="81"/>
      <c r="I759" s="81"/>
      <c r="J759" s="81"/>
      <c r="K759" s="81"/>
      <c r="L759" s="81"/>
      <c r="M759" s="81"/>
      <c r="N759" s="604"/>
      <c r="O759" s="944"/>
    </row>
    <row r="760" spans="1:61" ht="24.95" hidden="1" customHeight="1">
      <c r="A760" s="945" t="s">
        <v>142</v>
      </c>
      <c r="B760" s="57" t="s">
        <v>89</v>
      </c>
      <c r="C760" s="57"/>
      <c r="D760" s="57"/>
      <c r="E760" s="57"/>
      <c r="F760" s="57"/>
      <c r="G760" s="80"/>
      <c r="H760" s="80">
        <f t="shared" ref="G760:M761" si="266">H762+H764</f>
        <v>0</v>
      </c>
      <c r="I760" s="80">
        <f t="shared" si="266"/>
        <v>0</v>
      </c>
      <c r="J760" s="80">
        <f t="shared" si="266"/>
        <v>0</v>
      </c>
      <c r="K760" s="80">
        <f t="shared" si="266"/>
        <v>0</v>
      </c>
      <c r="L760" s="80">
        <f t="shared" si="266"/>
        <v>0</v>
      </c>
      <c r="M760" s="80">
        <f t="shared" si="266"/>
        <v>0</v>
      </c>
      <c r="N760" s="604"/>
      <c r="O760" s="610"/>
    </row>
    <row r="761" spans="1:61" ht="24.95" hidden="1" customHeight="1">
      <c r="A761" s="945"/>
      <c r="B761" s="57" t="s">
        <v>246</v>
      </c>
      <c r="C761" s="57"/>
      <c r="D761" s="57"/>
      <c r="E761" s="57"/>
      <c r="F761" s="57"/>
      <c r="G761" s="80">
        <f t="shared" si="266"/>
        <v>0</v>
      </c>
      <c r="H761" s="80">
        <f t="shared" si="266"/>
        <v>0</v>
      </c>
      <c r="I761" s="80">
        <f t="shared" si="266"/>
        <v>0</v>
      </c>
      <c r="J761" s="80">
        <f t="shared" si="266"/>
        <v>0</v>
      </c>
      <c r="K761" s="80">
        <f t="shared" si="266"/>
        <v>0</v>
      </c>
      <c r="L761" s="80">
        <f t="shared" si="266"/>
        <v>0</v>
      </c>
      <c r="M761" s="80">
        <f t="shared" si="266"/>
        <v>0</v>
      </c>
      <c r="N761" s="604"/>
      <c r="O761" s="610"/>
    </row>
    <row r="762" spans="1:61" ht="24.95" hidden="1" customHeight="1">
      <c r="A762" s="932" t="s">
        <v>315</v>
      </c>
      <c r="B762" s="546" t="s">
        <v>89</v>
      </c>
      <c r="C762" s="546">
        <v>176</v>
      </c>
      <c r="D762" s="546" t="s">
        <v>15</v>
      </c>
      <c r="E762" s="546">
        <v>6100404</v>
      </c>
      <c r="F762" s="546">
        <v>243</v>
      </c>
      <c r="G762" s="81"/>
      <c r="H762" s="81"/>
      <c r="I762" s="81"/>
      <c r="J762" s="81"/>
      <c r="K762" s="81"/>
      <c r="L762" s="81"/>
      <c r="M762" s="81"/>
      <c r="N762" s="604"/>
      <c r="O762" s="944" t="s">
        <v>230</v>
      </c>
    </row>
    <row r="763" spans="1:61" ht="24" hidden="1" customHeight="1">
      <c r="A763" s="932"/>
      <c r="B763" s="546" t="s">
        <v>246</v>
      </c>
      <c r="C763" s="546"/>
      <c r="D763" s="546"/>
      <c r="E763" s="546"/>
      <c r="F763" s="546"/>
      <c r="G763" s="81"/>
      <c r="H763" s="81"/>
      <c r="I763" s="81"/>
      <c r="J763" s="81"/>
      <c r="K763" s="81"/>
      <c r="L763" s="81"/>
      <c r="M763" s="81"/>
      <c r="N763" s="604"/>
      <c r="O763" s="944"/>
    </row>
    <row r="764" spans="1:61" ht="24.6" hidden="1" customHeight="1">
      <c r="A764" s="932" t="s">
        <v>109</v>
      </c>
      <c r="B764" s="546" t="s">
        <v>89</v>
      </c>
      <c r="C764" s="546">
        <v>176</v>
      </c>
      <c r="D764" s="546" t="s">
        <v>15</v>
      </c>
      <c r="E764" s="546">
        <v>6100404</v>
      </c>
      <c r="F764" s="546">
        <v>243</v>
      </c>
      <c r="G764" s="81"/>
      <c r="H764" s="81"/>
      <c r="I764" s="81"/>
      <c r="J764" s="81"/>
      <c r="K764" s="81"/>
      <c r="L764" s="81"/>
      <c r="M764" s="81"/>
      <c r="N764" s="604"/>
      <c r="O764" s="944" t="s">
        <v>291</v>
      </c>
    </row>
    <row r="765" spans="1:61" ht="24.6" hidden="1" customHeight="1">
      <c r="A765" s="932"/>
      <c r="B765" s="546" t="s">
        <v>246</v>
      </c>
      <c r="C765" s="546"/>
      <c r="D765" s="546"/>
      <c r="E765" s="546"/>
      <c r="F765" s="546"/>
      <c r="G765" s="81">
        <f>K765</f>
        <v>0</v>
      </c>
      <c r="H765" s="81"/>
      <c r="I765" s="81"/>
      <c r="J765" s="81"/>
      <c r="K765" s="81"/>
      <c r="L765" s="81"/>
      <c r="M765" s="81"/>
      <c r="N765" s="604"/>
      <c r="O765" s="944"/>
    </row>
    <row r="766" spans="1:61" ht="60" hidden="1" customHeight="1">
      <c r="A766" s="73" t="s">
        <v>32</v>
      </c>
      <c r="B766" s="546" t="s">
        <v>246</v>
      </c>
      <c r="C766" s="546">
        <v>176</v>
      </c>
      <c r="D766" s="546" t="s">
        <v>15</v>
      </c>
      <c r="E766" s="546">
        <v>6100404</v>
      </c>
      <c r="F766" s="546">
        <v>243</v>
      </c>
      <c r="G766" s="80">
        <f>K766</f>
        <v>0</v>
      </c>
      <c r="H766" s="81"/>
      <c r="I766" s="81"/>
      <c r="J766" s="81"/>
      <c r="K766" s="81"/>
      <c r="L766" s="80"/>
      <c r="M766" s="80"/>
      <c r="N766" s="604"/>
      <c r="O766" s="576" t="s">
        <v>471</v>
      </c>
    </row>
    <row r="767" spans="1:61" ht="40.15" hidden="1" customHeight="1">
      <c r="A767" s="545" t="s">
        <v>206</v>
      </c>
      <c r="B767" s="546" t="s">
        <v>246</v>
      </c>
      <c r="C767" s="546"/>
      <c r="D767" s="546"/>
      <c r="E767" s="546"/>
      <c r="F767" s="546"/>
      <c r="G767" s="80"/>
      <c r="H767" s="81"/>
      <c r="I767" s="81"/>
      <c r="J767" s="81"/>
      <c r="K767" s="81"/>
      <c r="L767" s="81"/>
      <c r="M767" s="81"/>
      <c r="N767" s="604"/>
      <c r="O767" s="604" t="s">
        <v>442</v>
      </c>
    </row>
    <row r="768" spans="1:61" ht="26.25" customHeight="1">
      <c r="A768" s="1011" t="s">
        <v>956</v>
      </c>
      <c r="B768" s="656" t="s">
        <v>235</v>
      </c>
      <c r="C768" s="656"/>
      <c r="D768" s="656"/>
      <c r="E768" s="656"/>
      <c r="F768" s="656"/>
      <c r="G768" s="80">
        <f>G769</f>
        <v>3846.5</v>
      </c>
      <c r="H768" s="80">
        <f>H769</f>
        <v>3846.5</v>
      </c>
      <c r="I768" s="80"/>
      <c r="J768" s="80"/>
      <c r="K768" s="80"/>
      <c r="L768" s="80"/>
      <c r="M768" s="80"/>
      <c r="N768" s="1014"/>
      <c r="O768" s="933" t="s">
        <v>898</v>
      </c>
    </row>
    <row r="769" spans="1:61" ht="18.75" customHeight="1">
      <c r="A769" s="1012"/>
      <c r="B769" s="656" t="s">
        <v>10</v>
      </c>
      <c r="C769" s="656"/>
      <c r="D769" s="656"/>
      <c r="E769" s="656"/>
      <c r="F769" s="656"/>
      <c r="G769" s="80">
        <f>H769</f>
        <v>3846.5</v>
      </c>
      <c r="H769" s="80">
        <v>3846.5</v>
      </c>
      <c r="I769" s="80"/>
      <c r="J769" s="80"/>
      <c r="K769" s="80"/>
      <c r="L769" s="80"/>
      <c r="M769" s="80"/>
      <c r="N769" s="1015"/>
      <c r="O769" s="946"/>
    </row>
    <row r="770" spans="1:61" ht="18.75" customHeight="1">
      <c r="A770" s="1013"/>
      <c r="B770" s="656" t="s">
        <v>436</v>
      </c>
      <c r="C770" s="656"/>
      <c r="D770" s="656"/>
      <c r="E770" s="656"/>
      <c r="F770" s="656"/>
      <c r="G770" s="80"/>
      <c r="H770" s="80"/>
      <c r="I770" s="80"/>
      <c r="J770" s="80"/>
      <c r="K770" s="80"/>
      <c r="L770" s="80"/>
      <c r="M770" s="80"/>
      <c r="N770" s="1016"/>
      <c r="O770" s="934"/>
    </row>
    <row r="771" spans="1:61" ht="24.95" customHeight="1">
      <c r="A771" s="945" t="s">
        <v>786</v>
      </c>
      <c r="B771" s="57" t="s">
        <v>89</v>
      </c>
      <c r="C771" s="57"/>
      <c r="D771" s="57"/>
      <c r="E771" s="57"/>
      <c r="F771" s="57"/>
      <c r="G771" s="80">
        <f>K771</f>
        <v>89.4</v>
      </c>
      <c r="H771" s="80">
        <f t="shared" ref="H771:J771" si="267">H778+H786+H796+H806+H818+H830+H846+H858+H864+H876+H892+H909+H923+H937+H955+H962+H970+H984+H1002+H1042+H1056+H1068+H1074+H1086+H1102+H1108+H1116+H1128+H1136+H1144</f>
        <v>0</v>
      </c>
      <c r="I771" s="80">
        <f t="shared" si="267"/>
        <v>0</v>
      </c>
      <c r="J771" s="80">
        <f t="shared" si="267"/>
        <v>0</v>
      </c>
      <c r="K771" s="80">
        <f>K778+K786+K796+K806+K818+K830+K846+K858+K864+K876+K892+K909+K923+K937+K955+K962+K970+K984+K1002+K1042+K1056+K1068+K1074+K1086+K1102+K1108+K1116+K1128+K1136+K1144</f>
        <v>89.4</v>
      </c>
      <c r="L771" s="80">
        <f>L778+L786+L796+L806+L818+L830+L846+L858+L864+L876+L892+L909+L923+L937+L955+L962+L970+L984+L1002+L1042+L1056+L1068+L1074+L1086+L1102+L1108+L1116+L1128+L1136+L1144</f>
        <v>230.20000000000002</v>
      </c>
      <c r="M771" s="80">
        <f>M778+M786+M796+M806+M818+M830+M846+M858+M864+M876+M892+M909+M923+M937+M955+M962+M970+M984+M1002+M1042+M1056+M1068+M1074+M1086+M1102+M1108+M1116+M1128+M1136+M1144</f>
        <v>147.9</v>
      </c>
      <c r="N771" s="944" t="s">
        <v>26</v>
      </c>
      <c r="O771" s="944" t="s">
        <v>1118</v>
      </c>
    </row>
    <row r="772" spans="1:61" ht="24.95" customHeight="1">
      <c r="A772" s="945"/>
      <c r="B772" s="57" t="s">
        <v>24</v>
      </c>
      <c r="C772" s="57"/>
      <c r="D772" s="57"/>
      <c r="E772" s="57"/>
      <c r="F772" s="57"/>
      <c r="G772" s="638">
        <f>G773/G771</f>
        <v>12344.003355704699</v>
      </c>
      <c r="H772" s="636"/>
      <c r="I772" s="636"/>
      <c r="J772" s="636"/>
      <c r="K772" s="636"/>
      <c r="L772" s="638">
        <f>L773/L771</f>
        <v>12504.904430929626</v>
      </c>
      <c r="M772" s="638">
        <f>M773/M771</f>
        <v>14509.043272481405</v>
      </c>
      <c r="N772" s="944"/>
      <c r="O772" s="944"/>
    </row>
    <row r="773" spans="1:61" ht="24.95" customHeight="1">
      <c r="A773" s="945"/>
      <c r="B773" s="57" t="s">
        <v>25</v>
      </c>
      <c r="C773" s="57">
        <v>176</v>
      </c>
      <c r="D773" s="57" t="s">
        <v>15</v>
      </c>
      <c r="E773" s="57">
        <v>6100404</v>
      </c>
      <c r="F773" s="57">
        <v>244</v>
      </c>
      <c r="G773" s="80">
        <f>G774+G775+G776+G777</f>
        <v>1103553.9000000001</v>
      </c>
      <c r="H773" s="80">
        <f t="shared" ref="H773:M773" si="268">H774+H775+H776+H777</f>
        <v>0</v>
      </c>
      <c r="I773" s="80">
        <f t="shared" si="268"/>
        <v>0</v>
      </c>
      <c r="J773" s="80">
        <f t="shared" si="268"/>
        <v>0</v>
      </c>
      <c r="K773" s="80">
        <f t="shared" si="268"/>
        <v>1103553.9000000001</v>
      </c>
      <c r="L773" s="80">
        <f>L774+L775</f>
        <v>2878629</v>
      </c>
      <c r="M773" s="80">
        <f t="shared" si="268"/>
        <v>2145887.5</v>
      </c>
      <c r="N773" s="944"/>
      <c r="O773" s="944"/>
    </row>
    <row r="774" spans="1:61" ht="24.95" customHeight="1">
      <c r="A774" s="945"/>
      <c r="B774" s="57" t="s">
        <v>10</v>
      </c>
      <c r="C774" s="57">
        <v>176</v>
      </c>
      <c r="D774" s="57" t="s">
        <v>15</v>
      </c>
      <c r="E774" s="57">
        <v>6100404</v>
      </c>
      <c r="F774" s="57">
        <v>244</v>
      </c>
      <c r="G774" s="80">
        <f>G780+G787+G798+G808+G820+G832+G847+G859+G865+G878+G894+G911+G925+G938+G957+G963+G972+G986+G1004+G1044+G1058+G1069+G1076+G1088+G1103+G1110+G1118+G1129+G1146</f>
        <v>972046.3</v>
      </c>
      <c r="H774" s="80">
        <f>H780+H787+H798+H808+H820+H832+H847+H859+H865+H878+H894+H911+H925+H938+H957+H963+H972+H986+H1004+H1044+H1058+H1069+H1076+H1088+H1103+H1110+H1118+H1129+H1146</f>
        <v>0</v>
      </c>
      <c r="I774" s="80">
        <f>I780+I787+I798+I808+I820+I832+I847+I859+I865+I878+I894+I911+I925+I938+I957+I963+I972+I986+I1004+I1044+I1058+I1069+I1076+I1088+I1103+I1110+I1118+I1129+I1146</f>
        <v>0</v>
      </c>
      <c r="J774" s="80">
        <f>J780+J787+J798+J808+J820+J832+J847+J859+J865+J878+J894+J911+J925+J938+J957+J963+J972+J986+J1004+J1044+J1058+J1069+J1076+J1088+J1103+J1110+J1118+J1129+J1146</f>
        <v>0</v>
      </c>
      <c r="K774" s="80">
        <f>K780+K787+K798+K808+K820+K832+K847+K859+K865+K878+K894+K911+K925+K938+K957+K963+K972+K986+K1004+K1044+K1058+K1069+K1076+K1088+K1103+K1110+K1118+K1129+K1146</f>
        <v>972046.3</v>
      </c>
      <c r="L774" s="80">
        <f>L780+L787+L797+L808+L820+L832+L847+L859+L865+L878+L894+L911+L925+L938+L957+L963+L972+L986+L1004+L1044+L1058+L1069+L1076+L1088+L1103+L1110+L1118+L1129+L1137+L1146</f>
        <v>2848629</v>
      </c>
      <c r="M774" s="80">
        <f>M780+M787+M797+M808+M820+M832+M847+M859+M865+M878+M894+M911+M925+M938+M957+M963+M972+M986+M1004+M1044+M1058+M1069+M1076+M1088+M1103+M1110+M1118+M1129+M1137+M1146</f>
        <v>2145887.5</v>
      </c>
      <c r="N774" s="944"/>
      <c r="O774" s="944"/>
      <c r="P774" s="98"/>
      <c r="Q774" s="46"/>
    </row>
    <row r="775" spans="1:61" s="44" customFormat="1" ht="24.6" customHeight="1">
      <c r="A775" s="945"/>
      <c r="B775" s="57" t="s">
        <v>495</v>
      </c>
      <c r="C775" s="57"/>
      <c r="D775" s="57"/>
      <c r="E775" s="57"/>
      <c r="F775" s="57"/>
      <c r="G775" s="80">
        <f>G781+G799+G809+G821+G833+G879+G895+G912+G926+G958+G973+G987+G1005+G1045+G1059+G1077+G1089+G1111+G1119+G1147</f>
        <v>131507.6</v>
      </c>
      <c r="H775" s="80">
        <f>H781+H799+H809+H821+H833+H879+H895+H912+H926+H958+H973+H987+H1005+H1045+H1059+H1077+H1089+H1111+H1119+H1147</f>
        <v>0</v>
      </c>
      <c r="I775" s="80">
        <f>I781+I799+I809+I821+I833+I879+I895+I912+I926+I958+I973+I987+I1005+I1045+I1059+I1077+I1089+I1111+I1119+I1147</f>
        <v>0</v>
      </c>
      <c r="J775" s="80">
        <f>J781+J799+J809+J821+J833+J879+J895+J912+J926+J958+J973+J987+J1005+J1045+J1059+J1077+J1089+J1111+J1119+J1147</f>
        <v>0</v>
      </c>
      <c r="K775" s="80">
        <f>K781+K799+K809+K821+K833+K879+K895+K912+K926+K958+K973+K987+K1005+K1045+K1059+K1077+K1089+K1111+K1119+K1147</f>
        <v>131507.6</v>
      </c>
      <c r="L775" s="80">
        <f>L781+L821+L833+L879+L895+L912+L926+L958+L973+L987+L1005+L1045+L1059+L1077+L1089+L1111+L1119+L1147+L813</f>
        <v>30000</v>
      </c>
      <c r="M775" s="80">
        <f>M781+M821+M833+M879+M895+M912+M926+M958+M973+M987+M1005+M1045+M1059+M1077+M1089+M1111+M1119+M1147+M813</f>
        <v>0</v>
      </c>
      <c r="N775" s="944"/>
      <c r="O775" s="944"/>
      <c r="AJ775" s="91"/>
      <c r="AK775" s="91"/>
      <c r="AL775" s="91"/>
      <c r="AM775" s="91"/>
      <c r="AN775" s="91"/>
      <c r="AO775" s="91"/>
      <c r="AP775" s="91"/>
      <c r="AQ775" s="91"/>
      <c r="AR775" s="91"/>
      <c r="AS775" s="91"/>
      <c r="AT775" s="91"/>
      <c r="AU775" s="91"/>
      <c r="AV775" s="91"/>
      <c r="AW775" s="91"/>
      <c r="AX775" s="91"/>
      <c r="AY775" s="91"/>
      <c r="AZ775" s="91"/>
      <c r="BA775" s="91"/>
      <c r="BB775" s="91"/>
      <c r="BC775" s="91"/>
      <c r="BD775" s="91"/>
      <c r="BE775" s="91"/>
      <c r="BF775" s="91"/>
      <c r="BG775" s="91"/>
      <c r="BH775" s="91"/>
      <c r="BI775" s="91"/>
    </row>
    <row r="776" spans="1:61" s="44" customFormat="1" ht="24.95" customHeight="1">
      <c r="A776" s="945"/>
      <c r="B776" s="57" t="s">
        <v>435</v>
      </c>
      <c r="C776" s="57"/>
      <c r="D776" s="57"/>
      <c r="E776" s="57"/>
      <c r="F776" s="57"/>
      <c r="G776" s="80">
        <v>0</v>
      </c>
      <c r="H776" s="80"/>
      <c r="I776" s="80"/>
      <c r="J776" s="80"/>
      <c r="K776" s="80"/>
      <c r="L776" s="80"/>
      <c r="M776" s="80"/>
      <c r="N776" s="944"/>
      <c r="O776" s="944"/>
      <c r="AJ776" s="91"/>
      <c r="AK776" s="91"/>
      <c r="AL776" s="91"/>
      <c r="AM776" s="91"/>
      <c r="AN776" s="91"/>
      <c r="AO776" s="91"/>
      <c r="AP776" s="91"/>
      <c r="AQ776" s="91"/>
      <c r="AR776" s="91"/>
      <c r="AS776" s="91"/>
      <c r="AT776" s="91"/>
      <c r="AU776" s="91"/>
      <c r="AV776" s="91"/>
      <c r="AW776" s="91"/>
      <c r="AX776" s="91"/>
      <c r="AY776" s="91"/>
      <c r="AZ776" s="91"/>
      <c r="BA776" s="91"/>
      <c r="BB776" s="91"/>
      <c r="BC776" s="91"/>
      <c r="BD776" s="91"/>
      <c r="BE776" s="91"/>
      <c r="BF776" s="91"/>
      <c r="BG776" s="91"/>
      <c r="BH776" s="91"/>
      <c r="BI776" s="91"/>
    </row>
    <row r="777" spans="1:61" ht="24.95" customHeight="1">
      <c r="A777" s="945"/>
      <c r="B777" s="57" t="s">
        <v>447</v>
      </c>
      <c r="C777" s="57"/>
      <c r="D777" s="57"/>
      <c r="E777" s="57"/>
      <c r="F777" s="57"/>
      <c r="G777" s="80">
        <v>0</v>
      </c>
      <c r="H777" s="80"/>
      <c r="I777" s="80"/>
      <c r="J777" s="80"/>
      <c r="K777" s="80"/>
      <c r="L777" s="80"/>
      <c r="M777" s="80"/>
      <c r="N777" s="944"/>
      <c r="O777" s="944"/>
    </row>
    <row r="778" spans="1:61" ht="24.95" customHeight="1">
      <c r="A778" s="945" t="s">
        <v>96</v>
      </c>
      <c r="B778" s="57" t="s">
        <v>89</v>
      </c>
      <c r="C778" s="57"/>
      <c r="D778" s="57"/>
      <c r="E778" s="57"/>
      <c r="F778" s="57"/>
      <c r="G778" s="80">
        <f>G782</f>
        <v>2</v>
      </c>
      <c r="H778" s="80">
        <f t="shared" ref="H778:K778" si="269">H782</f>
        <v>0</v>
      </c>
      <c r="I778" s="80">
        <f t="shared" si="269"/>
        <v>0</v>
      </c>
      <c r="J778" s="80">
        <f t="shared" si="269"/>
        <v>0</v>
      </c>
      <c r="K778" s="80">
        <f t="shared" si="269"/>
        <v>2</v>
      </c>
      <c r="L778" s="80">
        <f t="shared" ref="L778:M781" si="270">L782</f>
        <v>2</v>
      </c>
      <c r="M778" s="80">
        <f t="shared" si="270"/>
        <v>6</v>
      </c>
      <c r="N778" s="610"/>
      <c r="O778" s="610"/>
    </row>
    <row r="779" spans="1:61" ht="24.95" customHeight="1">
      <c r="A779" s="945"/>
      <c r="B779" s="57" t="s">
        <v>25</v>
      </c>
      <c r="C779" s="57"/>
      <c r="D779" s="57"/>
      <c r="E779" s="57"/>
      <c r="F779" s="57"/>
      <c r="G779" s="80">
        <f>G780+G781</f>
        <v>15160.9</v>
      </c>
      <c r="H779" s="80">
        <f t="shared" ref="H779:K779" si="271">H780+H781</f>
        <v>0</v>
      </c>
      <c r="I779" s="80">
        <f t="shared" si="271"/>
        <v>0</v>
      </c>
      <c r="J779" s="80">
        <f t="shared" si="271"/>
        <v>0</v>
      </c>
      <c r="K779" s="80">
        <f t="shared" si="271"/>
        <v>15160.9</v>
      </c>
      <c r="L779" s="80">
        <f t="shared" si="270"/>
        <v>24000</v>
      </c>
      <c r="M779" s="80">
        <f t="shared" si="270"/>
        <v>100000</v>
      </c>
      <c r="N779" s="610"/>
      <c r="O779" s="610"/>
    </row>
    <row r="780" spans="1:61" ht="24.95" customHeight="1">
      <c r="A780" s="945"/>
      <c r="B780" s="57" t="s">
        <v>10</v>
      </c>
      <c r="C780" s="57"/>
      <c r="D780" s="57"/>
      <c r="E780" s="57"/>
      <c r="F780" s="57"/>
      <c r="G780" s="80">
        <f>G783</f>
        <v>15160.9</v>
      </c>
      <c r="H780" s="80">
        <f t="shared" ref="H780:K780" si="272">H783</f>
        <v>0</v>
      </c>
      <c r="I780" s="80">
        <f t="shared" si="272"/>
        <v>0</v>
      </c>
      <c r="J780" s="80">
        <f t="shared" si="272"/>
        <v>0</v>
      </c>
      <c r="K780" s="80">
        <f t="shared" si="272"/>
        <v>15160.9</v>
      </c>
      <c r="L780" s="80">
        <f t="shared" si="270"/>
        <v>24000</v>
      </c>
      <c r="M780" s="80">
        <f t="shared" si="270"/>
        <v>100000</v>
      </c>
      <c r="N780" s="610"/>
      <c r="O780" s="610"/>
    </row>
    <row r="781" spans="1:61" s="44" customFormat="1" ht="24.95" customHeight="1">
      <c r="A781" s="945"/>
      <c r="B781" s="57" t="s">
        <v>495</v>
      </c>
      <c r="C781" s="57"/>
      <c r="D781" s="57"/>
      <c r="E781" s="57"/>
      <c r="F781" s="57"/>
      <c r="G781" s="80">
        <f t="shared" ref="G781" si="273">G785</f>
        <v>0</v>
      </c>
      <c r="H781" s="80"/>
      <c r="I781" s="80"/>
      <c r="J781" s="80"/>
      <c r="K781" s="80"/>
      <c r="L781" s="80">
        <f t="shared" si="270"/>
        <v>0</v>
      </c>
      <c r="M781" s="80">
        <f t="shared" si="270"/>
        <v>0</v>
      </c>
      <c r="N781" s="610"/>
      <c r="O781" s="610"/>
      <c r="AJ781" s="91"/>
      <c r="AK781" s="91"/>
      <c r="AL781" s="91"/>
      <c r="AM781" s="91"/>
      <c r="AN781" s="91"/>
      <c r="AO781" s="91"/>
      <c r="AP781" s="91"/>
      <c r="AQ781" s="91"/>
      <c r="AR781" s="91"/>
      <c r="AS781" s="91"/>
      <c r="AT781" s="91"/>
      <c r="AU781" s="91"/>
      <c r="AV781" s="91"/>
      <c r="AW781" s="91"/>
      <c r="AX781" s="91"/>
      <c r="AY781" s="91"/>
      <c r="AZ781" s="91"/>
      <c r="BA781" s="91"/>
      <c r="BB781" s="91"/>
      <c r="BC781" s="91"/>
      <c r="BD781" s="91"/>
      <c r="BE781" s="91"/>
      <c r="BF781" s="91"/>
      <c r="BG781" s="91"/>
      <c r="BH781" s="91"/>
      <c r="BI781" s="91"/>
    </row>
    <row r="782" spans="1:61" s="44" customFormat="1" ht="24.95" customHeight="1">
      <c r="A782" s="932" t="s">
        <v>150</v>
      </c>
      <c r="B782" s="546" t="s">
        <v>89</v>
      </c>
      <c r="C782" s="546">
        <v>176</v>
      </c>
      <c r="D782" s="546" t="s">
        <v>15</v>
      </c>
      <c r="E782" s="546">
        <v>6100404</v>
      </c>
      <c r="F782" s="546">
        <v>244</v>
      </c>
      <c r="G782" s="81">
        <f>K782</f>
        <v>2</v>
      </c>
      <c r="H782" s="81"/>
      <c r="I782" s="81"/>
      <c r="J782" s="81"/>
      <c r="K782" s="81">
        <v>2</v>
      </c>
      <c r="L782" s="81">
        <v>2</v>
      </c>
      <c r="M782" s="81">
        <v>6</v>
      </c>
      <c r="N782" s="604"/>
      <c r="O782" s="944" t="s">
        <v>622</v>
      </c>
      <c r="AJ782" s="91"/>
      <c r="AK782" s="91"/>
      <c r="AL782" s="91"/>
      <c r="AM782" s="91"/>
      <c r="AN782" s="91"/>
      <c r="AO782" s="91"/>
      <c r="AP782" s="91"/>
      <c r="AQ782" s="91"/>
      <c r="AR782" s="91"/>
      <c r="AS782" s="91"/>
      <c r="AT782" s="91"/>
      <c r="AU782" s="91"/>
      <c r="AV782" s="91"/>
      <c r="AW782" s="91"/>
      <c r="AX782" s="91"/>
      <c r="AY782" s="91"/>
      <c r="AZ782" s="91"/>
      <c r="BA782" s="91"/>
      <c r="BB782" s="91"/>
      <c r="BC782" s="91"/>
      <c r="BD782" s="91"/>
      <c r="BE782" s="91"/>
      <c r="BF782" s="91"/>
      <c r="BG782" s="91"/>
      <c r="BH782" s="91"/>
      <c r="BI782" s="91"/>
    </row>
    <row r="783" spans="1:61" s="44" customFormat="1" ht="24.95" customHeight="1">
      <c r="A783" s="932"/>
      <c r="B783" s="546" t="s">
        <v>25</v>
      </c>
      <c r="C783" s="546"/>
      <c r="D783" s="546"/>
      <c r="E783" s="546"/>
      <c r="F783" s="546"/>
      <c r="G783" s="81">
        <f t="shared" ref="G783:G784" si="274">K783</f>
        <v>15160.9</v>
      </c>
      <c r="H783" s="81"/>
      <c r="I783" s="81"/>
      <c r="J783" s="81"/>
      <c r="K783" s="81">
        <f>K784</f>
        <v>15160.9</v>
      </c>
      <c r="L783" s="81">
        <f>L784+L785</f>
        <v>24000</v>
      </c>
      <c r="M783" s="81">
        <f>M784+M785</f>
        <v>100000</v>
      </c>
      <c r="N783" s="604"/>
      <c r="O783" s="944"/>
      <c r="AJ783" s="91"/>
      <c r="AK783" s="91"/>
      <c r="AL783" s="91"/>
      <c r="AM783" s="91"/>
      <c r="AN783" s="91"/>
      <c r="AO783" s="91"/>
      <c r="AP783" s="91"/>
      <c r="AQ783" s="91"/>
      <c r="AR783" s="91"/>
      <c r="AS783" s="91"/>
      <c r="AT783" s="91"/>
      <c r="AU783" s="91"/>
      <c r="AV783" s="91"/>
      <c r="AW783" s="91"/>
      <c r="AX783" s="91"/>
      <c r="AY783" s="91"/>
      <c r="AZ783" s="91"/>
      <c r="BA783" s="91"/>
      <c r="BB783" s="91"/>
      <c r="BC783" s="91"/>
      <c r="BD783" s="91"/>
      <c r="BE783" s="91"/>
      <c r="BF783" s="91"/>
      <c r="BG783" s="91"/>
      <c r="BH783" s="91"/>
      <c r="BI783" s="91"/>
    </row>
    <row r="784" spans="1:61" s="44" customFormat="1" ht="24.95" customHeight="1">
      <c r="A784" s="932"/>
      <c r="B784" s="546" t="s">
        <v>10</v>
      </c>
      <c r="C784" s="546"/>
      <c r="D784" s="546"/>
      <c r="E784" s="546"/>
      <c r="F784" s="546"/>
      <c r="G784" s="81">
        <f t="shared" si="274"/>
        <v>15160.9</v>
      </c>
      <c r="H784" s="81"/>
      <c r="I784" s="81"/>
      <c r="J784" s="81"/>
      <c r="K784" s="81">
        <v>15160.9</v>
      </c>
      <c r="L784" s="81">
        <v>24000</v>
      </c>
      <c r="M784" s="81">
        <v>100000</v>
      </c>
      <c r="N784" s="604"/>
      <c r="O784" s="944"/>
      <c r="AJ784" s="91"/>
      <c r="AK784" s="91"/>
      <c r="AL784" s="91"/>
      <c r="AM784" s="91"/>
      <c r="AN784" s="91"/>
      <c r="AO784" s="91"/>
      <c r="AP784" s="91"/>
      <c r="AQ784" s="91"/>
      <c r="AR784" s="91"/>
      <c r="AS784" s="91"/>
      <c r="AT784" s="91"/>
      <c r="AU784" s="91"/>
      <c r="AV784" s="91"/>
      <c r="AW784" s="91"/>
      <c r="AX784" s="91"/>
      <c r="AY784" s="91"/>
      <c r="AZ784" s="91"/>
      <c r="BA784" s="91"/>
      <c r="BB784" s="91"/>
      <c r="BC784" s="91"/>
      <c r="BD784" s="91"/>
      <c r="BE784" s="91"/>
      <c r="BF784" s="91"/>
      <c r="BG784" s="91"/>
      <c r="BH784" s="91"/>
      <c r="BI784" s="91"/>
    </row>
    <row r="785" spans="1:61" ht="24.95" customHeight="1">
      <c r="A785" s="932"/>
      <c r="B785" s="546" t="s">
        <v>495</v>
      </c>
      <c r="C785" s="546"/>
      <c r="D785" s="546"/>
      <c r="E785" s="546"/>
      <c r="F785" s="546"/>
      <c r="G785" s="81"/>
      <c r="H785" s="81"/>
      <c r="I785" s="81"/>
      <c r="J785" s="81"/>
      <c r="K785" s="81"/>
      <c r="L785" s="81"/>
      <c r="M785" s="81"/>
      <c r="N785" s="604"/>
      <c r="O785" s="944"/>
    </row>
    <row r="786" spans="1:61" ht="24" customHeight="1">
      <c r="A786" s="945" t="s">
        <v>116</v>
      </c>
      <c r="B786" s="57" t="s">
        <v>89</v>
      </c>
      <c r="C786" s="57"/>
      <c r="D786" s="57"/>
      <c r="E786" s="57"/>
      <c r="F786" s="57"/>
      <c r="G786" s="80">
        <f>G788+G790+G792+G794</f>
        <v>4</v>
      </c>
      <c r="H786" s="80">
        <f t="shared" ref="H786:M786" si="275">H788+H790+H792+H794</f>
        <v>0</v>
      </c>
      <c r="I786" s="80">
        <f t="shared" si="275"/>
        <v>0</v>
      </c>
      <c r="J786" s="80">
        <f t="shared" si="275"/>
        <v>0</v>
      </c>
      <c r="K786" s="80">
        <f t="shared" si="275"/>
        <v>4</v>
      </c>
      <c r="L786" s="80">
        <f t="shared" si="275"/>
        <v>8.9</v>
      </c>
      <c r="M786" s="80">
        <f t="shared" si="275"/>
        <v>0</v>
      </c>
      <c r="N786" s="604"/>
      <c r="O786" s="610"/>
    </row>
    <row r="787" spans="1:61" ht="24.6" customHeight="1">
      <c r="A787" s="945"/>
      <c r="B787" s="57" t="s">
        <v>246</v>
      </c>
      <c r="C787" s="57"/>
      <c r="D787" s="57"/>
      <c r="E787" s="57"/>
      <c r="F787" s="57"/>
      <c r="G787" s="80">
        <f>G789+G791+G793+G795</f>
        <v>31546.800000000003</v>
      </c>
      <c r="H787" s="80">
        <f t="shared" ref="H787:M787" si="276">H789+H791+H793+H795</f>
        <v>0</v>
      </c>
      <c r="I787" s="80">
        <f t="shared" si="276"/>
        <v>0</v>
      </c>
      <c r="J787" s="80">
        <f t="shared" si="276"/>
        <v>0</v>
      </c>
      <c r="K787" s="80">
        <f t="shared" si="276"/>
        <v>31546.800000000003</v>
      </c>
      <c r="L787" s="80">
        <f t="shared" si="276"/>
        <v>106428</v>
      </c>
      <c r="M787" s="80">
        <f t="shared" si="276"/>
        <v>0</v>
      </c>
      <c r="N787" s="604"/>
      <c r="O787" s="610"/>
    </row>
    <row r="788" spans="1:61" ht="25.15" customHeight="1">
      <c r="A788" s="932" t="s">
        <v>151</v>
      </c>
      <c r="B788" s="546" t="s">
        <v>89</v>
      </c>
      <c r="C788" s="546">
        <v>176</v>
      </c>
      <c r="D788" s="546" t="s">
        <v>15</v>
      </c>
      <c r="E788" s="546">
        <v>6100404</v>
      </c>
      <c r="F788" s="546">
        <v>244</v>
      </c>
      <c r="G788" s="81">
        <v>0</v>
      </c>
      <c r="H788" s="81"/>
      <c r="I788" s="81"/>
      <c r="J788" s="81"/>
      <c r="K788" s="81"/>
      <c r="L788" s="81">
        <v>2</v>
      </c>
      <c r="M788" s="81"/>
      <c r="N788" s="604"/>
      <c r="O788" s="944" t="s">
        <v>463</v>
      </c>
    </row>
    <row r="789" spans="1:61" s="44" customFormat="1" ht="23.25" customHeight="1">
      <c r="A789" s="932"/>
      <c r="B789" s="546" t="s">
        <v>246</v>
      </c>
      <c r="C789" s="546"/>
      <c r="D789" s="546"/>
      <c r="E789" s="546"/>
      <c r="F789" s="546"/>
      <c r="G789" s="81"/>
      <c r="H789" s="81"/>
      <c r="I789" s="81"/>
      <c r="J789" s="81"/>
      <c r="K789" s="81"/>
      <c r="L789" s="81">
        <v>24000</v>
      </c>
      <c r="M789" s="81"/>
      <c r="N789" s="604"/>
      <c r="O789" s="944"/>
      <c r="AJ789" s="91"/>
      <c r="AK789" s="91"/>
      <c r="AL789" s="91"/>
      <c r="AM789" s="91"/>
      <c r="AN789" s="91"/>
      <c r="AO789" s="91"/>
      <c r="AP789" s="91"/>
      <c r="AQ789" s="91"/>
      <c r="AR789" s="91"/>
      <c r="AS789" s="91"/>
      <c r="AT789" s="91"/>
      <c r="AU789" s="91"/>
      <c r="AV789" s="91"/>
      <c r="AW789" s="91"/>
      <c r="AX789" s="91"/>
      <c r="AY789" s="91"/>
      <c r="AZ789" s="91"/>
      <c r="BA789" s="91"/>
      <c r="BB789" s="91"/>
      <c r="BC789" s="91"/>
      <c r="BD789" s="91"/>
      <c r="BE789" s="91"/>
      <c r="BF789" s="91"/>
      <c r="BG789" s="91"/>
      <c r="BH789" s="91"/>
      <c r="BI789" s="91"/>
    </row>
    <row r="790" spans="1:61" s="44" customFormat="1" ht="23.25" customHeight="1">
      <c r="A790" s="926" t="s">
        <v>562</v>
      </c>
      <c r="B790" s="546" t="s">
        <v>89</v>
      </c>
      <c r="C790" s="546"/>
      <c r="D790" s="546"/>
      <c r="E790" s="546"/>
      <c r="F790" s="546"/>
      <c r="G790" s="81">
        <f>K790</f>
        <v>4</v>
      </c>
      <c r="H790" s="81"/>
      <c r="I790" s="81"/>
      <c r="J790" s="81"/>
      <c r="K790" s="81">
        <v>4</v>
      </c>
      <c r="L790" s="81"/>
      <c r="M790" s="81"/>
      <c r="N790" s="604"/>
      <c r="O790" s="933" t="s">
        <v>563</v>
      </c>
      <c r="AJ790" s="91"/>
      <c r="AK790" s="91"/>
      <c r="AL790" s="91"/>
      <c r="AM790" s="91"/>
      <c r="AN790" s="91"/>
      <c r="AO790" s="91"/>
      <c r="AP790" s="91"/>
      <c r="AQ790" s="91"/>
      <c r="AR790" s="91"/>
      <c r="AS790" s="91"/>
      <c r="AT790" s="91"/>
      <c r="AU790" s="91"/>
      <c r="AV790" s="91"/>
      <c r="AW790" s="91"/>
      <c r="AX790" s="91"/>
      <c r="AY790" s="91"/>
      <c r="AZ790" s="91"/>
      <c r="BA790" s="91"/>
      <c r="BB790" s="91"/>
      <c r="BC790" s="91"/>
      <c r="BD790" s="91"/>
      <c r="BE790" s="91"/>
      <c r="BF790" s="91"/>
      <c r="BG790" s="91"/>
      <c r="BH790" s="91"/>
      <c r="BI790" s="91"/>
    </row>
    <row r="791" spans="1:61" s="44" customFormat="1" ht="23.25" customHeight="1">
      <c r="A791" s="928"/>
      <c r="B791" s="546" t="s">
        <v>246</v>
      </c>
      <c r="C791" s="546"/>
      <c r="D791" s="546"/>
      <c r="E791" s="546"/>
      <c r="F791" s="546"/>
      <c r="G791" s="81">
        <f>K791</f>
        <v>31546.800000000003</v>
      </c>
      <c r="H791" s="81"/>
      <c r="I791" s="81"/>
      <c r="J791" s="81"/>
      <c r="K791" s="81">
        <f>36846.8-5300</f>
        <v>31546.800000000003</v>
      </c>
      <c r="L791" s="81"/>
      <c r="M791" s="81"/>
      <c r="N791" s="604"/>
      <c r="O791" s="934"/>
      <c r="AJ791" s="91"/>
      <c r="AK791" s="91"/>
      <c r="AL791" s="91"/>
      <c r="AM791" s="91"/>
      <c r="AN791" s="91"/>
      <c r="AO791" s="91"/>
      <c r="AP791" s="91"/>
      <c r="AQ791" s="91"/>
      <c r="AR791" s="91"/>
      <c r="AS791" s="91"/>
      <c r="AT791" s="91"/>
      <c r="AU791" s="91"/>
      <c r="AV791" s="91"/>
      <c r="AW791" s="91"/>
      <c r="AX791" s="91"/>
      <c r="AY791" s="91"/>
      <c r="AZ791" s="91"/>
      <c r="BA791" s="91"/>
      <c r="BB791" s="91"/>
      <c r="BC791" s="91"/>
      <c r="BD791" s="91"/>
      <c r="BE791" s="91"/>
      <c r="BF791" s="91"/>
      <c r="BG791" s="91"/>
      <c r="BH791" s="91"/>
      <c r="BI791" s="91"/>
    </row>
    <row r="792" spans="1:61" s="44" customFormat="1" ht="23.25" customHeight="1">
      <c r="A792" s="926" t="s">
        <v>564</v>
      </c>
      <c r="B792" s="546" t="s">
        <v>89</v>
      </c>
      <c r="C792" s="546"/>
      <c r="D792" s="546"/>
      <c r="E792" s="546"/>
      <c r="F792" s="546"/>
      <c r="G792" s="81"/>
      <c r="H792" s="81"/>
      <c r="I792" s="81"/>
      <c r="J792" s="81"/>
      <c r="K792" s="81"/>
      <c r="L792" s="81">
        <v>4</v>
      </c>
      <c r="M792" s="81"/>
      <c r="N792" s="604"/>
      <c r="O792" s="933" t="s">
        <v>563</v>
      </c>
      <c r="AJ792" s="91"/>
      <c r="AK792" s="91"/>
      <c r="AL792" s="91"/>
      <c r="AM792" s="91"/>
      <c r="AN792" s="91"/>
      <c r="AO792" s="91"/>
      <c r="AP792" s="91"/>
      <c r="AQ792" s="91"/>
      <c r="AR792" s="91"/>
      <c r="AS792" s="91"/>
      <c r="AT792" s="91"/>
      <c r="AU792" s="91"/>
      <c r="AV792" s="91"/>
      <c r="AW792" s="91"/>
      <c r="AX792" s="91"/>
      <c r="AY792" s="91"/>
      <c r="AZ792" s="91"/>
      <c r="BA792" s="91"/>
      <c r="BB792" s="91"/>
      <c r="BC792" s="91"/>
      <c r="BD792" s="91"/>
      <c r="BE792" s="91"/>
      <c r="BF792" s="91"/>
      <c r="BG792" s="91"/>
      <c r="BH792" s="91"/>
      <c r="BI792" s="91"/>
    </row>
    <row r="793" spans="1:61" s="44" customFormat="1" ht="23.25" customHeight="1">
      <c r="A793" s="928"/>
      <c r="B793" s="546" t="s">
        <v>246</v>
      </c>
      <c r="C793" s="546"/>
      <c r="D793" s="546"/>
      <c r="E793" s="546"/>
      <c r="F793" s="546"/>
      <c r="G793" s="81"/>
      <c r="H793" s="81"/>
      <c r="I793" s="81"/>
      <c r="J793" s="81"/>
      <c r="K793" s="81"/>
      <c r="L793" s="81">
        <v>48000</v>
      </c>
      <c r="M793" s="81"/>
      <c r="N793" s="604"/>
      <c r="O793" s="934"/>
      <c r="AJ793" s="91"/>
      <c r="AK793" s="91"/>
      <c r="AL793" s="91"/>
      <c r="AM793" s="91"/>
      <c r="AN793" s="91"/>
      <c r="AO793" s="91"/>
      <c r="AP793" s="91"/>
      <c r="AQ793" s="91"/>
      <c r="AR793" s="91"/>
      <c r="AS793" s="91"/>
      <c r="AT793" s="91"/>
      <c r="AU793" s="91"/>
      <c r="AV793" s="91"/>
      <c r="AW793" s="91"/>
      <c r="AX793" s="91"/>
      <c r="AY793" s="91"/>
      <c r="AZ793" s="91"/>
      <c r="BA793" s="91"/>
      <c r="BB793" s="91"/>
      <c r="BC793" s="91"/>
      <c r="BD793" s="91"/>
      <c r="BE793" s="91"/>
      <c r="BF793" s="91"/>
      <c r="BG793" s="91"/>
      <c r="BH793" s="91"/>
      <c r="BI793" s="91"/>
    </row>
    <row r="794" spans="1:61" ht="27" customHeight="1">
      <c r="A794" s="926" t="s">
        <v>565</v>
      </c>
      <c r="B794" s="546" t="s">
        <v>89</v>
      </c>
      <c r="C794" s="546">
        <v>176</v>
      </c>
      <c r="D794" s="546" t="s">
        <v>15</v>
      </c>
      <c r="E794" s="546">
        <v>6100404</v>
      </c>
      <c r="F794" s="546">
        <v>244</v>
      </c>
      <c r="G794" s="81">
        <v>0</v>
      </c>
      <c r="H794" s="81"/>
      <c r="I794" s="81"/>
      <c r="J794" s="81"/>
      <c r="K794" s="81"/>
      <c r="L794" s="81">
        <v>2.9</v>
      </c>
      <c r="M794" s="81"/>
      <c r="N794" s="604"/>
      <c r="O794" s="933" t="s">
        <v>566</v>
      </c>
    </row>
    <row r="795" spans="1:61" s="44" customFormat="1" ht="27.75" customHeight="1">
      <c r="A795" s="928"/>
      <c r="B795" s="546" t="s">
        <v>246</v>
      </c>
      <c r="C795" s="546"/>
      <c r="D795" s="546"/>
      <c r="E795" s="546"/>
      <c r="F795" s="546"/>
      <c r="G795" s="81"/>
      <c r="H795" s="81"/>
      <c r="I795" s="81"/>
      <c r="J795" s="81"/>
      <c r="K795" s="81"/>
      <c r="L795" s="81">
        <v>34428</v>
      </c>
      <c r="M795" s="81"/>
      <c r="N795" s="604"/>
      <c r="O795" s="934"/>
      <c r="AJ795" s="91"/>
      <c r="AK795" s="91"/>
      <c r="AL795" s="91"/>
      <c r="AM795" s="91"/>
      <c r="AN795" s="91"/>
      <c r="AO795" s="91"/>
      <c r="AP795" s="91"/>
      <c r="AQ795" s="91"/>
      <c r="AR795" s="91"/>
      <c r="AS795" s="91"/>
      <c r="AT795" s="91"/>
      <c r="AU795" s="91"/>
      <c r="AV795" s="91"/>
      <c r="AW795" s="91"/>
      <c r="AX795" s="91"/>
      <c r="AY795" s="91"/>
      <c r="AZ795" s="91"/>
      <c r="BA795" s="91"/>
      <c r="BB795" s="91"/>
      <c r="BC795" s="91"/>
      <c r="BD795" s="91"/>
      <c r="BE795" s="91"/>
      <c r="BF795" s="91"/>
      <c r="BG795" s="91"/>
      <c r="BH795" s="91"/>
      <c r="BI795" s="91"/>
    </row>
    <row r="796" spans="1:61" s="44" customFormat="1" ht="28.5" customHeight="1">
      <c r="A796" s="887" t="s">
        <v>97</v>
      </c>
      <c r="B796" s="57" t="s">
        <v>89</v>
      </c>
      <c r="C796" s="546"/>
      <c r="D796" s="546"/>
      <c r="E796" s="546"/>
      <c r="F796" s="546"/>
      <c r="G796" s="80">
        <f t="shared" ref="G796:M796" si="277">G800+G804</f>
        <v>5</v>
      </c>
      <c r="H796" s="80">
        <f t="shared" si="277"/>
        <v>0</v>
      </c>
      <c r="I796" s="80">
        <f t="shared" si="277"/>
        <v>0</v>
      </c>
      <c r="J796" s="80">
        <f t="shared" si="277"/>
        <v>0</v>
      </c>
      <c r="K796" s="80">
        <f t="shared" si="277"/>
        <v>5</v>
      </c>
      <c r="L796" s="80">
        <f t="shared" si="277"/>
        <v>5.3</v>
      </c>
      <c r="M796" s="80">
        <f t="shared" si="277"/>
        <v>2.2000000000000002</v>
      </c>
      <c r="N796" s="604"/>
      <c r="O796" s="603"/>
      <c r="AJ796" s="91"/>
      <c r="AK796" s="91"/>
      <c r="AL796" s="91"/>
      <c r="AM796" s="91"/>
      <c r="AN796" s="91"/>
      <c r="AO796" s="91"/>
      <c r="AP796" s="91"/>
      <c r="AQ796" s="91"/>
      <c r="AR796" s="91"/>
      <c r="AS796" s="91"/>
      <c r="AT796" s="91"/>
      <c r="AU796" s="91"/>
      <c r="AV796" s="91"/>
      <c r="AW796" s="91"/>
      <c r="AX796" s="91"/>
      <c r="AY796" s="91"/>
      <c r="AZ796" s="91"/>
      <c r="BA796" s="91"/>
      <c r="BB796" s="91"/>
      <c r="BC796" s="91"/>
      <c r="BD796" s="91"/>
      <c r="BE796" s="91"/>
      <c r="BF796" s="91"/>
      <c r="BG796" s="91"/>
      <c r="BH796" s="91"/>
      <c r="BI796" s="91"/>
    </row>
    <row r="797" spans="1:61" s="44" customFormat="1" ht="31.5" customHeight="1">
      <c r="A797" s="888"/>
      <c r="B797" s="57" t="s">
        <v>25</v>
      </c>
      <c r="C797" s="57"/>
      <c r="D797" s="57"/>
      <c r="E797" s="57"/>
      <c r="F797" s="57"/>
      <c r="G797" s="80">
        <f>G798+G799</f>
        <v>42730.9</v>
      </c>
      <c r="H797" s="80">
        <f t="shared" ref="H797:M797" si="278">H798+H799</f>
        <v>0</v>
      </c>
      <c r="I797" s="80">
        <f t="shared" si="278"/>
        <v>0</v>
      </c>
      <c r="J797" s="80">
        <f t="shared" si="278"/>
        <v>0</v>
      </c>
      <c r="K797" s="80">
        <f t="shared" si="278"/>
        <v>42730.9</v>
      </c>
      <c r="L797" s="80">
        <f t="shared" si="278"/>
        <v>70600.100000000006</v>
      </c>
      <c r="M797" s="80">
        <f t="shared" si="278"/>
        <v>32800</v>
      </c>
      <c r="N797" s="604"/>
      <c r="O797" s="610"/>
      <c r="AJ797" s="91"/>
      <c r="AK797" s="91"/>
      <c r="AL797" s="91"/>
      <c r="AM797" s="91"/>
      <c r="AN797" s="91"/>
      <c r="AO797" s="91"/>
      <c r="AP797" s="91"/>
      <c r="AQ797" s="91"/>
      <c r="AR797" s="91"/>
      <c r="AS797" s="91"/>
      <c r="AT797" s="91"/>
      <c r="AU797" s="91"/>
      <c r="AV797" s="91"/>
      <c r="AW797" s="91"/>
      <c r="AX797" s="91"/>
      <c r="AY797" s="91"/>
      <c r="AZ797" s="91"/>
      <c r="BA797" s="91"/>
      <c r="BB797" s="91"/>
      <c r="BC797" s="91"/>
      <c r="BD797" s="91"/>
      <c r="BE797" s="91"/>
      <c r="BF797" s="91"/>
      <c r="BG797" s="91"/>
      <c r="BH797" s="91"/>
      <c r="BI797" s="91"/>
    </row>
    <row r="798" spans="1:61" s="44" customFormat="1" ht="31.5" customHeight="1">
      <c r="A798" s="888"/>
      <c r="B798" s="57" t="s">
        <v>10</v>
      </c>
      <c r="C798" s="57"/>
      <c r="D798" s="57"/>
      <c r="E798" s="57"/>
      <c r="F798" s="57"/>
      <c r="G798" s="80">
        <f>G802+G805</f>
        <v>42730.9</v>
      </c>
      <c r="H798" s="80">
        <f t="shared" ref="H798:M798" si="279">H802+H805</f>
        <v>0</v>
      </c>
      <c r="I798" s="80">
        <f t="shared" si="279"/>
        <v>0</v>
      </c>
      <c r="J798" s="80">
        <f t="shared" si="279"/>
        <v>0</v>
      </c>
      <c r="K798" s="80">
        <f t="shared" si="279"/>
        <v>42730.9</v>
      </c>
      <c r="L798" s="80">
        <f t="shared" si="279"/>
        <v>70600.100000000006</v>
      </c>
      <c r="M798" s="80">
        <f t="shared" si="279"/>
        <v>32800</v>
      </c>
      <c r="N798" s="604"/>
      <c r="O798" s="608"/>
      <c r="AJ798" s="91"/>
      <c r="AK798" s="91"/>
      <c r="AL798" s="91"/>
      <c r="AM798" s="91"/>
      <c r="AN798" s="91"/>
      <c r="AO798" s="91"/>
      <c r="AP798" s="91"/>
      <c r="AQ798" s="91"/>
      <c r="AR798" s="91"/>
      <c r="AS798" s="91"/>
      <c r="AT798" s="91"/>
      <c r="AU798" s="91"/>
      <c r="AV798" s="91"/>
      <c r="AW798" s="91"/>
      <c r="AX798" s="91"/>
      <c r="AY798" s="91"/>
      <c r="AZ798" s="91"/>
      <c r="BA798" s="91"/>
      <c r="BB798" s="91"/>
      <c r="BC798" s="91"/>
      <c r="BD798" s="91"/>
      <c r="BE798" s="91"/>
      <c r="BF798" s="91"/>
      <c r="BG798" s="91"/>
      <c r="BH798" s="91"/>
      <c r="BI798" s="91"/>
    </row>
    <row r="799" spans="1:61" s="44" customFormat="1" ht="31.5" customHeight="1">
      <c r="A799" s="889"/>
      <c r="B799" s="57" t="s">
        <v>495</v>
      </c>
      <c r="C799" s="57"/>
      <c r="D799" s="57"/>
      <c r="E799" s="57"/>
      <c r="F799" s="57"/>
      <c r="G799" s="80">
        <f>G803</f>
        <v>0</v>
      </c>
      <c r="H799" s="80">
        <f t="shared" ref="H799:M799" si="280">H803</f>
        <v>0</v>
      </c>
      <c r="I799" s="80">
        <f t="shared" si="280"/>
        <v>0</v>
      </c>
      <c r="J799" s="80">
        <f t="shared" si="280"/>
        <v>0</v>
      </c>
      <c r="K799" s="80">
        <f t="shared" si="280"/>
        <v>0</v>
      </c>
      <c r="L799" s="80">
        <f t="shared" si="280"/>
        <v>0</v>
      </c>
      <c r="M799" s="80">
        <f t="shared" si="280"/>
        <v>0</v>
      </c>
      <c r="N799" s="604"/>
      <c r="O799" s="608"/>
      <c r="AJ799" s="91"/>
      <c r="AK799" s="91"/>
      <c r="AL799" s="91"/>
      <c r="AM799" s="91"/>
      <c r="AN799" s="91"/>
      <c r="AO799" s="91"/>
      <c r="AP799" s="91"/>
      <c r="AQ799" s="91"/>
      <c r="AR799" s="91"/>
      <c r="AS799" s="91"/>
      <c r="AT799" s="91"/>
      <c r="AU799" s="91"/>
      <c r="AV799" s="91"/>
      <c r="AW799" s="91"/>
      <c r="AX799" s="91"/>
      <c r="AY799" s="91"/>
      <c r="AZ799" s="91"/>
      <c r="BA799" s="91"/>
      <c r="BB799" s="91"/>
      <c r="BC799" s="91"/>
      <c r="BD799" s="91"/>
      <c r="BE799" s="91"/>
      <c r="BF799" s="91"/>
      <c r="BG799" s="91"/>
      <c r="BH799" s="91"/>
      <c r="BI799" s="91"/>
    </row>
    <row r="800" spans="1:61" s="44" customFormat="1" ht="24" customHeight="1">
      <c r="A800" s="926" t="s">
        <v>1100</v>
      </c>
      <c r="B800" s="546" t="s">
        <v>89</v>
      </c>
      <c r="C800" s="57"/>
      <c r="D800" s="57"/>
      <c r="E800" s="57"/>
      <c r="F800" s="57"/>
      <c r="G800" s="81">
        <f>K800</f>
        <v>2</v>
      </c>
      <c r="H800" s="81"/>
      <c r="I800" s="81"/>
      <c r="J800" s="81"/>
      <c r="K800" s="81">
        <v>2</v>
      </c>
      <c r="L800" s="81">
        <v>2.2999999999999998</v>
      </c>
      <c r="M800" s="81"/>
      <c r="N800" s="604"/>
      <c r="O800" s="933" t="s">
        <v>850</v>
      </c>
      <c r="AJ800" s="91"/>
      <c r="AK800" s="91"/>
      <c r="AL800" s="91"/>
      <c r="AM800" s="91"/>
      <c r="AN800" s="91"/>
      <c r="AO800" s="91"/>
      <c r="AP800" s="91"/>
      <c r="AQ800" s="91"/>
      <c r="AR800" s="91"/>
      <c r="AS800" s="91"/>
      <c r="AT800" s="91"/>
      <c r="AU800" s="91"/>
      <c r="AV800" s="91"/>
      <c r="AW800" s="91"/>
      <c r="AX800" s="91"/>
      <c r="AY800" s="91"/>
      <c r="AZ800" s="91"/>
      <c r="BA800" s="91"/>
      <c r="BB800" s="91"/>
      <c r="BC800" s="91"/>
      <c r="BD800" s="91"/>
      <c r="BE800" s="91"/>
      <c r="BF800" s="91"/>
      <c r="BG800" s="91"/>
      <c r="BH800" s="91"/>
      <c r="BI800" s="91"/>
    </row>
    <row r="801" spans="1:61" s="44" customFormat="1" ht="22.5" customHeight="1">
      <c r="A801" s="927"/>
      <c r="B801" s="546" t="s">
        <v>25</v>
      </c>
      <c r="C801" s="57"/>
      <c r="D801" s="57"/>
      <c r="E801" s="57"/>
      <c r="F801" s="57"/>
      <c r="G801" s="81">
        <f>G802+G803</f>
        <v>26770.5</v>
      </c>
      <c r="H801" s="81">
        <f t="shared" ref="H801:L801" si="281">H802+H803</f>
        <v>0</v>
      </c>
      <c r="I801" s="81">
        <f t="shared" si="281"/>
        <v>0</v>
      </c>
      <c r="J801" s="81">
        <f t="shared" si="281"/>
        <v>0</v>
      </c>
      <c r="K801" s="81">
        <f t="shared" si="281"/>
        <v>26770.5</v>
      </c>
      <c r="L801" s="81">
        <f t="shared" si="281"/>
        <v>34600.1</v>
      </c>
      <c r="M801" s="81"/>
      <c r="N801" s="604"/>
      <c r="O801" s="934"/>
      <c r="AJ801" s="91"/>
      <c r="AK801" s="91"/>
      <c r="AL801" s="91"/>
      <c r="AM801" s="91"/>
      <c r="AN801" s="91"/>
      <c r="AO801" s="91"/>
      <c r="AP801" s="91"/>
      <c r="AQ801" s="91"/>
      <c r="AR801" s="91"/>
      <c r="AS801" s="91"/>
      <c r="AT801" s="91"/>
      <c r="AU801" s="91"/>
      <c r="AV801" s="91"/>
      <c r="AW801" s="91"/>
      <c r="AX801" s="91"/>
      <c r="AY801" s="91"/>
      <c r="AZ801" s="91"/>
      <c r="BA801" s="91"/>
      <c r="BB801" s="91"/>
      <c r="BC801" s="91"/>
      <c r="BD801" s="91"/>
      <c r="BE801" s="91"/>
      <c r="BF801" s="91"/>
      <c r="BG801" s="91"/>
      <c r="BH801" s="91"/>
      <c r="BI801" s="91"/>
    </row>
    <row r="802" spans="1:61" s="44" customFormat="1" ht="22.5" customHeight="1">
      <c r="A802" s="927"/>
      <c r="B802" s="546" t="s">
        <v>10</v>
      </c>
      <c r="C802" s="57"/>
      <c r="D802" s="57"/>
      <c r="E802" s="57"/>
      <c r="F802" s="57"/>
      <c r="G802" s="81">
        <f t="shared" ref="G802:G803" si="282">K802</f>
        <v>26770.5</v>
      </c>
      <c r="H802" s="81"/>
      <c r="I802" s="81"/>
      <c r="J802" s="81"/>
      <c r="K802" s="81">
        <v>26770.5</v>
      </c>
      <c r="L802" s="81">
        <f>28000+6600.1</f>
        <v>34600.1</v>
      </c>
      <c r="M802" s="81"/>
      <c r="N802" s="604"/>
      <c r="O802" s="602"/>
      <c r="AJ802" s="91"/>
      <c r="AK802" s="91"/>
      <c r="AL802" s="91"/>
      <c r="AM802" s="91"/>
      <c r="AN802" s="91"/>
      <c r="AO802" s="91"/>
      <c r="AP802" s="91"/>
      <c r="AQ802" s="91"/>
      <c r="AR802" s="91"/>
      <c r="AS802" s="91"/>
      <c r="AT802" s="91"/>
      <c r="AU802" s="91"/>
      <c r="AV802" s="91"/>
      <c r="AW802" s="91"/>
      <c r="AX802" s="91"/>
      <c r="AY802" s="91"/>
      <c r="AZ802" s="91"/>
      <c r="BA802" s="91"/>
      <c r="BB802" s="91"/>
      <c r="BC802" s="91"/>
      <c r="BD802" s="91"/>
      <c r="BE802" s="91"/>
      <c r="BF802" s="91"/>
      <c r="BG802" s="91"/>
      <c r="BH802" s="91"/>
      <c r="BI802" s="91"/>
    </row>
    <row r="803" spans="1:61" s="44" customFormat="1" ht="22.5" customHeight="1">
      <c r="A803" s="928"/>
      <c r="B803" s="546" t="s">
        <v>495</v>
      </c>
      <c r="C803" s="57"/>
      <c r="D803" s="57"/>
      <c r="E803" s="57"/>
      <c r="F803" s="57"/>
      <c r="G803" s="81">
        <f t="shared" si="282"/>
        <v>0</v>
      </c>
      <c r="H803" s="81"/>
      <c r="I803" s="81"/>
      <c r="J803" s="81"/>
      <c r="K803" s="81">
        <v>0</v>
      </c>
      <c r="L803" s="81"/>
      <c r="M803" s="81"/>
      <c r="N803" s="604"/>
      <c r="O803" s="602"/>
      <c r="AJ803" s="91"/>
      <c r="AK803" s="91"/>
      <c r="AL803" s="91"/>
      <c r="AM803" s="91"/>
      <c r="AN803" s="91"/>
      <c r="AO803" s="91"/>
      <c r="AP803" s="91"/>
      <c r="AQ803" s="91"/>
      <c r="AR803" s="91"/>
      <c r="AS803" s="91"/>
      <c r="AT803" s="91"/>
      <c r="AU803" s="91"/>
      <c r="AV803" s="91"/>
      <c r="AW803" s="91"/>
      <c r="AX803" s="91"/>
      <c r="AY803" s="91"/>
      <c r="AZ803" s="91"/>
      <c r="BA803" s="91"/>
      <c r="BB803" s="91"/>
      <c r="BC803" s="91"/>
      <c r="BD803" s="91"/>
      <c r="BE803" s="91"/>
      <c r="BF803" s="91"/>
      <c r="BG803" s="91"/>
      <c r="BH803" s="91"/>
      <c r="BI803" s="91"/>
    </row>
    <row r="804" spans="1:61" s="44" customFormat="1" ht="21.75" customHeight="1">
      <c r="A804" s="926" t="s">
        <v>1112</v>
      </c>
      <c r="B804" s="546" t="s">
        <v>89</v>
      </c>
      <c r="C804" s="57"/>
      <c r="D804" s="57"/>
      <c r="E804" s="57"/>
      <c r="F804" s="57"/>
      <c r="G804" s="81">
        <f t="shared" ref="G804:G813" si="283">K804</f>
        <v>3</v>
      </c>
      <c r="H804" s="81"/>
      <c r="I804" s="81"/>
      <c r="J804" s="81"/>
      <c r="K804" s="81">
        <v>3</v>
      </c>
      <c r="L804" s="81">
        <v>3</v>
      </c>
      <c r="M804" s="81">
        <v>2.2000000000000002</v>
      </c>
      <c r="N804" s="604"/>
      <c r="O804" s="933" t="s">
        <v>928</v>
      </c>
      <c r="AJ804" s="91"/>
      <c r="AK804" s="91"/>
      <c r="AL804" s="91"/>
      <c r="AM804" s="91"/>
      <c r="AN804" s="91"/>
      <c r="AO804" s="91"/>
      <c r="AP804" s="91"/>
      <c r="AQ804" s="91"/>
      <c r="AR804" s="91"/>
      <c r="AS804" s="91"/>
      <c r="AT804" s="91"/>
      <c r="AU804" s="91"/>
      <c r="AV804" s="91"/>
      <c r="AW804" s="91"/>
      <c r="AX804" s="91"/>
      <c r="AY804" s="91"/>
      <c r="AZ804" s="91"/>
      <c r="BA804" s="91"/>
      <c r="BB804" s="91"/>
      <c r="BC804" s="91"/>
      <c r="BD804" s="91"/>
      <c r="BE804" s="91"/>
      <c r="BF804" s="91"/>
      <c r="BG804" s="91"/>
      <c r="BH804" s="91"/>
      <c r="BI804" s="91"/>
    </row>
    <row r="805" spans="1:61" ht="28.5" customHeight="1">
      <c r="A805" s="928"/>
      <c r="B805" s="546" t="s">
        <v>246</v>
      </c>
      <c r="C805" s="546">
        <v>176</v>
      </c>
      <c r="D805" s="546" t="s">
        <v>15</v>
      </c>
      <c r="E805" s="546">
        <v>6100404</v>
      </c>
      <c r="F805" s="546">
        <v>244</v>
      </c>
      <c r="G805" s="81">
        <f t="shared" si="283"/>
        <v>15960.4</v>
      </c>
      <c r="H805" s="81"/>
      <c r="I805" s="81"/>
      <c r="J805" s="81"/>
      <c r="K805" s="81">
        <v>15960.4</v>
      </c>
      <c r="L805" s="81">
        <v>36000</v>
      </c>
      <c r="M805" s="81">
        <v>32800</v>
      </c>
      <c r="N805" s="604"/>
      <c r="O805" s="934"/>
    </row>
    <row r="806" spans="1:61" ht="24.6" customHeight="1">
      <c r="A806" s="887" t="s">
        <v>98</v>
      </c>
      <c r="B806" s="57" t="s">
        <v>573</v>
      </c>
      <c r="C806" s="546"/>
      <c r="D806" s="546"/>
      <c r="E806" s="546"/>
      <c r="F806" s="546"/>
      <c r="G806" s="80">
        <f>G810+G814+G816</f>
        <v>0</v>
      </c>
      <c r="H806" s="80">
        <f t="shared" ref="H806:M806" si="284">H810+H814+H816</f>
        <v>0</v>
      </c>
      <c r="I806" s="80">
        <f t="shared" si="284"/>
        <v>0</v>
      </c>
      <c r="J806" s="80">
        <f t="shared" si="284"/>
        <v>0</v>
      </c>
      <c r="K806" s="80">
        <f t="shared" si="284"/>
        <v>0</v>
      </c>
      <c r="L806" s="80">
        <f t="shared" si="284"/>
        <v>6</v>
      </c>
      <c r="M806" s="80">
        <f t="shared" si="284"/>
        <v>0</v>
      </c>
      <c r="N806" s="604"/>
      <c r="O806" s="604"/>
    </row>
    <row r="807" spans="1:61" ht="24.6" customHeight="1">
      <c r="A807" s="888"/>
      <c r="B807" s="57" t="s">
        <v>25</v>
      </c>
      <c r="C807" s="546"/>
      <c r="D807" s="546"/>
      <c r="E807" s="546"/>
      <c r="F807" s="546"/>
      <c r="G807" s="80">
        <f>G808+G809</f>
        <v>7000</v>
      </c>
      <c r="H807" s="80">
        <f t="shared" ref="H807:M807" si="285">H808+H809</f>
        <v>0</v>
      </c>
      <c r="I807" s="80">
        <f t="shared" si="285"/>
        <v>0</v>
      </c>
      <c r="J807" s="80">
        <f t="shared" si="285"/>
        <v>0</v>
      </c>
      <c r="K807" s="80">
        <f t="shared" si="285"/>
        <v>7000</v>
      </c>
      <c r="L807" s="80">
        <f t="shared" si="285"/>
        <v>56588</v>
      </c>
      <c r="M807" s="80">
        <f t="shared" si="285"/>
        <v>0</v>
      </c>
      <c r="N807" s="604"/>
      <c r="O807" s="604"/>
    </row>
    <row r="808" spans="1:61" ht="24.6" customHeight="1">
      <c r="A808" s="888"/>
      <c r="B808" s="57" t="s">
        <v>10</v>
      </c>
      <c r="C808" s="546"/>
      <c r="D808" s="546"/>
      <c r="E808" s="546"/>
      <c r="F808" s="546"/>
      <c r="G808" s="80">
        <f>G812+G815+G817</f>
        <v>7000</v>
      </c>
      <c r="H808" s="80">
        <f t="shared" ref="H808:M808" si="286">H812+H815+H817</f>
        <v>0</v>
      </c>
      <c r="I808" s="80">
        <f t="shared" si="286"/>
        <v>0</v>
      </c>
      <c r="J808" s="80">
        <f t="shared" si="286"/>
        <v>0</v>
      </c>
      <c r="K808" s="80">
        <f t="shared" si="286"/>
        <v>7000</v>
      </c>
      <c r="L808" s="80">
        <f t="shared" si="286"/>
        <v>56588</v>
      </c>
      <c r="M808" s="80">
        <f t="shared" si="286"/>
        <v>0</v>
      </c>
      <c r="N808" s="604"/>
      <c r="O808" s="604"/>
    </row>
    <row r="809" spans="1:61" ht="24.6" customHeight="1">
      <c r="A809" s="889"/>
      <c r="B809" s="57" t="s">
        <v>495</v>
      </c>
      <c r="C809" s="546"/>
      <c r="D809" s="546"/>
      <c r="E809" s="546"/>
      <c r="F809" s="546"/>
      <c r="G809" s="80">
        <f>G813</f>
        <v>0</v>
      </c>
      <c r="H809" s="80">
        <f t="shared" ref="H809:M809" si="287">H813</f>
        <v>0</v>
      </c>
      <c r="I809" s="80">
        <f t="shared" si="287"/>
        <v>0</v>
      </c>
      <c r="J809" s="80">
        <f t="shared" si="287"/>
        <v>0</v>
      </c>
      <c r="K809" s="80">
        <f t="shared" si="287"/>
        <v>0</v>
      </c>
      <c r="L809" s="80">
        <f t="shared" si="287"/>
        <v>0</v>
      </c>
      <c r="M809" s="80">
        <f t="shared" si="287"/>
        <v>0</v>
      </c>
      <c r="N809" s="604"/>
      <c r="O809" s="604"/>
    </row>
    <row r="810" spans="1:61" ht="24.6" customHeight="1">
      <c r="A810" s="926" t="s">
        <v>567</v>
      </c>
      <c r="B810" s="546" t="s">
        <v>573</v>
      </c>
      <c r="C810" s="546"/>
      <c r="D810" s="546"/>
      <c r="E810" s="546"/>
      <c r="F810" s="546"/>
      <c r="G810" s="81">
        <f t="shared" si="283"/>
        <v>0</v>
      </c>
      <c r="H810" s="81"/>
      <c r="I810" s="81"/>
      <c r="J810" s="81"/>
      <c r="K810" s="81"/>
      <c r="L810" s="81">
        <v>2</v>
      </c>
      <c r="M810" s="81"/>
      <c r="N810" s="604"/>
      <c r="O810" s="933" t="s">
        <v>561</v>
      </c>
    </row>
    <row r="811" spans="1:61" ht="23.25" customHeight="1">
      <c r="A811" s="927"/>
      <c r="B811" s="546" t="s">
        <v>25</v>
      </c>
      <c r="C811" s="546"/>
      <c r="D811" s="546"/>
      <c r="E811" s="546"/>
      <c r="F811" s="546"/>
      <c r="G811" s="81">
        <f t="shared" si="283"/>
        <v>0</v>
      </c>
      <c r="H811" s="81"/>
      <c r="I811" s="81"/>
      <c r="J811" s="81"/>
      <c r="K811" s="81">
        <f>K812+K813</f>
        <v>0</v>
      </c>
      <c r="L811" s="81">
        <f t="shared" ref="L811:M811" si="288">L812+L813</f>
        <v>24000</v>
      </c>
      <c r="M811" s="81">
        <f t="shared" si="288"/>
        <v>0</v>
      </c>
      <c r="N811" s="604"/>
      <c r="O811" s="946"/>
    </row>
    <row r="812" spans="1:61" ht="24.75" customHeight="1">
      <c r="A812" s="927"/>
      <c r="B812" s="546" t="s">
        <v>10</v>
      </c>
      <c r="C812" s="546"/>
      <c r="D812" s="546"/>
      <c r="E812" s="546"/>
      <c r="F812" s="546"/>
      <c r="G812" s="81">
        <f t="shared" si="283"/>
        <v>0</v>
      </c>
      <c r="H812" s="81"/>
      <c r="I812" s="81"/>
      <c r="J812" s="81"/>
      <c r="K812" s="81"/>
      <c r="L812" s="81">
        <v>24000</v>
      </c>
      <c r="M812" s="81"/>
      <c r="N812" s="604"/>
      <c r="O812" s="946"/>
    </row>
    <row r="813" spans="1:61" ht="24" customHeight="1">
      <c r="A813" s="928"/>
      <c r="B813" s="546" t="s">
        <v>495</v>
      </c>
      <c r="C813" s="546"/>
      <c r="D813" s="546"/>
      <c r="E813" s="546"/>
      <c r="F813" s="546"/>
      <c r="G813" s="81">
        <f t="shared" si="283"/>
        <v>0</v>
      </c>
      <c r="H813" s="81"/>
      <c r="I813" s="81"/>
      <c r="J813" s="81"/>
      <c r="K813" s="81">
        <v>0</v>
      </c>
      <c r="L813" s="81"/>
      <c r="M813" s="81"/>
      <c r="N813" s="604"/>
      <c r="O813" s="934"/>
    </row>
    <row r="814" spans="1:61" ht="23.25" customHeight="1">
      <c r="A814" s="926" t="s">
        <v>568</v>
      </c>
      <c r="B814" s="546" t="s">
        <v>89</v>
      </c>
      <c r="C814" s="546"/>
      <c r="D814" s="546"/>
      <c r="E814" s="546"/>
      <c r="F814" s="546"/>
      <c r="G814" s="80"/>
      <c r="H814" s="81"/>
      <c r="I814" s="81"/>
      <c r="J814" s="81"/>
      <c r="K814" s="81"/>
      <c r="L814" s="81">
        <v>3</v>
      </c>
      <c r="M814" s="81"/>
      <c r="N814" s="604"/>
      <c r="O814" s="933" t="s">
        <v>629</v>
      </c>
    </row>
    <row r="815" spans="1:61" ht="27" customHeight="1">
      <c r="A815" s="928"/>
      <c r="B815" s="546" t="s">
        <v>246</v>
      </c>
      <c r="C815" s="546"/>
      <c r="D815" s="546"/>
      <c r="E815" s="546"/>
      <c r="F815" s="546"/>
      <c r="G815" s="81">
        <f>K815</f>
        <v>7000</v>
      </c>
      <c r="H815" s="81"/>
      <c r="I815" s="81"/>
      <c r="J815" s="81"/>
      <c r="K815" s="81">
        <v>7000</v>
      </c>
      <c r="L815" s="81">
        <v>21588</v>
      </c>
      <c r="M815" s="81"/>
      <c r="N815" s="604"/>
      <c r="O815" s="934"/>
    </row>
    <row r="816" spans="1:61" ht="21.75" customHeight="1">
      <c r="A816" s="926" t="s">
        <v>569</v>
      </c>
      <c r="B816" s="546" t="s">
        <v>89</v>
      </c>
      <c r="C816" s="546"/>
      <c r="D816" s="546"/>
      <c r="E816" s="546"/>
      <c r="F816" s="546"/>
      <c r="G816" s="80"/>
      <c r="H816" s="81"/>
      <c r="I816" s="81"/>
      <c r="J816" s="81"/>
      <c r="K816" s="81"/>
      <c r="L816" s="81">
        <v>1</v>
      </c>
      <c r="M816" s="81"/>
      <c r="N816" s="604"/>
      <c r="O816" s="933" t="s">
        <v>636</v>
      </c>
    </row>
    <row r="817" spans="1:61" ht="24" customHeight="1">
      <c r="A817" s="928"/>
      <c r="B817" s="546" t="s">
        <v>246</v>
      </c>
      <c r="C817" s="546"/>
      <c r="D817" s="546"/>
      <c r="E817" s="546"/>
      <c r="F817" s="546"/>
      <c r="G817" s="80"/>
      <c r="H817" s="81"/>
      <c r="I817" s="81"/>
      <c r="J817" s="81"/>
      <c r="K817" s="81"/>
      <c r="L817" s="81">
        <v>11000</v>
      </c>
      <c r="M817" s="81"/>
      <c r="N817" s="604"/>
      <c r="O817" s="934"/>
    </row>
    <row r="818" spans="1:61" ht="23.45" customHeight="1">
      <c r="A818" s="945" t="s">
        <v>99</v>
      </c>
      <c r="B818" s="57" t="s">
        <v>89</v>
      </c>
      <c r="C818" s="57"/>
      <c r="D818" s="57"/>
      <c r="E818" s="57"/>
      <c r="F818" s="57"/>
      <c r="G818" s="80">
        <f>K818</f>
        <v>2</v>
      </c>
      <c r="H818" s="80">
        <f t="shared" ref="H818:M818" si="289">H822+H826</f>
        <v>0</v>
      </c>
      <c r="I818" s="80">
        <f t="shared" si="289"/>
        <v>0</v>
      </c>
      <c r="J818" s="80">
        <f t="shared" si="289"/>
        <v>0</v>
      </c>
      <c r="K818" s="80">
        <f t="shared" si="289"/>
        <v>2</v>
      </c>
      <c r="L818" s="80">
        <f t="shared" si="289"/>
        <v>6</v>
      </c>
      <c r="M818" s="80">
        <f t="shared" si="289"/>
        <v>5.5</v>
      </c>
      <c r="N818" s="604"/>
      <c r="O818" s="610"/>
    </row>
    <row r="819" spans="1:61" ht="23.45" customHeight="1">
      <c r="A819" s="945"/>
      <c r="B819" s="57" t="s">
        <v>25</v>
      </c>
      <c r="C819" s="57"/>
      <c r="D819" s="57"/>
      <c r="E819" s="57"/>
      <c r="F819" s="57"/>
      <c r="G819" s="80">
        <f t="shared" ref="G819:G829" si="290">K819</f>
        <v>18512.599999999999</v>
      </c>
      <c r="H819" s="80"/>
      <c r="I819" s="80"/>
      <c r="J819" s="80"/>
      <c r="K819" s="80">
        <f>K820+K821</f>
        <v>18512.599999999999</v>
      </c>
      <c r="L819" s="80">
        <f t="shared" ref="L819:M819" si="291">L820+L821</f>
        <v>80000</v>
      </c>
      <c r="M819" s="80">
        <f t="shared" si="291"/>
        <v>85725</v>
      </c>
      <c r="N819" s="604"/>
      <c r="O819" s="610"/>
    </row>
    <row r="820" spans="1:61" ht="23.45" customHeight="1">
      <c r="A820" s="945"/>
      <c r="B820" s="57" t="s">
        <v>10</v>
      </c>
      <c r="C820" s="57"/>
      <c r="D820" s="57"/>
      <c r="E820" s="57"/>
      <c r="F820" s="57"/>
      <c r="G820" s="80">
        <f>G824+G828</f>
        <v>18512.599999999999</v>
      </c>
      <c r="H820" s="80">
        <f t="shared" ref="H820:K820" si="292">H824+H828</f>
        <v>0</v>
      </c>
      <c r="I820" s="80">
        <f t="shared" si="292"/>
        <v>0</v>
      </c>
      <c r="J820" s="80">
        <f t="shared" si="292"/>
        <v>0</v>
      </c>
      <c r="K820" s="80">
        <f t="shared" si="292"/>
        <v>18512.599999999999</v>
      </c>
      <c r="L820" s="80">
        <f t="shared" ref="L820" si="293">L824+L829</f>
        <v>80000</v>
      </c>
      <c r="M820" s="80">
        <f>M824+M828</f>
        <v>85725</v>
      </c>
      <c r="N820" s="604"/>
      <c r="O820" s="610"/>
    </row>
    <row r="821" spans="1:61" ht="30" customHeight="1">
      <c r="A821" s="945"/>
      <c r="B821" s="57" t="s">
        <v>495</v>
      </c>
      <c r="C821" s="57"/>
      <c r="D821" s="57"/>
      <c r="E821" s="57"/>
      <c r="F821" s="57"/>
      <c r="G821" s="80">
        <f>G825+G829</f>
        <v>0</v>
      </c>
      <c r="H821" s="80">
        <f t="shared" ref="H821:K821" si="294">H825+H829</f>
        <v>0</v>
      </c>
      <c r="I821" s="80">
        <f t="shared" si="294"/>
        <v>0</v>
      </c>
      <c r="J821" s="80">
        <f t="shared" si="294"/>
        <v>0</v>
      </c>
      <c r="K821" s="80">
        <f t="shared" si="294"/>
        <v>0</v>
      </c>
      <c r="L821" s="80">
        <f t="shared" ref="L821:M821" si="295">L825</f>
        <v>0</v>
      </c>
      <c r="M821" s="80">
        <f t="shared" si="295"/>
        <v>0</v>
      </c>
      <c r="N821" s="604"/>
      <c r="O821" s="610"/>
    </row>
    <row r="822" spans="1:61" ht="24.6" customHeight="1">
      <c r="A822" s="926" t="s">
        <v>570</v>
      </c>
      <c r="B822" s="546" t="s">
        <v>89</v>
      </c>
      <c r="C822" s="546">
        <v>176</v>
      </c>
      <c r="D822" s="546" t="s">
        <v>15</v>
      </c>
      <c r="E822" s="546">
        <v>6100404</v>
      </c>
      <c r="F822" s="546">
        <v>244</v>
      </c>
      <c r="G822" s="81">
        <f t="shared" si="290"/>
        <v>2</v>
      </c>
      <c r="H822" s="81"/>
      <c r="I822" s="81"/>
      <c r="J822" s="81"/>
      <c r="K822" s="81">
        <v>2</v>
      </c>
      <c r="L822" s="81">
        <v>6</v>
      </c>
      <c r="M822" s="81">
        <v>4</v>
      </c>
      <c r="N822" s="604"/>
      <c r="O822" s="933" t="s">
        <v>929</v>
      </c>
    </row>
    <row r="823" spans="1:61" ht="24.6" customHeight="1">
      <c r="A823" s="927"/>
      <c r="B823" s="546" t="s">
        <v>25</v>
      </c>
      <c r="C823" s="546"/>
      <c r="D823" s="546"/>
      <c r="E823" s="546"/>
      <c r="F823" s="546"/>
      <c r="G823" s="81">
        <f t="shared" si="290"/>
        <v>18512.599999999999</v>
      </c>
      <c r="H823" s="81"/>
      <c r="I823" s="81"/>
      <c r="J823" s="81"/>
      <c r="K823" s="81">
        <f>K824+K825</f>
        <v>18512.599999999999</v>
      </c>
      <c r="L823" s="81">
        <f t="shared" ref="L823:M823" si="296">L824+L825</f>
        <v>80000</v>
      </c>
      <c r="M823" s="81">
        <f t="shared" si="296"/>
        <v>60000</v>
      </c>
      <c r="N823" s="604"/>
      <c r="O823" s="946"/>
    </row>
    <row r="824" spans="1:61" ht="24.6" customHeight="1">
      <c r="A824" s="927"/>
      <c r="B824" s="546" t="s">
        <v>10</v>
      </c>
      <c r="C824" s="546"/>
      <c r="D824" s="546"/>
      <c r="E824" s="546"/>
      <c r="F824" s="546"/>
      <c r="G824" s="81">
        <f t="shared" si="290"/>
        <v>18512.599999999999</v>
      </c>
      <c r="H824" s="81"/>
      <c r="I824" s="81"/>
      <c r="J824" s="81"/>
      <c r="K824" s="81">
        <v>18512.599999999999</v>
      </c>
      <c r="L824" s="81">
        <v>80000</v>
      </c>
      <c r="M824" s="81">
        <v>60000</v>
      </c>
      <c r="N824" s="604"/>
      <c r="O824" s="946"/>
    </row>
    <row r="825" spans="1:61" s="44" customFormat="1" ht="24.6" customHeight="1">
      <c r="A825" s="928"/>
      <c r="B825" s="546" t="s">
        <v>495</v>
      </c>
      <c r="C825" s="546"/>
      <c r="D825" s="546"/>
      <c r="E825" s="546"/>
      <c r="F825" s="546"/>
      <c r="G825" s="81">
        <f t="shared" si="290"/>
        <v>0</v>
      </c>
      <c r="H825" s="81"/>
      <c r="I825" s="81"/>
      <c r="J825" s="81"/>
      <c r="K825" s="81"/>
      <c r="L825" s="81"/>
      <c r="M825" s="81"/>
      <c r="N825" s="604"/>
      <c r="O825" s="934"/>
      <c r="AJ825" s="91"/>
      <c r="AK825" s="91"/>
      <c r="AL825" s="91"/>
      <c r="AM825" s="91"/>
      <c r="AN825" s="91"/>
      <c r="AO825" s="91"/>
      <c r="AP825" s="91"/>
      <c r="AQ825" s="91"/>
      <c r="AR825" s="91"/>
      <c r="AS825" s="91"/>
      <c r="AT825" s="91"/>
      <c r="AU825" s="91"/>
      <c r="AV825" s="91"/>
      <c r="AW825" s="91"/>
      <c r="AX825" s="91"/>
      <c r="AY825" s="91"/>
      <c r="AZ825" s="91"/>
      <c r="BA825" s="91"/>
      <c r="BB825" s="91"/>
      <c r="BC825" s="91"/>
      <c r="BD825" s="91"/>
      <c r="BE825" s="91"/>
      <c r="BF825" s="91"/>
      <c r="BG825" s="91"/>
      <c r="BH825" s="91"/>
      <c r="BI825" s="91"/>
    </row>
    <row r="826" spans="1:61" s="44" customFormat="1" ht="22.15" customHeight="1">
      <c r="A826" s="932" t="s">
        <v>571</v>
      </c>
      <c r="B826" s="546" t="s">
        <v>573</v>
      </c>
      <c r="C826" s="546">
        <v>176</v>
      </c>
      <c r="D826" s="546" t="s">
        <v>15</v>
      </c>
      <c r="E826" s="546">
        <v>6100404</v>
      </c>
      <c r="F826" s="546">
        <v>244</v>
      </c>
      <c r="G826" s="81">
        <f t="shared" si="290"/>
        <v>0</v>
      </c>
      <c r="H826" s="81"/>
      <c r="I826" s="81"/>
      <c r="J826" s="81"/>
      <c r="K826" s="81"/>
      <c r="L826" s="81"/>
      <c r="M826" s="81">
        <v>1.5</v>
      </c>
      <c r="N826" s="604"/>
      <c r="O826" s="944" t="s">
        <v>609</v>
      </c>
      <c r="AJ826" s="91"/>
      <c r="AK826" s="91"/>
      <c r="AL826" s="91"/>
      <c r="AM826" s="91"/>
      <c r="AN826" s="91"/>
      <c r="AO826" s="91"/>
      <c r="AP826" s="91"/>
      <c r="AQ826" s="91"/>
      <c r="AR826" s="91"/>
      <c r="AS826" s="91"/>
      <c r="AT826" s="91"/>
      <c r="AU826" s="91"/>
      <c r="AV826" s="91"/>
      <c r="AW826" s="91"/>
      <c r="AX826" s="91"/>
      <c r="AY826" s="91"/>
      <c r="AZ826" s="91"/>
      <c r="BA826" s="91"/>
      <c r="BB826" s="91"/>
      <c r="BC826" s="91"/>
      <c r="BD826" s="91"/>
      <c r="BE826" s="91"/>
      <c r="BF826" s="91"/>
      <c r="BG826" s="91"/>
      <c r="BH826" s="91"/>
      <c r="BI826" s="91"/>
    </row>
    <row r="827" spans="1:61" s="44" customFormat="1" ht="22.15" customHeight="1">
      <c r="A827" s="932"/>
      <c r="B827" s="546" t="s">
        <v>25</v>
      </c>
      <c r="C827" s="546"/>
      <c r="D827" s="546"/>
      <c r="E827" s="546"/>
      <c r="F827" s="546"/>
      <c r="G827" s="81">
        <f>G828+G829</f>
        <v>0</v>
      </c>
      <c r="H827" s="81"/>
      <c r="I827" s="81"/>
      <c r="J827" s="81"/>
      <c r="K827" s="81">
        <f>K828+K829</f>
        <v>0</v>
      </c>
      <c r="L827" s="81"/>
      <c r="M827" s="81">
        <f>M828</f>
        <v>25725</v>
      </c>
      <c r="N827" s="604"/>
      <c r="O827" s="944"/>
      <c r="AJ827" s="91"/>
      <c r="AK827" s="91"/>
      <c r="AL827" s="91"/>
      <c r="AM827" s="91"/>
      <c r="AN827" s="91"/>
      <c r="AO827" s="91"/>
      <c r="AP827" s="91"/>
      <c r="AQ827" s="91"/>
      <c r="AR827" s="91"/>
      <c r="AS827" s="91"/>
      <c r="AT827" s="91"/>
      <c r="AU827" s="91"/>
      <c r="AV827" s="91"/>
      <c r="AW827" s="91"/>
      <c r="AX827" s="91"/>
      <c r="AY827" s="91"/>
      <c r="AZ827" s="91"/>
      <c r="BA827" s="91"/>
      <c r="BB827" s="91"/>
      <c r="BC827" s="91"/>
      <c r="BD827" s="91"/>
      <c r="BE827" s="91"/>
      <c r="BF827" s="91"/>
      <c r="BG827" s="91"/>
      <c r="BH827" s="91"/>
      <c r="BI827" s="91"/>
    </row>
    <row r="828" spans="1:61" s="44" customFormat="1" ht="22.15" customHeight="1">
      <c r="A828" s="932"/>
      <c r="B828" s="546" t="s">
        <v>10</v>
      </c>
      <c r="C828" s="546"/>
      <c r="D828" s="546"/>
      <c r="E828" s="546"/>
      <c r="F828" s="546"/>
      <c r="G828" s="81">
        <f>K828</f>
        <v>0</v>
      </c>
      <c r="H828" s="81"/>
      <c r="I828" s="81"/>
      <c r="J828" s="81"/>
      <c r="K828" s="81">
        <v>0</v>
      </c>
      <c r="L828" s="81"/>
      <c r="M828" s="81">
        <v>25725</v>
      </c>
      <c r="N828" s="604"/>
      <c r="O828" s="944"/>
      <c r="AJ828" s="91"/>
      <c r="AK828" s="91"/>
      <c r="AL828" s="91"/>
      <c r="AM828" s="91"/>
      <c r="AN828" s="91"/>
      <c r="AO828" s="91"/>
      <c r="AP828" s="91"/>
      <c r="AQ828" s="91"/>
      <c r="AR828" s="91"/>
      <c r="AS828" s="91"/>
      <c r="AT828" s="91"/>
      <c r="AU828" s="91"/>
      <c r="AV828" s="91"/>
      <c r="AW828" s="91"/>
      <c r="AX828" s="91"/>
      <c r="AY828" s="91"/>
      <c r="AZ828" s="91"/>
      <c r="BA828" s="91"/>
      <c r="BB828" s="91"/>
      <c r="BC828" s="91"/>
      <c r="BD828" s="91"/>
      <c r="BE828" s="91"/>
      <c r="BF828" s="91"/>
      <c r="BG828" s="91"/>
      <c r="BH828" s="91"/>
      <c r="BI828" s="91"/>
    </row>
    <row r="829" spans="1:61" ht="24.6" customHeight="1">
      <c r="A829" s="932"/>
      <c r="B829" s="546" t="s">
        <v>495</v>
      </c>
      <c r="C829" s="546"/>
      <c r="D829" s="546"/>
      <c r="E829" s="546"/>
      <c r="F829" s="546"/>
      <c r="G829" s="81">
        <f t="shared" si="290"/>
        <v>0</v>
      </c>
      <c r="H829" s="81"/>
      <c r="I829" s="81"/>
      <c r="J829" s="81"/>
      <c r="K829" s="81">
        <v>0</v>
      </c>
      <c r="L829" s="81"/>
      <c r="M829" s="81"/>
      <c r="N829" s="604"/>
      <c r="O829" s="944"/>
    </row>
    <row r="830" spans="1:61" ht="25.9" customHeight="1">
      <c r="A830" s="945" t="s">
        <v>117</v>
      </c>
      <c r="B830" s="57" t="s">
        <v>89</v>
      </c>
      <c r="C830" s="57"/>
      <c r="D830" s="57"/>
      <c r="E830" s="57"/>
      <c r="F830" s="57"/>
      <c r="G830" s="80">
        <f>G834+G838+G842</f>
        <v>2.5</v>
      </c>
      <c r="H830" s="80">
        <f t="shared" ref="H830:M830" si="297">H834+H838+H842</f>
        <v>0</v>
      </c>
      <c r="I830" s="80">
        <f t="shared" si="297"/>
        <v>0</v>
      </c>
      <c r="J830" s="80">
        <f t="shared" si="297"/>
        <v>0</v>
      </c>
      <c r="K830" s="80">
        <f t="shared" si="297"/>
        <v>2.5</v>
      </c>
      <c r="L830" s="80">
        <f t="shared" si="297"/>
        <v>7</v>
      </c>
      <c r="M830" s="80">
        <f t="shared" si="297"/>
        <v>5</v>
      </c>
      <c r="N830" s="604"/>
      <c r="O830" s="610"/>
    </row>
    <row r="831" spans="1:61" ht="25.9" customHeight="1">
      <c r="A831" s="945"/>
      <c r="B831" s="57" t="s">
        <v>25</v>
      </c>
      <c r="C831" s="57"/>
      <c r="D831" s="57"/>
      <c r="E831" s="57"/>
      <c r="F831" s="57"/>
      <c r="G831" s="80">
        <f>G839+G843+G835</f>
        <v>23251.4</v>
      </c>
      <c r="H831" s="80">
        <f t="shared" ref="H831:M831" si="298">H839+H843+H835</f>
        <v>0</v>
      </c>
      <c r="I831" s="80">
        <f t="shared" si="298"/>
        <v>0</v>
      </c>
      <c r="J831" s="80">
        <f t="shared" si="298"/>
        <v>0</v>
      </c>
      <c r="K831" s="80">
        <f t="shared" si="298"/>
        <v>23251.4</v>
      </c>
      <c r="L831" s="80">
        <f t="shared" si="298"/>
        <v>96699.9</v>
      </c>
      <c r="M831" s="80">
        <f t="shared" si="298"/>
        <v>70000</v>
      </c>
      <c r="N831" s="604"/>
      <c r="O831" s="610"/>
    </row>
    <row r="832" spans="1:61" ht="25.9" customHeight="1">
      <c r="A832" s="945"/>
      <c r="B832" s="57" t="s">
        <v>10</v>
      </c>
      <c r="C832" s="57"/>
      <c r="D832" s="57"/>
      <c r="E832" s="57"/>
      <c r="F832" s="57"/>
      <c r="G832" s="80">
        <f>G836+G840+G844</f>
        <v>23251.4</v>
      </c>
      <c r="H832" s="80">
        <f t="shared" ref="H832:M832" si="299">H836+H840+H844</f>
        <v>0</v>
      </c>
      <c r="I832" s="80">
        <f t="shared" si="299"/>
        <v>0</v>
      </c>
      <c r="J832" s="80">
        <f t="shared" si="299"/>
        <v>0</v>
      </c>
      <c r="K832" s="80">
        <f t="shared" si="299"/>
        <v>23251.4</v>
      </c>
      <c r="L832" s="80">
        <f t="shared" si="299"/>
        <v>96699.9</v>
      </c>
      <c r="M832" s="80">
        <f t="shared" si="299"/>
        <v>70000</v>
      </c>
      <c r="N832" s="604"/>
      <c r="O832" s="610"/>
    </row>
    <row r="833" spans="1:61" s="44" customFormat="1" ht="30.6" customHeight="1">
      <c r="A833" s="945"/>
      <c r="B833" s="57" t="s">
        <v>495</v>
      </c>
      <c r="C833" s="57"/>
      <c r="D833" s="57"/>
      <c r="E833" s="57"/>
      <c r="F833" s="57"/>
      <c r="G833" s="80">
        <f>G837+G845</f>
        <v>0</v>
      </c>
      <c r="H833" s="80">
        <f t="shared" ref="H833:K833" si="300">H837+H845</f>
        <v>0</v>
      </c>
      <c r="I833" s="80">
        <f t="shared" si="300"/>
        <v>0</v>
      </c>
      <c r="J833" s="80">
        <f t="shared" si="300"/>
        <v>0</v>
      </c>
      <c r="K833" s="80">
        <f t="shared" si="300"/>
        <v>0</v>
      </c>
      <c r="L833" s="80">
        <f>L837+L845</f>
        <v>0</v>
      </c>
      <c r="M833" s="80">
        <f>M837+M845</f>
        <v>0</v>
      </c>
      <c r="N833" s="604"/>
      <c r="O833" s="610"/>
      <c r="AJ833" s="91"/>
      <c r="AK833" s="91"/>
      <c r="AL833" s="91"/>
      <c r="AM833" s="91"/>
      <c r="AN833" s="91"/>
      <c r="AO833" s="91"/>
      <c r="AP833" s="91"/>
      <c r="AQ833" s="91"/>
      <c r="AR833" s="91"/>
      <c r="AS833" s="91"/>
      <c r="AT833" s="91"/>
      <c r="AU833" s="91"/>
      <c r="AV833" s="91"/>
      <c r="AW833" s="91"/>
      <c r="AX833" s="91"/>
      <c r="AY833" s="91"/>
      <c r="AZ833" s="91"/>
      <c r="BA833" s="91"/>
      <c r="BB833" s="91"/>
      <c r="BC833" s="91"/>
      <c r="BD833" s="91"/>
      <c r="BE833" s="91"/>
      <c r="BF833" s="91"/>
      <c r="BG833" s="91"/>
      <c r="BH833" s="91"/>
      <c r="BI833" s="91"/>
    </row>
    <row r="834" spans="1:61" s="44" customFormat="1" ht="24.6" customHeight="1">
      <c r="A834" s="932" t="s">
        <v>528</v>
      </c>
      <c r="B834" s="546" t="s">
        <v>89</v>
      </c>
      <c r="C834" s="546">
        <v>176</v>
      </c>
      <c r="D834" s="546" t="s">
        <v>15</v>
      </c>
      <c r="E834" s="546">
        <v>6100404</v>
      </c>
      <c r="F834" s="546">
        <v>244</v>
      </c>
      <c r="G834" s="81"/>
      <c r="H834" s="81"/>
      <c r="I834" s="81"/>
      <c r="J834" s="81"/>
      <c r="K834" s="81"/>
      <c r="L834" s="92">
        <v>7</v>
      </c>
      <c r="M834" s="81"/>
      <c r="N834" s="604"/>
      <c r="O834" s="944" t="s">
        <v>574</v>
      </c>
      <c r="AJ834" s="91"/>
      <c r="AK834" s="91"/>
      <c r="AL834" s="91"/>
      <c r="AM834" s="91"/>
      <c r="AN834" s="91"/>
      <c r="AO834" s="91"/>
      <c r="AP834" s="91"/>
      <c r="AQ834" s="91"/>
      <c r="AR834" s="91"/>
      <c r="AS834" s="91"/>
      <c r="AT834" s="91"/>
      <c r="AU834" s="91"/>
      <c r="AV834" s="91"/>
      <c r="AW834" s="91"/>
      <c r="AX834" s="91"/>
      <c r="AY834" s="91"/>
      <c r="AZ834" s="91"/>
      <c r="BA834" s="91"/>
      <c r="BB834" s="91"/>
      <c r="BC834" s="91"/>
      <c r="BD834" s="91"/>
      <c r="BE834" s="91"/>
      <c r="BF834" s="91"/>
      <c r="BG834" s="91"/>
      <c r="BH834" s="91"/>
      <c r="BI834" s="91"/>
    </row>
    <row r="835" spans="1:61" s="44" customFormat="1" ht="24.6" customHeight="1">
      <c r="A835" s="932"/>
      <c r="B835" s="546" t="s">
        <v>25</v>
      </c>
      <c r="C835" s="546"/>
      <c r="D835" s="546"/>
      <c r="E835" s="546"/>
      <c r="F835" s="546"/>
      <c r="G835" s="81"/>
      <c r="H835" s="81"/>
      <c r="I835" s="81"/>
      <c r="J835" s="81"/>
      <c r="K835" s="81"/>
      <c r="L835" s="92">
        <f>L836+L837</f>
        <v>96699.9</v>
      </c>
      <c r="M835" s="81">
        <f>M836+M837</f>
        <v>0</v>
      </c>
      <c r="N835" s="604"/>
      <c r="O835" s="944"/>
      <c r="AJ835" s="91"/>
      <c r="AK835" s="91"/>
      <c r="AL835" s="91"/>
      <c r="AM835" s="91"/>
      <c r="AN835" s="91"/>
      <c r="AO835" s="91"/>
      <c r="AP835" s="91"/>
      <c r="AQ835" s="91"/>
      <c r="AR835" s="91"/>
      <c r="AS835" s="91"/>
      <c r="AT835" s="91"/>
      <c r="AU835" s="91"/>
      <c r="AV835" s="91"/>
      <c r="AW835" s="91"/>
      <c r="AX835" s="91"/>
      <c r="AY835" s="91"/>
      <c r="AZ835" s="91"/>
      <c r="BA835" s="91"/>
      <c r="BB835" s="91"/>
      <c r="BC835" s="91"/>
      <c r="BD835" s="91"/>
      <c r="BE835" s="91"/>
      <c r="BF835" s="91"/>
      <c r="BG835" s="91"/>
      <c r="BH835" s="91"/>
      <c r="BI835" s="91"/>
    </row>
    <row r="836" spans="1:61" s="44" customFormat="1" ht="24.6" customHeight="1">
      <c r="A836" s="932"/>
      <c r="B836" s="546" t="s">
        <v>10</v>
      </c>
      <c r="C836" s="546"/>
      <c r="D836" s="546"/>
      <c r="E836" s="546"/>
      <c r="F836" s="546"/>
      <c r="G836" s="81"/>
      <c r="H836" s="81"/>
      <c r="I836" s="81"/>
      <c r="J836" s="81"/>
      <c r="K836" s="81"/>
      <c r="L836" s="92">
        <f>94000+2699.9</f>
        <v>96699.9</v>
      </c>
      <c r="M836" s="81"/>
      <c r="N836" s="604"/>
      <c r="O836" s="944"/>
      <c r="AJ836" s="91"/>
      <c r="AK836" s="91"/>
      <c r="AL836" s="91"/>
      <c r="AM836" s="91"/>
      <c r="AN836" s="91"/>
      <c r="AO836" s="91"/>
      <c r="AP836" s="91"/>
      <c r="AQ836" s="91"/>
      <c r="AR836" s="91"/>
      <c r="AS836" s="91"/>
      <c r="AT836" s="91"/>
      <c r="AU836" s="91"/>
      <c r="AV836" s="91"/>
      <c r="AW836" s="91"/>
      <c r="AX836" s="91"/>
      <c r="AY836" s="91"/>
      <c r="AZ836" s="91"/>
      <c r="BA836" s="91"/>
      <c r="BB836" s="91"/>
      <c r="BC836" s="91"/>
      <c r="BD836" s="91"/>
      <c r="BE836" s="91"/>
      <c r="BF836" s="91"/>
      <c r="BG836" s="91"/>
      <c r="BH836" s="91"/>
      <c r="BI836" s="91"/>
    </row>
    <row r="837" spans="1:61" ht="26.45" customHeight="1">
      <c r="A837" s="932"/>
      <c r="B837" s="546" t="s">
        <v>495</v>
      </c>
      <c r="C837" s="546"/>
      <c r="D837" s="546"/>
      <c r="E837" s="546"/>
      <c r="F837" s="546"/>
      <c r="G837" s="81"/>
      <c r="H837" s="81"/>
      <c r="I837" s="81"/>
      <c r="J837" s="81"/>
      <c r="K837" s="81"/>
      <c r="L837" s="81"/>
      <c r="M837" s="81"/>
      <c r="N837" s="604"/>
      <c r="O837" s="944"/>
    </row>
    <row r="838" spans="1:61" ht="26.45" customHeight="1">
      <c r="A838" s="1035" t="s">
        <v>575</v>
      </c>
      <c r="B838" s="651" t="s">
        <v>89</v>
      </c>
      <c r="C838" s="651"/>
      <c r="D838" s="651"/>
      <c r="E838" s="651"/>
      <c r="F838" s="651"/>
      <c r="G838" s="81">
        <f>K838</f>
        <v>2.5</v>
      </c>
      <c r="H838" s="81"/>
      <c r="I838" s="81"/>
      <c r="J838" s="81"/>
      <c r="K838" s="81">
        <v>2.5</v>
      </c>
      <c r="L838" s="81"/>
      <c r="M838" s="81"/>
      <c r="N838" s="651"/>
      <c r="O838" s="933" t="s">
        <v>930</v>
      </c>
    </row>
    <row r="839" spans="1:61" ht="26.45" customHeight="1">
      <c r="A839" s="1036"/>
      <c r="B839" s="651" t="s">
        <v>25</v>
      </c>
      <c r="C839" s="651"/>
      <c r="D839" s="651"/>
      <c r="E839" s="651"/>
      <c r="F839" s="651"/>
      <c r="G839" s="81">
        <f t="shared" ref="G839:G841" si="301">K839</f>
        <v>23251.4</v>
      </c>
      <c r="H839" s="81"/>
      <c r="I839" s="81"/>
      <c r="J839" s="81"/>
      <c r="K839" s="81">
        <f>K840+K841</f>
        <v>23251.4</v>
      </c>
      <c r="L839" s="81">
        <f>L840+L841</f>
        <v>0</v>
      </c>
      <c r="M839" s="81"/>
      <c r="N839" s="651"/>
      <c r="O839" s="946"/>
    </row>
    <row r="840" spans="1:61" ht="26.45" customHeight="1">
      <c r="A840" s="1036"/>
      <c r="B840" s="651" t="s">
        <v>10</v>
      </c>
      <c r="C840" s="651"/>
      <c r="D840" s="651"/>
      <c r="E840" s="651"/>
      <c r="F840" s="651"/>
      <c r="G840" s="81">
        <f t="shared" si="301"/>
        <v>23251.4</v>
      </c>
      <c r="H840" s="81"/>
      <c r="I840" s="81"/>
      <c r="J840" s="81"/>
      <c r="K840" s="81">
        <v>23251.4</v>
      </c>
      <c r="L840" s="81"/>
      <c r="M840" s="81"/>
      <c r="N840" s="651"/>
      <c r="O840" s="946"/>
    </row>
    <row r="841" spans="1:61" ht="26.45" customHeight="1">
      <c r="A841" s="1037"/>
      <c r="B841" s="651" t="s">
        <v>495</v>
      </c>
      <c r="C841" s="651"/>
      <c r="D841" s="651"/>
      <c r="E841" s="651"/>
      <c r="F841" s="651"/>
      <c r="G841" s="81">
        <f t="shared" si="301"/>
        <v>0</v>
      </c>
      <c r="H841" s="81"/>
      <c r="I841" s="81"/>
      <c r="J841" s="81"/>
      <c r="K841" s="81"/>
      <c r="L841" s="81"/>
      <c r="M841" s="81"/>
      <c r="N841" s="651"/>
      <c r="O841" s="934"/>
    </row>
    <row r="842" spans="1:61" ht="26.45" customHeight="1">
      <c r="A842" s="1020" t="s">
        <v>151</v>
      </c>
      <c r="B842" s="546" t="s">
        <v>89</v>
      </c>
      <c r="C842" s="546"/>
      <c r="D842" s="546"/>
      <c r="E842" s="546"/>
      <c r="F842" s="546"/>
      <c r="G842" s="81">
        <f>K842</f>
        <v>0</v>
      </c>
      <c r="H842" s="81"/>
      <c r="I842" s="81"/>
      <c r="J842" s="81"/>
      <c r="K842" s="81"/>
      <c r="L842" s="81"/>
      <c r="M842" s="81">
        <v>5</v>
      </c>
      <c r="N842" s="604"/>
      <c r="O842" s="933" t="s">
        <v>971</v>
      </c>
    </row>
    <row r="843" spans="1:61" ht="26.45" customHeight="1">
      <c r="A843" s="1021"/>
      <c r="B843" s="546" t="s">
        <v>25</v>
      </c>
      <c r="C843" s="546"/>
      <c r="D843" s="546"/>
      <c r="E843" s="546"/>
      <c r="F843" s="546"/>
      <c r="G843" s="81">
        <f t="shared" ref="G843:G845" si="302">K843</f>
        <v>0</v>
      </c>
      <c r="H843" s="81"/>
      <c r="I843" s="81"/>
      <c r="J843" s="81"/>
      <c r="K843" s="81">
        <f>K844+K845</f>
        <v>0</v>
      </c>
      <c r="L843" s="81">
        <f>L844+L845</f>
        <v>0</v>
      </c>
      <c r="M843" s="81">
        <f>M844</f>
        <v>70000</v>
      </c>
      <c r="N843" s="604"/>
      <c r="O843" s="946"/>
    </row>
    <row r="844" spans="1:61" ht="26.45" customHeight="1">
      <c r="A844" s="1021"/>
      <c r="B844" s="546" t="s">
        <v>10</v>
      </c>
      <c r="C844" s="546"/>
      <c r="D844" s="546"/>
      <c r="E844" s="546"/>
      <c r="F844" s="546"/>
      <c r="G844" s="81">
        <f t="shared" si="302"/>
        <v>0</v>
      </c>
      <c r="H844" s="81"/>
      <c r="I844" s="81"/>
      <c r="J844" s="81"/>
      <c r="K844" s="81"/>
      <c r="L844" s="81"/>
      <c r="M844" s="81">
        <v>70000</v>
      </c>
      <c r="N844" s="604"/>
      <c r="O844" s="946"/>
    </row>
    <row r="845" spans="1:61" ht="26.45" customHeight="1">
      <c r="A845" s="1022"/>
      <c r="B845" s="546" t="s">
        <v>495</v>
      </c>
      <c r="C845" s="546"/>
      <c r="D845" s="546"/>
      <c r="E845" s="546"/>
      <c r="F845" s="546"/>
      <c r="G845" s="81">
        <f t="shared" si="302"/>
        <v>0</v>
      </c>
      <c r="H845" s="81"/>
      <c r="I845" s="81"/>
      <c r="J845" s="81"/>
      <c r="K845" s="81"/>
      <c r="L845" s="81"/>
      <c r="M845" s="81"/>
      <c r="N845" s="604"/>
      <c r="O845" s="934"/>
    </row>
    <row r="846" spans="1:61" ht="24.6" customHeight="1">
      <c r="A846" s="945" t="s">
        <v>153</v>
      </c>
      <c r="B846" s="57" t="s">
        <v>89</v>
      </c>
      <c r="C846" s="57"/>
      <c r="D846" s="57"/>
      <c r="E846" s="57"/>
      <c r="F846" s="57"/>
      <c r="G846" s="80">
        <f t="shared" ref="G846:M847" si="303">G848+G850+G852+G854+G856</f>
        <v>0</v>
      </c>
      <c r="H846" s="80"/>
      <c r="I846" s="80"/>
      <c r="J846" s="80"/>
      <c r="K846" s="80"/>
      <c r="L846" s="80">
        <f t="shared" si="303"/>
        <v>8.5</v>
      </c>
      <c r="M846" s="80">
        <f t="shared" si="303"/>
        <v>0</v>
      </c>
      <c r="N846" s="604"/>
      <c r="O846" s="610"/>
    </row>
    <row r="847" spans="1:61" ht="30" customHeight="1">
      <c r="A847" s="945"/>
      <c r="B847" s="57" t="s">
        <v>246</v>
      </c>
      <c r="C847" s="57"/>
      <c r="D847" s="57"/>
      <c r="E847" s="57"/>
      <c r="F847" s="57"/>
      <c r="G847" s="80">
        <f t="shared" si="303"/>
        <v>0</v>
      </c>
      <c r="H847" s="80">
        <f t="shared" si="303"/>
        <v>0</v>
      </c>
      <c r="I847" s="80">
        <f t="shared" si="303"/>
        <v>0</v>
      </c>
      <c r="J847" s="80">
        <f t="shared" si="303"/>
        <v>0</v>
      </c>
      <c r="K847" s="80">
        <f t="shared" si="303"/>
        <v>0</v>
      </c>
      <c r="L847" s="80">
        <f t="shared" si="303"/>
        <v>100621.6</v>
      </c>
      <c r="M847" s="80">
        <f t="shared" si="303"/>
        <v>0</v>
      </c>
      <c r="N847" s="604"/>
      <c r="O847" s="610"/>
    </row>
    <row r="848" spans="1:61" ht="24.6" hidden="1" customHeight="1">
      <c r="A848" s="932" t="s">
        <v>152</v>
      </c>
      <c r="B848" s="546" t="s">
        <v>89</v>
      </c>
      <c r="C848" s="546">
        <v>176</v>
      </c>
      <c r="D848" s="546" t="s">
        <v>15</v>
      </c>
      <c r="E848" s="546">
        <v>6100404</v>
      </c>
      <c r="F848" s="546">
        <v>244</v>
      </c>
      <c r="G848" s="81">
        <v>0</v>
      </c>
      <c r="H848" s="81"/>
      <c r="I848" s="81"/>
      <c r="J848" s="81"/>
      <c r="K848" s="81"/>
      <c r="L848" s="81"/>
      <c r="M848" s="81"/>
      <c r="N848" s="604"/>
      <c r="O848" s="944" t="s">
        <v>227</v>
      </c>
    </row>
    <row r="849" spans="1:61" ht="24" hidden="1" customHeight="1">
      <c r="A849" s="932"/>
      <c r="B849" s="546" t="s">
        <v>246</v>
      </c>
      <c r="C849" s="546"/>
      <c r="D849" s="546"/>
      <c r="E849" s="546"/>
      <c r="F849" s="546"/>
      <c r="G849" s="81"/>
      <c r="H849" s="81"/>
      <c r="I849" s="81"/>
      <c r="J849" s="81"/>
      <c r="K849" s="81"/>
      <c r="L849" s="81"/>
      <c r="M849" s="81"/>
      <c r="N849" s="604"/>
      <c r="O849" s="944"/>
    </row>
    <row r="850" spans="1:61" ht="24.6" customHeight="1">
      <c r="A850" s="932" t="s">
        <v>1101</v>
      </c>
      <c r="B850" s="546" t="s">
        <v>89</v>
      </c>
      <c r="C850" s="546">
        <v>176</v>
      </c>
      <c r="D850" s="546" t="s">
        <v>15</v>
      </c>
      <c r="E850" s="546">
        <v>6100404</v>
      </c>
      <c r="F850" s="546">
        <v>244</v>
      </c>
      <c r="G850" s="81"/>
      <c r="H850" s="81"/>
      <c r="I850" s="81"/>
      <c r="J850" s="81"/>
      <c r="K850" s="81"/>
      <c r="L850" s="81">
        <v>8.5</v>
      </c>
      <c r="M850" s="81"/>
      <c r="N850" s="604"/>
      <c r="O850" s="944" t="s">
        <v>577</v>
      </c>
    </row>
    <row r="851" spans="1:61" ht="24.6" customHeight="1">
      <c r="A851" s="932"/>
      <c r="B851" s="546" t="s">
        <v>246</v>
      </c>
      <c r="C851" s="546"/>
      <c r="D851" s="546"/>
      <c r="E851" s="546"/>
      <c r="F851" s="546"/>
      <c r="G851" s="81"/>
      <c r="H851" s="81"/>
      <c r="I851" s="81"/>
      <c r="J851" s="81"/>
      <c r="K851" s="81"/>
      <c r="L851" s="81">
        <v>100621.6</v>
      </c>
      <c r="M851" s="81"/>
      <c r="N851" s="604"/>
      <c r="O851" s="944"/>
    </row>
    <row r="852" spans="1:61" ht="0.6" customHeight="1">
      <c r="A852" s="932" t="s">
        <v>123</v>
      </c>
      <c r="B852" s="546" t="s">
        <v>89</v>
      </c>
      <c r="C852" s="546">
        <v>176</v>
      </c>
      <c r="D852" s="546" t="s">
        <v>15</v>
      </c>
      <c r="E852" s="546">
        <v>6100404</v>
      </c>
      <c r="F852" s="546">
        <v>243</v>
      </c>
      <c r="G852" s="81"/>
      <c r="H852" s="81"/>
      <c r="I852" s="81"/>
      <c r="J852" s="81"/>
      <c r="K852" s="81"/>
      <c r="L852" s="81"/>
      <c r="M852" s="81"/>
      <c r="N852" s="604"/>
      <c r="O852" s="944" t="s">
        <v>254</v>
      </c>
    </row>
    <row r="853" spans="1:61" ht="25.15" hidden="1" customHeight="1">
      <c r="A853" s="932"/>
      <c r="B853" s="546" t="s">
        <v>246</v>
      </c>
      <c r="C853" s="546"/>
      <c r="D853" s="546"/>
      <c r="E853" s="546"/>
      <c r="F853" s="546"/>
      <c r="G853" s="81"/>
      <c r="H853" s="81"/>
      <c r="I853" s="81"/>
      <c r="J853" s="81"/>
      <c r="K853" s="81"/>
      <c r="L853" s="81"/>
      <c r="M853" s="81"/>
      <c r="N853" s="604"/>
      <c r="O853" s="944"/>
    </row>
    <row r="854" spans="1:61" ht="25.15" hidden="1" customHeight="1">
      <c r="A854" s="932" t="s">
        <v>158</v>
      </c>
      <c r="B854" s="546" t="s">
        <v>89</v>
      </c>
      <c r="C854" s="546"/>
      <c r="D854" s="546"/>
      <c r="E854" s="546"/>
      <c r="F854" s="546"/>
      <c r="G854" s="81"/>
      <c r="H854" s="81"/>
      <c r="I854" s="81"/>
      <c r="J854" s="81"/>
      <c r="K854" s="81"/>
      <c r="L854" s="81"/>
      <c r="M854" s="81"/>
      <c r="N854" s="604"/>
      <c r="O854" s="944" t="s">
        <v>292</v>
      </c>
    </row>
    <row r="855" spans="1:61" s="44" customFormat="1" ht="24.95" hidden="1" customHeight="1">
      <c r="A855" s="932"/>
      <c r="B855" s="546" t="s">
        <v>246</v>
      </c>
      <c r="C855" s="546"/>
      <c r="D855" s="546"/>
      <c r="E855" s="546"/>
      <c r="F855" s="546"/>
      <c r="G855" s="81">
        <f>J855</f>
        <v>0</v>
      </c>
      <c r="H855" s="81"/>
      <c r="I855" s="81"/>
      <c r="J855" s="81"/>
      <c r="K855" s="81"/>
      <c r="L855" s="81"/>
      <c r="M855" s="81"/>
      <c r="N855" s="604"/>
      <c r="O855" s="944"/>
      <c r="AJ855" s="91"/>
      <c r="AK855" s="91"/>
      <c r="AL855" s="91"/>
      <c r="AM855" s="91"/>
      <c r="AN855" s="91"/>
      <c r="AO855" s="91"/>
      <c r="AP855" s="91"/>
      <c r="AQ855" s="91"/>
      <c r="AR855" s="91"/>
      <c r="AS855" s="91"/>
      <c r="AT855" s="91"/>
      <c r="AU855" s="91"/>
      <c r="AV855" s="91"/>
      <c r="AW855" s="91"/>
      <c r="AX855" s="91"/>
      <c r="AY855" s="91"/>
      <c r="AZ855" s="91"/>
      <c r="BA855" s="91"/>
      <c r="BB855" s="91"/>
      <c r="BC855" s="91"/>
      <c r="BD855" s="91"/>
      <c r="BE855" s="91"/>
      <c r="BF855" s="91"/>
      <c r="BG855" s="91"/>
      <c r="BH855" s="91"/>
      <c r="BI855" s="91"/>
    </row>
    <row r="856" spans="1:61" s="44" customFormat="1" ht="24.95" hidden="1" customHeight="1">
      <c r="A856" s="1033" t="s">
        <v>255</v>
      </c>
      <c r="B856" s="546" t="s">
        <v>89</v>
      </c>
      <c r="C856" s="546"/>
      <c r="D856" s="546"/>
      <c r="E856" s="546"/>
      <c r="F856" s="546"/>
      <c r="G856" s="81"/>
      <c r="H856" s="81"/>
      <c r="I856" s="81"/>
      <c r="J856" s="81"/>
      <c r="K856" s="81"/>
      <c r="L856" s="81"/>
      <c r="M856" s="81"/>
      <c r="N856" s="604"/>
      <c r="O856" s="944"/>
      <c r="AJ856" s="91"/>
      <c r="AK856" s="91"/>
      <c r="AL856" s="91"/>
      <c r="AM856" s="91"/>
      <c r="AN856" s="91"/>
      <c r="AO856" s="91"/>
      <c r="AP856" s="91"/>
      <c r="AQ856" s="91"/>
      <c r="AR856" s="91"/>
      <c r="AS856" s="91"/>
      <c r="AT856" s="91"/>
      <c r="AU856" s="91"/>
      <c r="AV856" s="91"/>
      <c r="AW856" s="91"/>
      <c r="AX856" s="91"/>
      <c r="AY856" s="91"/>
      <c r="AZ856" s="91"/>
      <c r="BA856" s="91"/>
      <c r="BB856" s="91"/>
      <c r="BC856" s="91"/>
      <c r="BD856" s="91"/>
      <c r="BE856" s="91"/>
      <c r="BF856" s="91"/>
      <c r="BG856" s="91"/>
      <c r="BH856" s="91"/>
      <c r="BI856" s="91"/>
    </row>
    <row r="857" spans="1:61" ht="24.95" hidden="1" customHeight="1">
      <c r="A857" s="1034"/>
      <c r="B857" s="546" t="s">
        <v>246</v>
      </c>
      <c r="C857" s="546"/>
      <c r="D857" s="546"/>
      <c r="E857" s="546"/>
      <c r="F857" s="546"/>
      <c r="G857" s="81"/>
      <c r="H857" s="81"/>
      <c r="I857" s="81"/>
      <c r="J857" s="81"/>
      <c r="K857" s="81"/>
      <c r="L857" s="81">
        <f>18250-18250</f>
        <v>0</v>
      </c>
      <c r="M857" s="81"/>
      <c r="N857" s="604"/>
      <c r="O857" s="944"/>
    </row>
    <row r="858" spans="1:61" ht="24.6" customHeight="1">
      <c r="A858" s="945" t="s">
        <v>119</v>
      </c>
      <c r="B858" s="57" t="s">
        <v>89</v>
      </c>
      <c r="C858" s="57"/>
      <c r="D858" s="57"/>
      <c r="E858" s="57"/>
      <c r="F858" s="57"/>
      <c r="G858" s="80">
        <f>G860+G862</f>
        <v>3</v>
      </c>
      <c r="H858" s="80">
        <f t="shared" ref="H858:M858" si="304">H860+H862</f>
        <v>0</v>
      </c>
      <c r="I858" s="80">
        <f t="shared" si="304"/>
        <v>0</v>
      </c>
      <c r="J858" s="80">
        <f t="shared" si="304"/>
        <v>0</v>
      </c>
      <c r="K858" s="80">
        <f t="shared" si="304"/>
        <v>3</v>
      </c>
      <c r="L858" s="80">
        <f t="shared" si="304"/>
        <v>0</v>
      </c>
      <c r="M858" s="80">
        <f t="shared" si="304"/>
        <v>0</v>
      </c>
      <c r="N858" s="604"/>
      <c r="O858" s="610"/>
    </row>
    <row r="859" spans="1:61" s="44" customFormat="1" ht="24.6" customHeight="1">
      <c r="A859" s="945"/>
      <c r="B859" s="57" t="s">
        <v>246</v>
      </c>
      <c r="C859" s="57"/>
      <c r="D859" s="57"/>
      <c r="E859" s="57"/>
      <c r="F859" s="57"/>
      <c r="G859" s="80">
        <f>G861+G863</f>
        <v>16440.599999999999</v>
      </c>
      <c r="H859" s="80">
        <f t="shared" ref="H859:M859" si="305">H861+H863</f>
        <v>0</v>
      </c>
      <c r="I859" s="80">
        <f t="shared" si="305"/>
        <v>0</v>
      </c>
      <c r="J859" s="80">
        <f t="shared" si="305"/>
        <v>0</v>
      </c>
      <c r="K859" s="80">
        <f t="shared" si="305"/>
        <v>16440.599999999999</v>
      </c>
      <c r="L859" s="80">
        <f t="shared" si="305"/>
        <v>0</v>
      </c>
      <c r="M859" s="80">
        <f t="shared" si="305"/>
        <v>0</v>
      </c>
      <c r="N859" s="604"/>
      <c r="O859" s="610"/>
      <c r="AJ859" s="91"/>
      <c r="AK859" s="91"/>
      <c r="AL859" s="91"/>
      <c r="AM859" s="91"/>
      <c r="AN859" s="91"/>
      <c r="AO859" s="91"/>
      <c r="AP859" s="91"/>
      <c r="AQ859" s="91"/>
      <c r="AR859" s="91"/>
      <c r="AS859" s="91"/>
      <c r="AT859" s="91"/>
      <c r="AU859" s="91"/>
      <c r="AV859" s="91"/>
      <c r="AW859" s="91"/>
      <c r="AX859" s="91"/>
      <c r="AY859" s="91"/>
      <c r="AZ859" s="91"/>
      <c r="BA859" s="91"/>
      <c r="BB859" s="91"/>
      <c r="BC859" s="91"/>
      <c r="BD859" s="91"/>
      <c r="BE859" s="91"/>
      <c r="BF859" s="91"/>
      <c r="BG859" s="91"/>
      <c r="BH859" s="91"/>
      <c r="BI859" s="91"/>
    </row>
    <row r="860" spans="1:61" s="44" customFormat="1" ht="24.6" hidden="1" customHeight="1">
      <c r="A860" s="932" t="s">
        <v>154</v>
      </c>
      <c r="B860" s="546" t="s">
        <v>89</v>
      </c>
      <c r="C860" s="546">
        <v>176</v>
      </c>
      <c r="D860" s="546" t="s">
        <v>15</v>
      </c>
      <c r="E860" s="546">
        <v>6100404</v>
      </c>
      <c r="F860" s="546">
        <v>244</v>
      </c>
      <c r="G860" s="81">
        <f>K860</f>
        <v>0</v>
      </c>
      <c r="H860" s="81"/>
      <c r="I860" s="81"/>
      <c r="J860" s="81"/>
      <c r="K860" s="81">
        <v>0</v>
      </c>
      <c r="L860" s="81"/>
      <c r="M860" s="81"/>
      <c r="N860" s="604"/>
      <c r="O860" s="944" t="s">
        <v>851</v>
      </c>
      <c r="AJ860" s="91"/>
      <c r="AK860" s="91"/>
      <c r="AL860" s="91"/>
      <c r="AM860" s="91"/>
      <c r="AN860" s="91"/>
      <c r="AO860" s="91"/>
      <c r="AP860" s="91"/>
      <c r="AQ860" s="91"/>
      <c r="AR860" s="91"/>
      <c r="AS860" s="91"/>
      <c r="AT860" s="91"/>
      <c r="AU860" s="91"/>
      <c r="AV860" s="91"/>
      <c r="AW860" s="91"/>
      <c r="AX860" s="91"/>
      <c r="AY860" s="91"/>
      <c r="AZ860" s="91"/>
      <c r="BA860" s="91"/>
      <c r="BB860" s="91"/>
      <c r="BC860" s="91"/>
      <c r="BD860" s="91"/>
      <c r="BE860" s="91"/>
      <c r="BF860" s="91"/>
      <c r="BG860" s="91"/>
      <c r="BH860" s="91"/>
      <c r="BI860" s="91"/>
    </row>
    <row r="861" spans="1:61" ht="24.6" hidden="1" customHeight="1">
      <c r="A861" s="932"/>
      <c r="B861" s="546" t="s">
        <v>246</v>
      </c>
      <c r="C861" s="546"/>
      <c r="D861" s="546"/>
      <c r="E861" s="546"/>
      <c r="F861" s="546"/>
      <c r="G861" s="81">
        <f>K861</f>
        <v>0</v>
      </c>
      <c r="H861" s="81"/>
      <c r="I861" s="81"/>
      <c r="J861" s="81"/>
      <c r="K861" s="81">
        <v>0</v>
      </c>
      <c r="L861" s="81"/>
      <c r="M861" s="81"/>
      <c r="N861" s="604"/>
      <c r="O861" s="944"/>
    </row>
    <row r="862" spans="1:61" ht="24.6" customHeight="1">
      <c r="A862" s="926" t="s">
        <v>578</v>
      </c>
      <c r="B862" s="546" t="s">
        <v>89</v>
      </c>
      <c r="C862" s="546"/>
      <c r="D862" s="546"/>
      <c r="E862" s="546"/>
      <c r="F862" s="546"/>
      <c r="G862" s="81">
        <f>K862</f>
        <v>3</v>
      </c>
      <c r="H862" s="81"/>
      <c r="I862" s="81"/>
      <c r="J862" s="81"/>
      <c r="K862" s="81">
        <v>3</v>
      </c>
      <c r="L862" s="81"/>
      <c r="M862" s="81"/>
      <c r="N862" s="604"/>
      <c r="O862" s="933" t="s">
        <v>529</v>
      </c>
    </row>
    <row r="863" spans="1:61" ht="24.6" customHeight="1">
      <c r="A863" s="928"/>
      <c r="B863" s="546" t="s">
        <v>246</v>
      </c>
      <c r="C863" s="546"/>
      <c r="D863" s="546"/>
      <c r="E863" s="546"/>
      <c r="F863" s="546"/>
      <c r="G863" s="81">
        <f>K863</f>
        <v>16440.599999999999</v>
      </c>
      <c r="H863" s="81"/>
      <c r="I863" s="81"/>
      <c r="J863" s="81"/>
      <c r="K863" s="81">
        <v>16440.599999999999</v>
      </c>
      <c r="L863" s="81"/>
      <c r="M863" s="81"/>
      <c r="N863" s="604"/>
      <c r="O863" s="934"/>
    </row>
    <row r="864" spans="1:61" ht="22.15" customHeight="1">
      <c r="A864" s="945" t="s">
        <v>124</v>
      </c>
      <c r="B864" s="57" t="s">
        <v>89</v>
      </c>
      <c r="C864" s="57"/>
      <c r="D864" s="57"/>
      <c r="E864" s="57"/>
      <c r="F864" s="57"/>
      <c r="G864" s="80">
        <f>G866+G868+G870+G872+G874</f>
        <v>3</v>
      </c>
      <c r="H864" s="80">
        <f t="shared" ref="H864:M864" si="306">H866+H868+H870+H872+H874</f>
        <v>0</v>
      </c>
      <c r="I864" s="80">
        <f t="shared" si="306"/>
        <v>0</v>
      </c>
      <c r="J864" s="80">
        <f t="shared" si="306"/>
        <v>0</v>
      </c>
      <c r="K864" s="80">
        <f t="shared" si="306"/>
        <v>3</v>
      </c>
      <c r="L864" s="80">
        <f t="shared" si="306"/>
        <v>6</v>
      </c>
      <c r="M864" s="80">
        <f t="shared" si="306"/>
        <v>6.1</v>
      </c>
      <c r="N864" s="604"/>
      <c r="O864" s="610"/>
    </row>
    <row r="865" spans="1:61" ht="27.6" customHeight="1">
      <c r="A865" s="945"/>
      <c r="B865" s="57" t="s">
        <v>246</v>
      </c>
      <c r="C865" s="57"/>
      <c r="D865" s="57"/>
      <c r="E865" s="57"/>
      <c r="F865" s="57"/>
      <c r="G865" s="80">
        <f>G867+G869+G871+G873+G875</f>
        <v>26394.5</v>
      </c>
      <c r="H865" s="80">
        <f t="shared" ref="H865:M865" si="307">H867+H869+H871+H873+H875</f>
        <v>0</v>
      </c>
      <c r="I865" s="80">
        <f t="shared" si="307"/>
        <v>0</v>
      </c>
      <c r="J865" s="80">
        <f t="shared" si="307"/>
        <v>0</v>
      </c>
      <c r="K865" s="80">
        <f t="shared" si="307"/>
        <v>26394.5</v>
      </c>
      <c r="L865" s="80">
        <f t="shared" si="307"/>
        <v>70011</v>
      </c>
      <c r="M865" s="80">
        <f t="shared" si="307"/>
        <v>89400</v>
      </c>
      <c r="N865" s="604"/>
      <c r="O865" s="610"/>
    </row>
    <row r="866" spans="1:61" ht="24.6" customHeight="1">
      <c r="A866" s="932" t="s">
        <v>932</v>
      </c>
      <c r="B866" s="546" t="s">
        <v>89</v>
      </c>
      <c r="C866" s="546">
        <v>176</v>
      </c>
      <c r="D866" s="546" t="s">
        <v>15</v>
      </c>
      <c r="E866" s="546">
        <v>6100404</v>
      </c>
      <c r="F866" s="546">
        <v>244</v>
      </c>
      <c r="G866" s="81">
        <f>K866</f>
        <v>0</v>
      </c>
      <c r="H866" s="81"/>
      <c r="I866" s="81"/>
      <c r="J866" s="81"/>
      <c r="K866" s="81"/>
      <c r="L866" s="81"/>
      <c r="M866" s="81">
        <v>0.3</v>
      </c>
      <c r="N866" s="604"/>
      <c r="O866" s="944" t="s">
        <v>598</v>
      </c>
    </row>
    <row r="867" spans="1:61" s="44" customFormat="1" ht="24" customHeight="1">
      <c r="A867" s="932"/>
      <c r="B867" s="546" t="s">
        <v>246</v>
      </c>
      <c r="C867" s="546"/>
      <c r="D867" s="546"/>
      <c r="E867" s="546"/>
      <c r="F867" s="546"/>
      <c r="G867" s="81">
        <f>K867</f>
        <v>0</v>
      </c>
      <c r="H867" s="81"/>
      <c r="I867" s="81"/>
      <c r="J867" s="81"/>
      <c r="K867" s="81"/>
      <c r="L867" s="81"/>
      <c r="M867" s="81">
        <v>5200</v>
      </c>
      <c r="N867" s="604"/>
      <c r="O867" s="944"/>
      <c r="AJ867" s="91"/>
      <c r="AK867" s="91"/>
      <c r="AL867" s="91"/>
      <c r="AM867" s="91"/>
      <c r="AN867" s="91"/>
      <c r="AO867" s="91"/>
      <c r="AP867" s="91"/>
      <c r="AQ867" s="91"/>
      <c r="AR867" s="91"/>
      <c r="AS867" s="91"/>
      <c r="AT867" s="91"/>
      <c r="AU867" s="91"/>
      <c r="AV867" s="91"/>
      <c r="AW867" s="91"/>
      <c r="AX867" s="91"/>
      <c r="AY867" s="91"/>
      <c r="AZ867" s="91"/>
      <c r="BA867" s="91"/>
      <c r="BB867" s="91"/>
      <c r="BC867" s="91"/>
      <c r="BD867" s="91"/>
      <c r="BE867" s="91"/>
      <c r="BF867" s="91"/>
      <c r="BG867" s="91"/>
      <c r="BH867" s="91"/>
      <c r="BI867" s="91"/>
    </row>
    <row r="868" spans="1:61" s="44" customFormat="1" ht="24.6" customHeight="1">
      <c r="A868" s="932" t="s">
        <v>579</v>
      </c>
      <c r="B868" s="546" t="s">
        <v>89</v>
      </c>
      <c r="C868" s="546">
        <v>176</v>
      </c>
      <c r="D868" s="546" t="s">
        <v>15</v>
      </c>
      <c r="E868" s="546">
        <v>6100404</v>
      </c>
      <c r="F868" s="546">
        <v>244</v>
      </c>
      <c r="G868" s="81"/>
      <c r="H868" s="81"/>
      <c r="I868" s="81"/>
      <c r="J868" s="81"/>
      <c r="K868" s="81"/>
      <c r="L868" s="81">
        <v>4</v>
      </c>
      <c r="M868" s="81"/>
      <c r="N868" s="604"/>
      <c r="O868" s="933" t="s">
        <v>582</v>
      </c>
      <c r="AJ868" s="91"/>
      <c r="AK868" s="91"/>
      <c r="AL868" s="91"/>
      <c r="AM868" s="91"/>
      <c r="AN868" s="91"/>
      <c r="AO868" s="91"/>
      <c r="AP868" s="91"/>
      <c r="AQ868" s="91"/>
      <c r="AR868" s="91"/>
      <c r="AS868" s="91"/>
      <c r="AT868" s="91"/>
      <c r="AU868" s="91"/>
      <c r="AV868" s="91"/>
      <c r="AW868" s="91"/>
      <c r="AX868" s="91"/>
      <c r="AY868" s="91"/>
      <c r="AZ868" s="91"/>
      <c r="BA868" s="91"/>
      <c r="BB868" s="91"/>
      <c r="BC868" s="91"/>
      <c r="BD868" s="91"/>
      <c r="BE868" s="91"/>
      <c r="BF868" s="91"/>
      <c r="BG868" s="91"/>
      <c r="BH868" s="91"/>
      <c r="BI868" s="91"/>
    </row>
    <row r="869" spans="1:61" ht="24.6" customHeight="1">
      <c r="A869" s="932"/>
      <c r="B869" s="546" t="s">
        <v>246</v>
      </c>
      <c r="C869" s="546"/>
      <c r="D869" s="546"/>
      <c r="E869" s="546"/>
      <c r="F869" s="546"/>
      <c r="G869" s="81"/>
      <c r="H869" s="81"/>
      <c r="I869" s="81"/>
      <c r="J869" s="81"/>
      <c r="K869" s="81"/>
      <c r="L869" s="81">
        <v>44000</v>
      </c>
      <c r="M869" s="81"/>
      <c r="N869" s="604"/>
      <c r="O869" s="946"/>
    </row>
    <row r="870" spans="1:61" ht="24.6" customHeight="1">
      <c r="A870" s="926" t="s">
        <v>580</v>
      </c>
      <c r="B870" s="546" t="s">
        <v>89</v>
      </c>
      <c r="C870" s="546"/>
      <c r="D870" s="546"/>
      <c r="E870" s="546"/>
      <c r="F870" s="546"/>
      <c r="G870" s="81">
        <f>K870</f>
        <v>3</v>
      </c>
      <c r="H870" s="81"/>
      <c r="I870" s="81"/>
      <c r="J870" s="81"/>
      <c r="K870" s="81">
        <v>3</v>
      </c>
      <c r="L870" s="81"/>
      <c r="M870" s="81">
        <v>1.8</v>
      </c>
      <c r="N870" s="604"/>
      <c r="O870" s="944" t="s">
        <v>933</v>
      </c>
    </row>
    <row r="871" spans="1:61" ht="24.6" customHeight="1">
      <c r="A871" s="928"/>
      <c r="B871" s="546" t="s">
        <v>246</v>
      </c>
      <c r="C871" s="546"/>
      <c r="D871" s="546"/>
      <c r="E871" s="546"/>
      <c r="F871" s="546"/>
      <c r="G871" s="81">
        <f>K871</f>
        <v>26394.5</v>
      </c>
      <c r="H871" s="81"/>
      <c r="I871" s="81"/>
      <c r="J871" s="81"/>
      <c r="K871" s="81">
        <v>26394.5</v>
      </c>
      <c r="L871" s="81"/>
      <c r="M871" s="81">
        <v>24200</v>
      </c>
      <c r="N871" s="604"/>
      <c r="O871" s="944"/>
    </row>
    <row r="872" spans="1:61" ht="24.6" hidden="1" customHeight="1">
      <c r="A872" s="926" t="s">
        <v>581</v>
      </c>
      <c r="B872" s="546" t="s">
        <v>89</v>
      </c>
      <c r="C872" s="546"/>
      <c r="D872" s="546"/>
      <c r="E872" s="546"/>
      <c r="F872" s="546"/>
      <c r="G872" s="81"/>
      <c r="H872" s="81"/>
      <c r="I872" s="81"/>
      <c r="J872" s="81"/>
      <c r="K872" s="81">
        <v>0</v>
      </c>
      <c r="L872" s="81"/>
      <c r="M872" s="81"/>
      <c r="N872" s="604"/>
      <c r="O872" s="1038" t="s">
        <v>583</v>
      </c>
    </row>
    <row r="873" spans="1:61" ht="24.6" hidden="1" customHeight="1">
      <c r="A873" s="928"/>
      <c r="B873" s="546" t="s">
        <v>246</v>
      </c>
      <c r="C873" s="546"/>
      <c r="D873" s="546"/>
      <c r="E873" s="546"/>
      <c r="F873" s="546"/>
      <c r="G873" s="81"/>
      <c r="H873" s="81"/>
      <c r="I873" s="81"/>
      <c r="J873" s="81"/>
      <c r="K873" s="81">
        <v>0</v>
      </c>
      <c r="L873" s="81"/>
      <c r="M873" s="81"/>
      <c r="N873" s="604"/>
      <c r="O873" s="1038"/>
    </row>
    <row r="874" spans="1:61" ht="24.6" customHeight="1">
      <c r="A874" s="926" t="s">
        <v>1103</v>
      </c>
      <c r="B874" s="546" t="s">
        <v>89</v>
      </c>
      <c r="C874" s="546"/>
      <c r="D874" s="546"/>
      <c r="E874" s="546"/>
      <c r="F874" s="546"/>
      <c r="G874" s="81"/>
      <c r="H874" s="81"/>
      <c r="I874" s="81"/>
      <c r="J874" s="81"/>
      <c r="K874" s="81"/>
      <c r="L874" s="81">
        <v>2</v>
      </c>
      <c r="M874" s="81">
        <v>4</v>
      </c>
      <c r="N874" s="604"/>
      <c r="O874" s="933" t="s">
        <v>931</v>
      </c>
    </row>
    <row r="875" spans="1:61" ht="24.6" customHeight="1">
      <c r="A875" s="928"/>
      <c r="B875" s="546" t="s">
        <v>246</v>
      </c>
      <c r="C875" s="546"/>
      <c r="D875" s="546"/>
      <c r="E875" s="546"/>
      <c r="F875" s="546"/>
      <c r="G875" s="81"/>
      <c r="H875" s="81"/>
      <c r="I875" s="81"/>
      <c r="J875" s="81"/>
      <c r="K875" s="81"/>
      <c r="L875" s="81">
        <v>26011</v>
      </c>
      <c r="M875" s="81">
        <v>60000</v>
      </c>
      <c r="N875" s="604"/>
      <c r="O875" s="934"/>
    </row>
    <row r="876" spans="1:61" ht="24.95" customHeight="1">
      <c r="A876" s="887" t="s">
        <v>122</v>
      </c>
      <c r="B876" s="57" t="s">
        <v>89</v>
      </c>
      <c r="C876" s="57"/>
      <c r="D876" s="57"/>
      <c r="E876" s="57"/>
      <c r="F876" s="57"/>
      <c r="G876" s="80">
        <f>G880+G884+G888</f>
        <v>4</v>
      </c>
      <c r="H876" s="80">
        <f t="shared" ref="H876:M876" si="308">H880+H884+H888</f>
        <v>0</v>
      </c>
      <c r="I876" s="80">
        <f t="shared" si="308"/>
        <v>0</v>
      </c>
      <c r="J876" s="80">
        <f t="shared" si="308"/>
        <v>0</v>
      </c>
      <c r="K876" s="80">
        <f t="shared" si="308"/>
        <v>4</v>
      </c>
      <c r="L876" s="80">
        <f t="shared" si="308"/>
        <v>2</v>
      </c>
      <c r="M876" s="80">
        <f t="shared" si="308"/>
        <v>4.5</v>
      </c>
      <c r="N876" s="604"/>
      <c r="O876" s="610"/>
    </row>
    <row r="877" spans="1:61" s="44" customFormat="1" ht="24.95" customHeight="1">
      <c r="A877" s="888"/>
      <c r="B877" s="57" t="s">
        <v>25</v>
      </c>
      <c r="C877" s="57"/>
      <c r="D877" s="57"/>
      <c r="E877" s="57"/>
      <c r="F877" s="57"/>
      <c r="G877" s="80">
        <f>G878+G879</f>
        <v>53000</v>
      </c>
      <c r="H877" s="80">
        <f t="shared" ref="H877:M877" si="309">H878+H879</f>
        <v>0</v>
      </c>
      <c r="I877" s="80">
        <f t="shared" si="309"/>
        <v>0</v>
      </c>
      <c r="J877" s="80">
        <f t="shared" si="309"/>
        <v>0</v>
      </c>
      <c r="K877" s="80">
        <f t="shared" si="309"/>
        <v>53000</v>
      </c>
      <c r="L877" s="80">
        <f t="shared" si="309"/>
        <v>24000</v>
      </c>
      <c r="M877" s="80">
        <f t="shared" si="309"/>
        <v>60000</v>
      </c>
      <c r="N877" s="604"/>
      <c r="O877" s="610"/>
      <c r="AJ877" s="91"/>
      <c r="AK877" s="91"/>
      <c r="AL877" s="91"/>
      <c r="AM877" s="91"/>
      <c r="AN877" s="91"/>
      <c r="AO877" s="91"/>
      <c r="AP877" s="91"/>
      <c r="AQ877" s="91"/>
      <c r="AR877" s="91"/>
      <c r="AS877" s="91"/>
      <c r="AT877" s="91"/>
      <c r="AU877" s="91"/>
      <c r="AV877" s="91"/>
      <c r="AW877" s="91"/>
      <c r="AX877" s="91"/>
      <c r="AY877" s="91"/>
      <c r="AZ877" s="91"/>
      <c r="BA877" s="91"/>
      <c r="BB877" s="91"/>
      <c r="BC877" s="91"/>
      <c r="BD877" s="91"/>
      <c r="BE877" s="91"/>
      <c r="BF877" s="91"/>
      <c r="BG877" s="91"/>
      <c r="BH877" s="91"/>
      <c r="BI877" s="91"/>
    </row>
    <row r="878" spans="1:61" s="44" customFormat="1" ht="24.95" customHeight="1">
      <c r="A878" s="888"/>
      <c r="B878" s="57" t="s">
        <v>10</v>
      </c>
      <c r="C878" s="57"/>
      <c r="D878" s="57"/>
      <c r="E878" s="57"/>
      <c r="F878" s="57"/>
      <c r="G878" s="80">
        <f>G882+G886+G890</f>
        <v>53000</v>
      </c>
      <c r="H878" s="80">
        <f t="shared" ref="H878:M878" si="310">H882+H886+H890</f>
        <v>0</v>
      </c>
      <c r="I878" s="80">
        <f t="shared" si="310"/>
        <v>0</v>
      </c>
      <c r="J878" s="80">
        <f t="shared" si="310"/>
        <v>0</v>
      </c>
      <c r="K878" s="80">
        <f t="shared" si="310"/>
        <v>53000</v>
      </c>
      <c r="L878" s="80">
        <f t="shared" si="310"/>
        <v>24000</v>
      </c>
      <c r="M878" s="80">
        <f t="shared" si="310"/>
        <v>60000</v>
      </c>
      <c r="N878" s="604"/>
      <c r="O878" s="610"/>
      <c r="AJ878" s="91"/>
      <c r="AK878" s="91"/>
      <c r="AL878" s="91"/>
      <c r="AM878" s="91"/>
      <c r="AN878" s="91"/>
      <c r="AO878" s="91"/>
      <c r="AP878" s="91"/>
      <c r="AQ878" s="91"/>
      <c r="AR878" s="91"/>
      <c r="AS878" s="91"/>
      <c r="AT878" s="91"/>
      <c r="AU878" s="91"/>
      <c r="AV878" s="91"/>
      <c r="AW878" s="91"/>
      <c r="AX878" s="91"/>
      <c r="AY878" s="91"/>
      <c r="AZ878" s="91"/>
      <c r="BA878" s="91"/>
      <c r="BB878" s="91"/>
      <c r="BC878" s="91"/>
      <c r="BD878" s="91"/>
      <c r="BE878" s="91"/>
      <c r="BF878" s="91"/>
      <c r="BG878" s="91"/>
      <c r="BH878" s="91"/>
      <c r="BI878" s="91"/>
    </row>
    <row r="879" spans="1:61" s="44" customFormat="1" ht="24.95" customHeight="1">
      <c r="A879" s="889"/>
      <c r="B879" s="57" t="s">
        <v>495</v>
      </c>
      <c r="C879" s="57"/>
      <c r="D879" s="57"/>
      <c r="E879" s="57"/>
      <c r="F879" s="57"/>
      <c r="G879" s="80">
        <f>G883+G887+G891</f>
        <v>0</v>
      </c>
      <c r="H879" s="80">
        <f t="shared" ref="H879:M879" si="311">H883+H887+H891</f>
        <v>0</v>
      </c>
      <c r="I879" s="80">
        <f t="shared" si="311"/>
        <v>0</v>
      </c>
      <c r="J879" s="80">
        <f t="shared" si="311"/>
        <v>0</v>
      </c>
      <c r="K879" s="80">
        <f t="shared" si="311"/>
        <v>0</v>
      </c>
      <c r="L879" s="80">
        <f t="shared" si="311"/>
        <v>0</v>
      </c>
      <c r="M879" s="80">
        <f t="shared" si="311"/>
        <v>0</v>
      </c>
      <c r="N879" s="604"/>
      <c r="O879" s="610"/>
      <c r="AJ879" s="91"/>
      <c r="AK879" s="91"/>
      <c r="AL879" s="91"/>
      <c r="AM879" s="91"/>
      <c r="AN879" s="91"/>
      <c r="AO879" s="91"/>
      <c r="AP879" s="91"/>
      <c r="AQ879" s="91"/>
      <c r="AR879" s="91"/>
      <c r="AS879" s="91"/>
      <c r="AT879" s="91"/>
      <c r="AU879" s="91"/>
      <c r="AV879" s="91"/>
      <c r="AW879" s="91"/>
      <c r="AX879" s="91"/>
      <c r="AY879" s="91"/>
      <c r="AZ879" s="91"/>
      <c r="BA879" s="91"/>
      <c r="BB879" s="91"/>
      <c r="BC879" s="91"/>
      <c r="BD879" s="91"/>
      <c r="BE879" s="91"/>
      <c r="BF879" s="91"/>
      <c r="BG879" s="91"/>
      <c r="BH879" s="91"/>
      <c r="BI879" s="91"/>
    </row>
    <row r="880" spans="1:61" s="44" customFormat="1" ht="22.5" customHeight="1">
      <c r="A880" s="108" t="s">
        <v>278</v>
      </c>
      <c r="B880" s="546" t="s">
        <v>89</v>
      </c>
      <c r="C880" s="546">
        <v>176</v>
      </c>
      <c r="D880" s="546" t="s">
        <v>15</v>
      </c>
      <c r="E880" s="546">
        <v>6100404</v>
      </c>
      <c r="F880" s="546">
        <v>244</v>
      </c>
      <c r="G880" s="81">
        <f>K880</f>
        <v>4</v>
      </c>
      <c r="H880" s="81"/>
      <c r="I880" s="81"/>
      <c r="J880" s="81"/>
      <c r="K880" s="81">
        <v>4</v>
      </c>
      <c r="L880" s="81">
        <v>0</v>
      </c>
      <c r="M880" s="81"/>
      <c r="N880" s="604"/>
      <c r="O880" s="944" t="s">
        <v>934</v>
      </c>
      <c r="AJ880" s="91"/>
      <c r="AK880" s="91"/>
      <c r="AL880" s="91"/>
      <c r="AM880" s="91"/>
      <c r="AN880" s="91"/>
      <c r="AO880" s="91"/>
      <c r="AP880" s="91"/>
      <c r="AQ880" s="91"/>
      <c r="AR880" s="91"/>
      <c r="AS880" s="91"/>
      <c r="AT880" s="91"/>
      <c r="AU880" s="91"/>
      <c r="AV880" s="91"/>
      <c r="AW880" s="91"/>
      <c r="AX880" s="91"/>
      <c r="AY880" s="91"/>
      <c r="AZ880" s="91"/>
      <c r="BA880" s="91"/>
      <c r="BB880" s="91"/>
      <c r="BC880" s="91"/>
      <c r="BD880" s="91"/>
      <c r="BE880" s="91"/>
      <c r="BF880" s="91"/>
      <c r="BG880" s="91"/>
      <c r="BH880" s="91"/>
      <c r="BI880" s="91"/>
    </row>
    <row r="881" spans="1:61" s="44" customFormat="1" ht="20.25" customHeight="1">
      <c r="A881" s="109"/>
      <c r="B881" s="546" t="s">
        <v>25</v>
      </c>
      <c r="C881" s="546"/>
      <c r="D881" s="546"/>
      <c r="E881" s="546"/>
      <c r="F881" s="546"/>
      <c r="G881" s="92">
        <f>G882+G883</f>
        <v>53000</v>
      </c>
      <c r="H881" s="92">
        <f t="shared" ref="H881:M881" si="312">H882+H883</f>
        <v>0</v>
      </c>
      <c r="I881" s="92">
        <f t="shared" si="312"/>
        <v>0</v>
      </c>
      <c r="J881" s="92">
        <f t="shared" si="312"/>
        <v>0</v>
      </c>
      <c r="K881" s="92">
        <f t="shared" si="312"/>
        <v>53000</v>
      </c>
      <c r="L881" s="92">
        <f t="shared" si="312"/>
        <v>0</v>
      </c>
      <c r="M881" s="92">
        <f t="shared" si="312"/>
        <v>0</v>
      </c>
      <c r="N881" s="604"/>
      <c r="O881" s="944"/>
      <c r="AJ881" s="91"/>
      <c r="AK881" s="91"/>
      <c r="AL881" s="91"/>
      <c r="AM881" s="91"/>
      <c r="AN881" s="91"/>
      <c r="AO881" s="91"/>
      <c r="AP881" s="91"/>
      <c r="AQ881" s="91"/>
      <c r="AR881" s="91"/>
      <c r="AS881" s="91"/>
      <c r="AT881" s="91"/>
      <c r="AU881" s="91"/>
      <c r="AV881" s="91"/>
      <c r="AW881" s="91"/>
      <c r="AX881" s="91"/>
      <c r="AY881" s="91"/>
      <c r="AZ881" s="91"/>
      <c r="BA881" s="91"/>
      <c r="BB881" s="91"/>
      <c r="BC881" s="91"/>
      <c r="BD881" s="91"/>
      <c r="BE881" s="91"/>
      <c r="BF881" s="91"/>
      <c r="BG881" s="91"/>
      <c r="BH881" s="91"/>
      <c r="BI881" s="91"/>
    </row>
    <row r="882" spans="1:61" s="44" customFormat="1" ht="21" customHeight="1">
      <c r="A882" s="109"/>
      <c r="B882" s="546" t="s">
        <v>10</v>
      </c>
      <c r="C882" s="546"/>
      <c r="D882" s="546"/>
      <c r="E882" s="546"/>
      <c r="F882" s="546"/>
      <c r="G882" s="92">
        <f>K882</f>
        <v>53000</v>
      </c>
      <c r="H882" s="92"/>
      <c r="I882" s="92"/>
      <c r="J882" s="92"/>
      <c r="K882" s="92">
        <v>53000</v>
      </c>
      <c r="L882" s="92">
        <v>0</v>
      </c>
      <c r="M882" s="81"/>
      <c r="N882" s="604"/>
      <c r="O882" s="944"/>
      <c r="AJ882" s="91"/>
      <c r="AK882" s="91"/>
      <c r="AL882" s="91"/>
      <c r="AM882" s="91"/>
      <c r="AN882" s="91"/>
      <c r="AO882" s="91"/>
      <c r="AP882" s="91"/>
      <c r="AQ882" s="91"/>
      <c r="AR882" s="91"/>
      <c r="AS882" s="91"/>
      <c r="AT882" s="91"/>
      <c r="AU882" s="91"/>
      <c r="AV882" s="91"/>
      <c r="AW882" s="91"/>
      <c r="AX882" s="91"/>
      <c r="AY882" s="91"/>
      <c r="AZ882" s="91"/>
      <c r="BA882" s="91"/>
      <c r="BB882" s="91"/>
      <c r="BC882" s="91"/>
      <c r="BD882" s="91"/>
      <c r="BE882" s="91"/>
      <c r="BF882" s="91"/>
      <c r="BG882" s="91"/>
      <c r="BH882" s="91"/>
      <c r="BI882" s="91"/>
    </row>
    <row r="883" spans="1:61" ht="24.75" customHeight="1">
      <c r="A883" s="110"/>
      <c r="B883" s="546" t="s">
        <v>495</v>
      </c>
      <c r="C883" s="546"/>
      <c r="D883" s="546"/>
      <c r="E883" s="546"/>
      <c r="F883" s="546"/>
      <c r="G883" s="81"/>
      <c r="H883" s="81"/>
      <c r="I883" s="81"/>
      <c r="J883" s="81"/>
      <c r="K883" s="81"/>
      <c r="L883" s="81"/>
      <c r="M883" s="81"/>
      <c r="N883" s="604"/>
      <c r="O883" s="944"/>
    </row>
    <row r="884" spans="1:61" ht="23.25" customHeight="1">
      <c r="A884" s="926" t="s">
        <v>584</v>
      </c>
      <c r="B884" s="546" t="s">
        <v>89</v>
      </c>
      <c r="C884" s="546"/>
      <c r="D884" s="546"/>
      <c r="E884" s="546"/>
      <c r="F884" s="546"/>
      <c r="G884" s="81">
        <f>K884</f>
        <v>0</v>
      </c>
      <c r="H884" s="81"/>
      <c r="I884" s="81"/>
      <c r="J884" s="81"/>
      <c r="K884" s="81"/>
      <c r="L884" s="81"/>
      <c r="M884" s="81">
        <v>2.5</v>
      </c>
      <c r="N884" s="604"/>
      <c r="O884" s="944" t="s">
        <v>935</v>
      </c>
    </row>
    <row r="885" spans="1:61" ht="22.5" customHeight="1">
      <c r="A885" s="927"/>
      <c r="B885" s="546" t="s">
        <v>25</v>
      </c>
      <c r="C885" s="546"/>
      <c r="D885" s="546"/>
      <c r="E885" s="546"/>
      <c r="F885" s="546"/>
      <c r="G885" s="81">
        <f t="shared" ref="G885:G887" si="313">K885</f>
        <v>0</v>
      </c>
      <c r="H885" s="81"/>
      <c r="I885" s="81"/>
      <c r="J885" s="81"/>
      <c r="K885" s="81">
        <f>K886+K887</f>
        <v>0</v>
      </c>
      <c r="L885" s="81">
        <f t="shared" ref="L885:M885" si="314">L886+L887</f>
        <v>0</v>
      </c>
      <c r="M885" s="81">
        <f t="shared" si="314"/>
        <v>35000</v>
      </c>
      <c r="N885" s="604"/>
      <c r="O885" s="944"/>
    </row>
    <row r="886" spans="1:61" ht="22.5" customHeight="1">
      <c r="A886" s="927"/>
      <c r="B886" s="546" t="s">
        <v>10</v>
      </c>
      <c r="C886" s="546"/>
      <c r="D886" s="546"/>
      <c r="E886" s="546"/>
      <c r="F886" s="546"/>
      <c r="G886" s="81">
        <f t="shared" si="313"/>
        <v>0</v>
      </c>
      <c r="H886" s="81"/>
      <c r="I886" s="81"/>
      <c r="J886" s="81"/>
      <c r="K886" s="81"/>
      <c r="L886" s="81"/>
      <c r="M886" s="81">
        <v>35000</v>
      </c>
      <c r="N886" s="604"/>
      <c r="O886" s="944"/>
    </row>
    <row r="887" spans="1:61" ht="21.75" customHeight="1">
      <c r="A887" s="927"/>
      <c r="B887" s="546" t="s">
        <v>495</v>
      </c>
      <c r="C887" s="546"/>
      <c r="D887" s="546"/>
      <c r="E887" s="546"/>
      <c r="F887" s="546"/>
      <c r="G887" s="81">
        <f t="shared" si="313"/>
        <v>0</v>
      </c>
      <c r="H887" s="81"/>
      <c r="I887" s="81"/>
      <c r="J887" s="81"/>
      <c r="K887" s="81"/>
      <c r="L887" s="81"/>
      <c r="M887" s="81"/>
      <c r="N887" s="604"/>
      <c r="O887" s="944"/>
    </row>
    <row r="888" spans="1:61" ht="22.5" customHeight="1">
      <c r="A888" s="926" t="s">
        <v>585</v>
      </c>
      <c r="B888" s="546" t="s">
        <v>89</v>
      </c>
      <c r="C888" s="546"/>
      <c r="D888" s="546"/>
      <c r="E888" s="546"/>
      <c r="F888" s="546"/>
      <c r="G888" s="81"/>
      <c r="H888" s="81"/>
      <c r="I888" s="81"/>
      <c r="J888" s="81"/>
      <c r="K888" s="81"/>
      <c r="L888" s="81">
        <v>2</v>
      </c>
      <c r="M888" s="81">
        <v>2</v>
      </c>
      <c r="N888" s="604"/>
      <c r="O888" s="933" t="s">
        <v>936</v>
      </c>
    </row>
    <row r="889" spans="1:61" ht="24.95" customHeight="1">
      <c r="A889" s="927"/>
      <c r="B889" s="546" t="s">
        <v>25</v>
      </c>
      <c r="C889" s="546"/>
      <c r="D889" s="546"/>
      <c r="E889" s="546"/>
      <c r="F889" s="546"/>
      <c r="G889" s="81"/>
      <c r="H889" s="81"/>
      <c r="I889" s="81"/>
      <c r="J889" s="81"/>
      <c r="K889" s="81"/>
      <c r="L889" s="81">
        <f>L890+L891</f>
        <v>24000</v>
      </c>
      <c r="M889" s="81">
        <f>M890+M891</f>
        <v>25000</v>
      </c>
      <c r="N889" s="604"/>
      <c r="O889" s="946"/>
    </row>
    <row r="890" spans="1:61" ht="24.95" customHeight="1">
      <c r="A890" s="927"/>
      <c r="B890" s="546" t="s">
        <v>10</v>
      </c>
      <c r="C890" s="546"/>
      <c r="D890" s="546"/>
      <c r="E890" s="546"/>
      <c r="F890" s="546"/>
      <c r="G890" s="81"/>
      <c r="H890" s="81"/>
      <c r="I890" s="81"/>
      <c r="J890" s="81"/>
      <c r="K890" s="81"/>
      <c r="L890" s="81">
        <v>24000</v>
      </c>
      <c r="M890" s="81">
        <v>25000</v>
      </c>
      <c r="N890" s="604"/>
      <c r="O890" s="946"/>
    </row>
    <row r="891" spans="1:61" ht="24.95" customHeight="1">
      <c r="A891" s="928"/>
      <c r="B891" s="546" t="s">
        <v>495</v>
      </c>
      <c r="C891" s="546"/>
      <c r="D891" s="546"/>
      <c r="E891" s="546"/>
      <c r="F891" s="546"/>
      <c r="G891" s="81"/>
      <c r="H891" s="81"/>
      <c r="I891" s="81"/>
      <c r="J891" s="81"/>
      <c r="K891" s="81"/>
      <c r="L891" s="81"/>
      <c r="M891" s="81"/>
      <c r="N891" s="604"/>
      <c r="O891" s="934"/>
    </row>
    <row r="892" spans="1:61" ht="24.95" customHeight="1">
      <c r="A892" s="887" t="s">
        <v>101</v>
      </c>
      <c r="B892" s="57" t="s">
        <v>89</v>
      </c>
      <c r="C892" s="57"/>
      <c r="D892" s="57"/>
      <c r="E892" s="57"/>
      <c r="F892" s="57"/>
      <c r="G892" s="80">
        <f>G896+G900+G903+G905+G907</f>
        <v>0</v>
      </c>
      <c r="H892" s="80">
        <f t="shared" ref="H892:M892" si="315">H896+H900+H903+H905+H907</f>
        <v>0</v>
      </c>
      <c r="I892" s="80">
        <f t="shared" si="315"/>
        <v>0</v>
      </c>
      <c r="J892" s="80">
        <f t="shared" si="315"/>
        <v>0</v>
      </c>
      <c r="K892" s="80">
        <f t="shared" si="315"/>
        <v>0</v>
      </c>
      <c r="L892" s="80">
        <f t="shared" si="315"/>
        <v>6.5</v>
      </c>
      <c r="M892" s="80">
        <f t="shared" si="315"/>
        <v>4.5999999999999996</v>
      </c>
      <c r="N892" s="604"/>
      <c r="O892" s="610"/>
    </row>
    <row r="893" spans="1:61" ht="24.95" customHeight="1">
      <c r="A893" s="888"/>
      <c r="B893" s="57" t="s">
        <v>25</v>
      </c>
      <c r="C893" s="57"/>
      <c r="D893" s="57"/>
      <c r="E893" s="57"/>
      <c r="F893" s="57"/>
      <c r="G893" s="80">
        <f>G894+G895</f>
        <v>0</v>
      </c>
      <c r="H893" s="80">
        <f t="shared" ref="H893:M893" si="316">H894+H895</f>
        <v>0</v>
      </c>
      <c r="I893" s="80">
        <f t="shared" si="316"/>
        <v>0</v>
      </c>
      <c r="J893" s="80">
        <f t="shared" si="316"/>
        <v>0</v>
      </c>
      <c r="K893" s="80">
        <f t="shared" si="316"/>
        <v>0</v>
      </c>
      <c r="L893" s="80">
        <f t="shared" si="316"/>
        <v>77880</v>
      </c>
      <c r="M893" s="80">
        <f t="shared" si="316"/>
        <v>66000</v>
      </c>
      <c r="N893" s="604"/>
      <c r="O893" s="610"/>
    </row>
    <row r="894" spans="1:61" ht="24.95" customHeight="1">
      <c r="A894" s="888"/>
      <c r="B894" s="57" t="s">
        <v>10</v>
      </c>
      <c r="C894" s="57"/>
      <c r="D894" s="57"/>
      <c r="E894" s="57"/>
      <c r="F894" s="57"/>
      <c r="G894" s="80">
        <f>G898+G902+G904+G906+G908</f>
        <v>0</v>
      </c>
      <c r="H894" s="80">
        <f t="shared" ref="H894:M894" si="317">H898+H902+H904+H906+H908</f>
        <v>0</v>
      </c>
      <c r="I894" s="80">
        <f t="shared" si="317"/>
        <v>0</v>
      </c>
      <c r="J894" s="80">
        <f t="shared" si="317"/>
        <v>0</v>
      </c>
      <c r="K894" s="80">
        <f t="shared" si="317"/>
        <v>0</v>
      </c>
      <c r="L894" s="80">
        <f t="shared" si="317"/>
        <v>77880</v>
      </c>
      <c r="M894" s="80">
        <f t="shared" si="317"/>
        <v>66000</v>
      </c>
      <c r="N894" s="604"/>
      <c r="O894" s="610"/>
    </row>
    <row r="895" spans="1:61" s="44" customFormat="1" ht="24.95" customHeight="1">
      <c r="A895" s="889"/>
      <c r="B895" s="57" t="s">
        <v>495</v>
      </c>
      <c r="C895" s="57"/>
      <c r="D895" s="57"/>
      <c r="E895" s="57"/>
      <c r="F895" s="57"/>
      <c r="G895" s="80">
        <f>G899</f>
        <v>0</v>
      </c>
      <c r="H895" s="80">
        <f t="shared" ref="H895:M895" si="318">H899</f>
        <v>0</v>
      </c>
      <c r="I895" s="80">
        <f t="shared" si="318"/>
        <v>0</v>
      </c>
      <c r="J895" s="80">
        <f t="shared" si="318"/>
        <v>0</v>
      </c>
      <c r="K895" s="80">
        <f t="shared" si="318"/>
        <v>0</v>
      </c>
      <c r="L895" s="80">
        <f t="shared" si="318"/>
        <v>0</v>
      </c>
      <c r="M895" s="80">
        <f t="shared" si="318"/>
        <v>0</v>
      </c>
      <c r="N895" s="604"/>
      <c r="O895" s="610"/>
      <c r="AJ895" s="91"/>
      <c r="AK895" s="91"/>
      <c r="AL895" s="91"/>
      <c r="AM895" s="91"/>
      <c r="AN895" s="91"/>
      <c r="AO895" s="91"/>
      <c r="AP895" s="91"/>
      <c r="AQ895" s="91"/>
      <c r="AR895" s="91"/>
      <c r="AS895" s="91"/>
      <c r="AT895" s="91"/>
      <c r="AU895" s="91"/>
      <c r="AV895" s="91"/>
      <c r="AW895" s="91"/>
      <c r="AX895" s="91"/>
      <c r="AY895" s="91"/>
      <c r="AZ895" s="91"/>
      <c r="BA895" s="91"/>
      <c r="BB895" s="91"/>
      <c r="BC895" s="91"/>
      <c r="BD895" s="91"/>
      <c r="BE895" s="91"/>
      <c r="BF895" s="91"/>
      <c r="BG895" s="91"/>
      <c r="BH895" s="91"/>
      <c r="BI895" s="91"/>
    </row>
    <row r="896" spans="1:61" s="44" customFormat="1" ht="24.95" customHeight="1">
      <c r="A896" s="932" t="s">
        <v>478</v>
      </c>
      <c r="B896" s="546" t="s">
        <v>89</v>
      </c>
      <c r="C896" s="546">
        <v>176</v>
      </c>
      <c r="D896" s="546" t="s">
        <v>15</v>
      </c>
      <c r="E896" s="546">
        <v>6100404</v>
      </c>
      <c r="F896" s="546">
        <v>244</v>
      </c>
      <c r="G896" s="81">
        <f>K896</f>
        <v>0</v>
      </c>
      <c r="H896" s="81"/>
      <c r="I896" s="81"/>
      <c r="J896" s="81"/>
      <c r="K896" s="81"/>
      <c r="L896" s="81">
        <v>2.5</v>
      </c>
      <c r="M896" s="81"/>
      <c r="N896" s="604"/>
      <c r="O896" s="944" t="s">
        <v>854</v>
      </c>
      <c r="AJ896" s="91"/>
      <c r="AK896" s="91"/>
      <c r="AL896" s="91"/>
      <c r="AM896" s="91"/>
      <c r="AN896" s="91"/>
      <c r="AO896" s="91"/>
      <c r="AP896" s="91"/>
      <c r="AQ896" s="91"/>
      <c r="AR896" s="91"/>
      <c r="AS896" s="91"/>
      <c r="AT896" s="91"/>
      <c r="AU896" s="91"/>
      <c r="AV896" s="91"/>
      <c r="AW896" s="91"/>
      <c r="AX896" s="91"/>
      <c r="AY896" s="91"/>
      <c r="AZ896" s="91"/>
      <c r="BA896" s="91"/>
      <c r="BB896" s="91"/>
      <c r="BC896" s="91"/>
      <c r="BD896" s="91"/>
      <c r="BE896" s="91"/>
      <c r="BF896" s="91"/>
      <c r="BG896" s="91"/>
      <c r="BH896" s="91"/>
      <c r="BI896" s="91"/>
    </row>
    <row r="897" spans="1:61" s="44" customFormat="1" ht="24.95" customHeight="1">
      <c r="A897" s="932"/>
      <c r="B897" s="546" t="s">
        <v>25</v>
      </c>
      <c r="C897" s="546"/>
      <c r="D897" s="546"/>
      <c r="E897" s="546"/>
      <c r="F897" s="546"/>
      <c r="G897" s="81">
        <f t="shared" ref="G897:G898" si="319">K897</f>
        <v>0</v>
      </c>
      <c r="H897" s="81"/>
      <c r="I897" s="81"/>
      <c r="J897" s="81"/>
      <c r="K897" s="81">
        <f>K898+K899</f>
        <v>0</v>
      </c>
      <c r="L897" s="81">
        <f>L898</f>
        <v>29880</v>
      </c>
      <c r="M897" s="81"/>
      <c r="N897" s="604"/>
      <c r="O897" s="944"/>
      <c r="AJ897" s="91"/>
      <c r="AK897" s="91"/>
      <c r="AL897" s="91"/>
      <c r="AM897" s="91"/>
      <c r="AN897" s="91"/>
      <c r="AO897" s="91"/>
      <c r="AP897" s="91"/>
      <c r="AQ897" s="91"/>
      <c r="AR897" s="91"/>
      <c r="AS897" s="91"/>
      <c r="AT897" s="91"/>
      <c r="AU897" s="91"/>
      <c r="AV897" s="91"/>
      <c r="AW897" s="91"/>
      <c r="AX897" s="91"/>
      <c r="AY897" s="91"/>
      <c r="AZ897" s="91"/>
      <c r="BA897" s="91"/>
      <c r="BB897" s="91"/>
      <c r="BC897" s="91"/>
      <c r="BD897" s="91"/>
      <c r="BE897" s="91"/>
      <c r="BF897" s="91"/>
      <c r="BG897" s="91"/>
      <c r="BH897" s="91"/>
      <c r="BI897" s="91"/>
    </row>
    <row r="898" spans="1:61" s="44" customFormat="1" ht="24.95" customHeight="1">
      <c r="A898" s="932"/>
      <c r="B898" s="546" t="s">
        <v>10</v>
      </c>
      <c r="C898" s="546"/>
      <c r="D898" s="546"/>
      <c r="E898" s="546"/>
      <c r="F898" s="546"/>
      <c r="G898" s="81">
        <f t="shared" si="319"/>
        <v>0</v>
      </c>
      <c r="H898" s="81"/>
      <c r="I898" s="81"/>
      <c r="J898" s="81"/>
      <c r="K898" s="81"/>
      <c r="L898" s="81">
        <v>29880</v>
      </c>
      <c r="M898" s="81"/>
      <c r="N898" s="604"/>
      <c r="O898" s="944"/>
      <c r="AJ898" s="91"/>
      <c r="AK898" s="91"/>
      <c r="AL898" s="91"/>
      <c r="AM898" s="91"/>
      <c r="AN898" s="91"/>
      <c r="AO898" s="91"/>
      <c r="AP898" s="91"/>
      <c r="AQ898" s="91"/>
      <c r="AR898" s="91"/>
      <c r="AS898" s="91"/>
      <c r="AT898" s="91"/>
      <c r="AU898" s="91"/>
      <c r="AV898" s="91"/>
      <c r="AW898" s="91"/>
      <c r="AX898" s="91"/>
      <c r="AY898" s="91"/>
      <c r="AZ898" s="91"/>
      <c r="BA898" s="91"/>
      <c r="BB898" s="91"/>
      <c r="BC898" s="91"/>
      <c r="BD898" s="91"/>
      <c r="BE898" s="91"/>
      <c r="BF898" s="91"/>
      <c r="BG898" s="91"/>
      <c r="BH898" s="91"/>
      <c r="BI898" s="91"/>
    </row>
    <row r="899" spans="1:61" s="44" customFormat="1" ht="25.15" hidden="1" customHeight="1">
      <c r="A899" s="932"/>
      <c r="B899" s="546" t="s">
        <v>495</v>
      </c>
      <c r="C899" s="546"/>
      <c r="D899" s="546"/>
      <c r="E899" s="546"/>
      <c r="F899" s="546"/>
      <c r="G899" s="81">
        <f>K899</f>
        <v>0</v>
      </c>
      <c r="H899" s="81"/>
      <c r="I899" s="81"/>
      <c r="J899" s="81"/>
      <c r="K899" s="81"/>
      <c r="L899" s="81"/>
      <c r="M899" s="80"/>
      <c r="N899" s="610"/>
      <c r="O899" s="944"/>
      <c r="AJ899" s="91"/>
      <c r="AK899" s="91"/>
      <c r="AL899" s="91"/>
      <c r="AM899" s="91"/>
      <c r="AN899" s="91"/>
      <c r="AO899" s="91"/>
      <c r="AP899" s="91"/>
      <c r="AQ899" s="91"/>
      <c r="AR899" s="91"/>
      <c r="AS899" s="91"/>
      <c r="AT899" s="91"/>
      <c r="AU899" s="91"/>
      <c r="AV899" s="91"/>
      <c r="AW899" s="91"/>
      <c r="AX899" s="91"/>
      <c r="AY899" s="91"/>
      <c r="AZ899" s="91"/>
      <c r="BA899" s="91"/>
      <c r="BB899" s="91"/>
      <c r="BC899" s="91"/>
      <c r="BD899" s="91"/>
      <c r="BE899" s="91"/>
      <c r="BF899" s="91"/>
      <c r="BG899" s="91"/>
      <c r="BH899" s="91"/>
      <c r="BI899" s="91"/>
    </row>
    <row r="900" spans="1:61" s="44" customFormat="1" ht="25.15" customHeight="1">
      <c r="A900" s="926" t="s">
        <v>711</v>
      </c>
      <c r="B900" s="546" t="s">
        <v>89</v>
      </c>
      <c r="C900" s="546"/>
      <c r="D900" s="546"/>
      <c r="E900" s="546"/>
      <c r="F900" s="546"/>
      <c r="G900" s="81">
        <f>K900</f>
        <v>0</v>
      </c>
      <c r="H900" s="81"/>
      <c r="I900" s="81"/>
      <c r="J900" s="81"/>
      <c r="K900" s="81"/>
      <c r="L900" s="81">
        <v>0</v>
      </c>
      <c r="M900" s="81">
        <v>1.5</v>
      </c>
      <c r="N900" s="610"/>
      <c r="O900" s="944" t="s">
        <v>609</v>
      </c>
      <c r="AJ900" s="91"/>
      <c r="AK900" s="91"/>
      <c r="AL900" s="91"/>
      <c r="AM900" s="91"/>
      <c r="AN900" s="91"/>
      <c r="AO900" s="91"/>
      <c r="AP900" s="91"/>
      <c r="AQ900" s="91"/>
      <c r="AR900" s="91"/>
      <c r="AS900" s="91"/>
      <c r="AT900" s="91"/>
      <c r="AU900" s="91"/>
      <c r="AV900" s="91"/>
      <c r="AW900" s="91"/>
      <c r="AX900" s="91"/>
      <c r="AY900" s="91"/>
      <c r="AZ900" s="91"/>
      <c r="BA900" s="91"/>
      <c r="BB900" s="91"/>
      <c r="BC900" s="91"/>
      <c r="BD900" s="91"/>
      <c r="BE900" s="91"/>
      <c r="BF900" s="91"/>
      <c r="BG900" s="91"/>
      <c r="BH900" s="91"/>
      <c r="BI900" s="91"/>
    </row>
    <row r="901" spans="1:61" s="44" customFormat="1" ht="25.15" customHeight="1">
      <c r="A901" s="927"/>
      <c r="B901" s="546" t="s">
        <v>329</v>
      </c>
      <c r="C901" s="546"/>
      <c r="D901" s="546"/>
      <c r="E901" s="546"/>
      <c r="F901" s="546"/>
      <c r="G901" s="81">
        <f t="shared" ref="G901:G902" si="320">K901</f>
        <v>0</v>
      </c>
      <c r="H901" s="81">
        <f t="shared" ref="H901:J901" si="321">H902</f>
        <v>0</v>
      </c>
      <c r="I901" s="81">
        <f t="shared" si="321"/>
        <v>0</v>
      </c>
      <c r="J901" s="81">
        <f t="shared" si="321"/>
        <v>0</v>
      </c>
      <c r="K901" s="81">
        <f>K902</f>
        <v>0</v>
      </c>
      <c r="L901" s="81">
        <f>L902</f>
        <v>0</v>
      </c>
      <c r="M901" s="81">
        <f>M902</f>
        <v>20000</v>
      </c>
      <c r="N901" s="610"/>
      <c r="O901" s="944"/>
      <c r="AJ901" s="91"/>
      <c r="AK901" s="91"/>
      <c r="AL901" s="91"/>
      <c r="AM901" s="91"/>
      <c r="AN901" s="91"/>
      <c r="AO901" s="91"/>
      <c r="AP901" s="91"/>
      <c r="AQ901" s="91"/>
      <c r="AR901" s="91"/>
      <c r="AS901" s="91"/>
      <c r="AT901" s="91"/>
      <c r="AU901" s="91"/>
      <c r="AV901" s="91"/>
      <c r="AW901" s="91"/>
      <c r="AX901" s="91"/>
      <c r="AY901" s="91"/>
      <c r="AZ901" s="91"/>
      <c r="BA901" s="91"/>
      <c r="BB901" s="91"/>
      <c r="BC901" s="91"/>
      <c r="BD901" s="91"/>
      <c r="BE901" s="91"/>
      <c r="BF901" s="91"/>
      <c r="BG901" s="91"/>
      <c r="BH901" s="91"/>
      <c r="BI901" s="91"/>
    </row>
    <row r="902" spans="1:61" s="44" customFormat="1" ht="25.15" customHeight="1">
      <c r="A902" s="928"/>
      <c r="B902" s="546" t="s">
        <v>337</v>
      </c>
      <c r="C902" s="546"/>
      <c r="D902" s="546"/>
      <c r="E902" s="546"/>
      <c r="F902" s="546"/>
      <c r="G902" s="81">
        <f t="shared" si="320"/>
        <v>0</v>
      </c>
      <c r="H902" s="81"/>
      <c r="I902" s="81"/>
      <c r="J902" s="81"/>
      <c r="K902" s="81"/>
      <c r="L902" s="81">
        <v>0</v>
      </c>
      <c r="M902" s="81">
        <v>20000</v>
      </c>
      <c r="N902" s="610"/>
      <c r="O902" s="944"/>
      <c r="AJ902" s="91"/>
      <c r="AK902" s="91"/>
      <c r="AL902" s="91"/>
      <c r="AM902" s="91"/>
      <c r="AN902" s="91"/>
      <c r="AO902" s="91"/>
      <c r="AP902" s="91"/>
      <c r="AQ902" s="91"/>
      <c r="AR902" s="91"/>
      <c r="AS902" s="91"/>
      <c r="AT902" s="91"/>
      <c r="AU902" s="91"/>
      <c r="AV902" s="91"/>
      <c r="AW902" s="91"/>
      <c r="AX902" s="91"/>
      <c r="AY902" s="91"/>
      <c r="AZ902" s="91"/>
      <c r="BA902" s="91"/>
      <c r="BB902" s="91"/>
      <c r="BC902" s="91"/>
      <c r="BD902" s="91"/>
      <c r="BE902" s="91"/>
      <c r="BF902" s="91"/>
      <c r="BG902" s="91"/>
      <c r="BH902" s="91"/>
      <c r="BI902" s="91"/>
    </row>
    <row r="903" spans="1:61" ht="24.6" customHeight="1">
      <c r="A903" s="926" t="s">
        <v>938</v>
      </c>
      <c r="B903" s="546" t="s">
        <v>89</v>
      </c>
      <c r="C903" s="546"/>
      <c r="D903" s="546"/>
      <c r="E903" s="546"/>
      <c r="F903" s="546"/>
      <c r="G903" s="81">
        <f>K903</f>
        <v>0</v>
      </c>
      <c r="H903" s="81"/>
      <c r="I903" s="81"/>
      <c r="J903" s="81"/>
      <c r="K903" s="81"/>
      <c r="L903" s="81"/>
      <c r="M903" s="81">
        <v>1</v>
      </c>
      <c r="N903" s="604"/>
      <c r="O903" s="933" t="s">
        <v>572</v>
      </c>
    </row>
    <row r="904" spans="1:61" ht="24.6" customHeight="1">
      <c r="A904" s="927"/>
      <c r="B904" s="546" t="s">
        <v>246</v>
      </c>
      <c r="C904" s="546"/>
      <c r="D904" s="546"/>
      <c r="E904" s="546"/>
      <c r="F904" s="546"/>
      <c r="G904" s="81">
        <f>K904</f>
        <v>0</v>
      </c>
      <c r="H904" s="81"/>
      <c r="I904" s="81"/>
      <c r="J904" s="81"/>
      <c r="K904" s="81"/>
      <c r="L904" s="81"/>
      <c r="M904" s="81">
        <v>15000</v>
      </c>
      <c r="N904" s="604"/>
      <c r="O904" s="946"/>
    </row>
    <row r="905" spans="1:61" s="44" customFormat="1" ht="24.6" customHeight="1">
      <c r="A905" s="926" t="s">
        <v>1113</v>
      </c>
      <c r="B905" s="546" t="s">
        <v>89</v>
      </c>
      <c r="C905" s="546"/>
      <c r="D905" s="546"/>
      <c r="E905" s="546"/>
      <c r="F905" s="546"/>
      <c r="G905" s="81"/>
      <c r="H905" s="81"/>
      <c r="I905" s="81"/>
      <c r="J905" s="81"/>
      <c r="K905" s="81"/>
      <c r="L905" s="81">
        <v>2</v>
      </c>
      <c r="M905" s="81">
        <v>1.1000000000000001</v>
      </c>
      <c r="N905" s="604"/>
      <c r="O905" s="944" t="s">
        <v>937</v>
      </c>
      <c r="AJ905" s="91"/>
      <c r="AK905" s="91"/>
      <c r="AL905" s="91"/>
      <c r="AM905" s="91"/>
      <c r="AN905" s="91"/>
      <c r="AO905" s="91"/>
      <c r="AP905" s="91"/>
      <c r="AQ905" s="91"/>
      <c r="AR905" s="91"/>
      <c r="AS905" s="91"/>
      <c r="AT905" s="91"/>
      <c r="AU905" s="91"/>
      <c r="AV905" s="91"/>
      <c r="AW905" s="91"/>
      <c r="AX905" s="91"/>
      <c r="AY905" s="91"/>
      <c r="AZ905" s="91"/>
      <c r="BA905" s="91"/>
      <c r="BB905" s="91"/>
      <c r="BC905" s="91"/>
      <c r="BD905" s="91"/>
      <c r="BE905" s="91"/>
      <c r="BF905" s="91"/>
      <c r="BG905" s="91"/>
      <c r="BH905" s="91"/>
      <c r="BI905" s="91"/>
    </row>
    <row r="906" spans="1:61" ht="24.6" customHeight="1">
      <c r="A906" s="928"/>
      <c r="B906" s="546" t="s">
        <v>246</v>
      </c>
      <c r="C906" s="546"/>
      <c r="D906" s="546"/>
      <c r="E906" s="546"/>
      <c r="F906" s="546"/>
      <c r="G906" s="81"/>
      <c r="H906" s="81"/>
      <c r="I906" s="81"/>
      <c r="J906" s="81"/>
      <c r="K906" s="81"/>
      <c r="L906" s="81">
        <v>24000</v>
      </c>
      <c r="M906" s="81">
        <v>16000</v>
      </c>
      <c r="N906" s="604"/>
      <c r="O906" s="944"/>
    </row>
    <row r="907" spans="1:61" ht="24.6" customHeight="1">
      <c r="A907" s="926" t="s">
        <v>994</v>
      </c>
      <c r="B907" s="546" t="s">
        <v>89</v>
      </c>
      <c r="C907" s="546"/>
      <c r="D907" s="546"/>
      <c r="E907" s="546"/>
      <c r="F907" s="546"/>
      <c r="G907" s="81"/>
      <c r="H907" s="81"/>
      <c r="I907" s="81"/>
      <c r="J907" s="81"/>
      <c r="K907" s="81"/>
      <c r="L907" s="81">
        <v>2</v>
      </c>
      <c r="M907" s="81">
        <v>1</v>
      </c>
      <c r="N907" s="604"/>
      <c r="O907" s="933" t="s">
        <v>529</v>
      </c>
    </row>
    <row r="908" spans="1:61" ht="24.6" customHeight="1">
      <c r="A908" s="928"/>
      <c r="B908" s="546" t="s">
        <v>246</v>
      </c>
      <c r="C908" s="546"/>
      <c r="D908" s="546"/>
      <c r="E908" s="546"/>
      <c r="F908" s="546"/>
      <c r="G908" s="81"/>
      <c r="H908" s="81"/>
      <c r="I908" s="81"/>
      <c r="J908" s="81"/>
      <c r="K908" s="81"/>
      <c r="L908" s="81">
        <v>24000</v>
      </c>
      <c r="M908" s="81">
        <v>15000</v>
      </c>
      <c r="N908" s="604"/>
      <c r="O908" s="934"/>
    </row>
    <row r="909" spans="1:61" ht="25.5" customHeight="1">
      <c r="A909" s="887" t="s">
        <v>155</v>
      </c>
      <c r="B909" s="57" t="s">
        <v>89</v>
      </c>
      <c r="C909" s="57"/>
      <c r="D909" s="57"/>
      <c r="E909" s="57"/>
      <c r="F909" s="57"/>
      <c r="G909" s="80">
        <f>G913+G917+G919</f>
        <v>3</v>
      </c>
      <c r="H909" s="80">
        <f t="shared" ref="H909:M909" si="322">H913+H917+H919</f>
        <v>0</v>
      </c>
      <c r="I909" s="80">
        <f t="shared" si="322"/>
        <v>0</v>
      </c>
      <c r="J909" s="80">
        <f t="shared" si="322"/>
        <v>0</v>
      </c>
      <c r="K909" s="80">
        <f t="shared" si="322"/>
        <v>3</v>
      </c>
      <c r="L909" s="80">
        <f>L913+L917+L919+L915</f>
        <v>7</v>
      </c>
      <c r="M909" s="80">
        <f t="shared" si="322"/>
        <v>8</v>
      </c>
      <c r="N909" s="604"/>
      <c r="O909" s="610"/>
    </row>
    <row r="910" spans="1:61" ht="25.5" customHeight="1">
      <c r="A910" s="888"/>
      <c r="B910" s="57" t="s">
        <v>25</v>
      </c>
      <c r="C910" s="57"/>
      <c r="D910" s="57"/>
      <c r="E910" s="57"/>
      <c r="F910" s="57"/>
      <c r="G910" s="80">
        <f>G911+G912</f>
        <v>37992.400000000001</v>
      </c>
      <c r="H910" s="80">
        <f t="shared" ref="H910:M910" si="323">H911+H912</f>
        <v>0</v>
      </c>
      <c r="I910" s="80">
        <f t="shared" si="323"/>
        <v>0</v>
      </c>
      <c r="J910" s="80">
        <f t="shared" si="323"/>
        <v>0</v>
      </c>
      <c r="K910" s="80">
        <f t="shared" si="323"/>
        <v>37992.400000000001</v>
      </c>
      <c r="L910" s="80">
        <f t="shared" si="323"/>
        <v>87450.9</v>
      </c>
      <c r="M910" s="80">
        <f t="shared" si="323"/>
        <v>106938</v>
      </c>
      <c r="N910" s="604"/>
      <c r="O910" s="610"/>
    </row>
    <row r="911" spans="1:61" ht="25.5" customHeight="1">
      <c r="A911" s="888"/>
      <c r="B911" s="57" t="s">
        <v>10</v>
      </c>
      <c r="C911" s="57"/>
      <c r="D911" s="57"/>
      <c r="E911" s="57"/>
      <c r="F911" s="57"/>
      <c r="G911" s="80">
        <f>G914+G918+G921</f>
        <v>37992.400000000001</v>
      </c>
      <c r="H911" s="80">
        <f t="shared" ref="H911:M911" si="324">H914+H918+H921</f>
        <v>0</v>
      </c>
      <c r="I911" s="80">
        <f t="shared" si="324"/>
        <v>0</v>
      </c>
      <c r="J911" s="80">
        <f t="shared" si="324"/>
        <v>0</v>
      </c>
      <c r="K911" s="80">
        <f t="shared" si="324"/>
        <v>37992.400000000001</v>
      </c>
      <c r="L911" s="80">
        <f>L914+L918+L921+L916</f>
        <v>87450.9</v>
      </c>
      <c r="M911" s="80">
        <f t="shared" si="324"/>
        <v>106938</v>
      </c>
      <c r="N911" s="604"/>
      <c r="O911" s="610"/>
    </row>
    <row r="912" spans="1:61" ht="25.5" customHeight="1">
      <c r="A912" s="889"/>
      <c r="B912" s="57" t="s">
        <v>495</v>
      </c>
      <c r="C912" s="57"/>
      <c r="D912" s="57"/>
      <c r="E912" s="57"/>
      <c r="F912" s="57"/>
      <c r="G912" s="80">
        <f>G922</f>
        <v>0</v>
      </c>
      <c r="H912" s="80">
        <f t="shared" ref="H912:M912" si="325">H922</f>
        <v>0</v>
      </c>
      <c r="I912" s="80">
        <f t="shared" si="325"/>
        <v>0</v>
      </c>
      <c r="J912" s="80">
        <f t="shared" si="325"/>
        <v>0</v>
      </c>
      <c r="K912" s="80">
        <f t="shared" si="325"/>
        <v>0</v>
      </c>
      <c r="L912" s="80">
        <f t="shared" si="325"/>
        <v>0</v>
      </c>
      <c r="M912" s="80">
        <f t="shared" si="325"/>
        <v>0</v>
      </c>
      <c r="N912" s="604"/>
      <c r="O912" s="610"/>
    </row>
    <row r="913" spans="1:61" ht="25.5" customHeight="1">
      <c r="A913" s="932" t="s">
        <v>154</v>
      </c>
      <c r="B913" s="546" t="s">
        <v>89</v>
      </c>
      <c r="C913" s="546">
        <v>176</v>
      </c>
      <c r="D913" s="546" t="s">
        <v>15</v>
      </c>
      <c r="E913" s="546">
        <v>6100404</v>
      </c>
      <c r="F913" s="546">
        <v>244</v>
      </c>
      <c r="G913" s="81">
        <f>K913</f>
        <v>3</v>
      </c>
      <c r="H913" s="81"/>
      <c r="I913" s="81"/>
      <c r="J913" s="81"/>
      <c r="K913" s="81">
        <v>3</v>
      </c>
      <c r="L913" s="81">
        <v>5</v>
      </c>
      <c r="M913" s="81">
        <v>4.5</v>
      </c>
      <c r="N913" s="604"/>
      <c r="O913" s="944" t="s">
        <v>939</v>
      </c>
    </row>
    <row r="914" spans="1:61" s="44" customFormat="1" ht="25.5" customHeight="1">
      <c r="A914" s="932"/>
      <c r="B914" s="546" t="s">
        <v>246</v>
      </c>
      <c r="C914" s="546"/>
      <c r="D914" s="546"/>
      <c r="E914" s="546"/>
      <c r="F914" s="546"/>
      <c r="G914" s="81">
        <f>K914</f>
        <v>37992.400000000001</v>
      </c>
      <c r="H914" s="81"/>
      <c r="I914" s="81"/>
      <c r="J914" s="81"/>
      <c r="K914" s="81">
        <v>37992.400000000001</v>
      </c>
      <c r="L914" s="81">
        <v>62450.9</v>
      </c>
      <c r="M914" s="81">
        <v>56938</v>
      </c>
      <c r="N914" s="604"/>
      <c r="O914" s="944"/>
      <c r="AJ914" s="91"/>
      <c r="AK914" s="91"/>
      <c r="AL914" s="91"/>
      <c r="AM914" s="91"/>
      <c r="AN914" s="91"/>
      <c r="AO914" s="91"/>
      <c r="AP914" s="91"/>
      <c r="AQ914" s="91"/>
      <c r="AR914" s="91"/>
      <c r="AS914" s="91"/>
      <c r="AT914" s="91"/>
      <c r="AU914" s="91"/>
      <c r="AV914" s="91"/>
      <c r="AW914" s="91"/>
      <c r="AX914" s="91"/>
      <c r="AY914" s="91"/>
      <c r="AZ914" s="91"/>
      <c r="BA914" s="91"/>
      <c r="BB914" s="91"/>
      <c r="BC914" s="91"/>
      <c r="BD914" s="91"/>
      <c r="BE914" s="91"/>
      <c r="BF914" s="91"/>
      <c r="BG914" s="91"/>
      <c r="BH914" s="91"/>
      <c r="BI914" s="91"/>
    </row>
    <row r="915" spans="1:61" s="44" customFormat="1" ht="25.5" customHeight="1">
      <c r="A915" s="926" t="s">
        <v>256</v>
      </c>
      <c r="B915" s="651" t="s">
        <v>89</v>
      </c>
      <c r="C915" s="651">
        <v>176</v>
      </c>
      <c r="D915" s="651" t="s">
        <v>15</v>
      </c>
      <c r="E915" s="651">
        <v>6100404</v>
      </c>
      <c r="F915" s="651">
        <v>244</v>
      </c>
      <c r="G915" s="81">
        <f>J915</f>
        <v>0</v>
      </c>
      <c r="H915" s="81"/>
      <c r="I915" s="81"/>
      <c r="J915" s="81"/>
      <c r="K915" s="81"/>
      <c r="L915" s="81">
        <v>2</v>
      </c>
      <c r="M915" s="81"/>
      <c r="N915" s="651"/>
      <c r="O915" s="933" t="s">
        <v>463</v>
      </c>
      <c r="AJ915" s="91"/>
      <c r="AK915" s="91"/>
      <c r="AL915" s="91"/>
      <c r="AM915" s="91"/>
      <c r="AN915" s="91"/>
      <c r="AO915" s="91"/>
      <c r="AP915" s="91"/>
      <c r="AQ915" s="91"/>
      <c r="AR915" s="91"/>
      <c r="AS915" s="91"/>
      <c r="AT915" s="91"/>
      <c r="AU915" s="91"/>
      <c r="AV915" s="91"/>
      <c r="AW915" s="91"/>
      <c r="AX915" s="91"/>
      <c r="AY915" s="91"/>
      <c r="AZ915" s="91"/>
      <c r="BA915" s="91"/>
      <c r="BB915" s="91"/>
      <c r="BC915" s="91"/>
      <c r="BD915" s="91"/>
      <c r="BE915" s="91"/>
      <c r="BF915" s="91"/>
      <c r="BG915" s="91"/>
      <c r="BH915" s="91"/>
      <c r="BI915" s="91"/>
    </row>
    <row r="916" spans="1:61" s="44" customFormat="1" ht="25.5" customHeight="1">
      <c r="A916" s="928"/>
      <c r="B916" s="651" t="s">
        <v>246</v>
      </c>
      <c r="C916" s="651"/>
      <c r="D916" s="651"/>
      <c r="E916" s="651"/>
      <c r="F916" s="651"/>
      <c r="G916" s="81"/>
      <c r="H916" s="81"/>
      <c r="I916" s="81"/>
      <c r="J916" s="81"/>
      <c r="K916" s="81"/>
      <c r="L916" s="81">
        <v>25000</v>
      </c>
      <c r="M916" s="81"/>
      <c r="N916" s="651"/>
      <c r="O916" s="934"/>
      <c r="AJ916" s="91"/>
      <c r="AK916" s="91"/>
      <c r="AL916" s="91"/>
      <c r="AM916" s="91"/>
      <c r="AN916" s="91"/>
      <c r="AO916" s="91"/>
      <c r="AP916" s="91"/>
      <c r="AQ916" s="91"/>
      <c r="AR916" s="91"/>
      <c r="AS916" s="91"/>
      <c r="AT916" s="91"/>
      <c r="AU916" s="91"/>
      <c r="AV916" s="91"/>
      <c r="AW916" s="91"/>
      <c r="AX916" s="91"/>
      <c r="AY916" s="91"/>
      <c r="AZ916" s="91"/>
      <c r="BA916" s="91"/>
      <c r="BB916" s="91"/>
      <c r="BC916" s="91"/>
      <c r="BD916" s="91"/>
      <c r="BE916" s="91"/>
      <c r="BF916" s="91"/>
      <c r="BG916" s="91"/>
      <c r="BH916" s="91"/>
      <c r="BI916" s="91"/>
    </row>
    <row r="917" spans="1:61" s="44" customFormat="1" ht="25.5" customHeight="1">
      <c r="A917" s="926" t="s">
        <v>940</v>
      </c>
      <c r="B917" s="546" t="s">
        <v>89</v>
      </c>
      <c r="C917" s="546">
        <v>176</v>
      </c>
      <c r="D917" s="546" t="s">
        <v>15</v>
      </c>
      <c r="E917" s="546">
        <v>6100404</v>
      </c>
      <c r="F917" s="546">
        <v>244</v>
      </c>
      <c r="G917" s="81">
        <f>J917</f>
        <v>0</v>
      </c>
      <c r="H917" s="81"/>
      <c r="I917" s="81"/>
      <c r="J917" s="81"/>
      <c r="K917" s="81"/>
      <c r="L917" s="81"/>
      <c r="M917" s="81">
        <v>1.5</v>
      </c>
      <c r="N917" s="604"/>
      <c r="O917" s="933" t="s">
        <v>609</v>
      </c>
      <c r="AJ917" s="91"/>
      <c r="AK917" s="91"/>
      <c r="AL917" s="91"/>
      <c r="AM917" s="91"/>
      <c r="AN917" s="91"/>
      <c r="AO917" s="91"/>
      <c r="AP917" s="91"/>
      <c r="AQ917" s="91"/>
      <c r="AR917" s="91"/>
      <c r="AS917" s="91"/>
      <c r="AT917" s="91"/>
      <c r="AU917" s="91"/>
      <c r="AV917" s="91"/>
      <c r="AW917" s="91"/>
      <c r="AX917" s="91"/>
      <c r="AY917" s="91"/>
      <c r="AZ917" s="91"/>
      <c r="BA917" s="91"/>
      <c r="BB917" s="91"/>
      <c r="BC917" s="91"/>
      <c r="BD917" s="91"/>
      <c r="BE917" s="91"/>
      <c r="BF917" s="91"/>
      <c r="BG917" s="91"/>
      <c r="BH917" s="91"/>
      <c r="BI917" s="91"/>
    </row>
    <row r="918" spans="1:61" s="44" customFormat="1" ht="25.5" customHeight="1">
      <c r="A918" s="928"/>
      <c r="B918" s="546" t="s">
        <v>246</v>
      </c>
      <c r="C918" s="546"/>
      <c r="D918" s="546"/>
      <c r="E918" s="546"/>
      <c r="F918" s="546"/>
      <c r="G918" s="81"/>
      <c r="H918" s="81"/>
      <c r="I918" s="81"/>
      <c r="J918" s="81"/>
      <c r="K918" s="81"/>
      <c r="L918" s="81"/>
      <c r="M918" s="81">
        <v>20000</v>
      </c>
      <c r="N918" s="604"/>
      <c r="O918" s="934"/>
      <c r="AJ918" s="91"/>
      <c r="AK918" s="91"/>
      <c r="AL918" s="91"/>
      <c r="AM918" s="91"/>
      <c r="AN918" s="91"/>
      <c r="AO918" s="91"/>
      <c r="AP918" s="91"/>
      <c r="AQ918" s="91"/>
      <c r="AR918" s="91"/>
      <c r="AS918" s="91"/>
      <c r="AT918" s="91"/>
      <c r="AU918" s="91"/>
      <c r="AV918" s="91"/>
      <c r="AW918" s="91"/>
      <c r="AX918" s="91"/>
      <c r="AY918" s="91"/>
      <c r="AZ918" s="91"/>
      <c r="BA918" s="91"/>
      <c r="BB918" s="91"/>
      <c r="BC918" s="91"/>
      <c r="BD918" s="91"/>
      <c r="BE918" s="91"/>
      <c r="BF918" s="91"/>
      <c r="BG918" s="91"/>
      <c r="BH918" s="91"/>
      <c r="BI918" s="91"/>
    </row>
    <row r="919" spans="1:61" s="44" customFormat="1" ht="25.5" customHeight="1">
      <c r="A919" s="926" t="s">
        <v>941</v>
      </c>
      <c r="B919" s="546" t="s">
        <v>89</v>
      </c>
      <c r="C919" s="546"/>
      <c r="D919" s="546"/>
      <c r="E919" s="546"/>
      <c r="F919" s="546"/>
      <c r="G919" s="81">
        <f>K919</f>
        <v>0</v>
      </c>
      <c r="H919" s="81"/>
      <c r="I919" s="81"/>
      <c r="J919" s="81"/>
      <c r="K919" s="81"/>
      <c r="L919" s="81"/>
      <c r="M919" s="81">
        <v>2</v>
      </c>
      <c r="N919" s="604"/>
      <c r="O919" s="1030" t="s">
        <v>463</v>
      </c>
      <c r="AJ919" s="91"/>
      <c r="AK919" s="91"/>
      <c r="AL919" s="91"/>
      <c r="AM919" s="91"/>
      <c r="AN919" s="91"/>
      <c r="AO919" s="91"/>
      <c r="AP919" s="91"/>
      <c r="AQ919" s="91"/>
      <c r="AR919" s="91"/>
      <c r="AS919" s="91"/>
      <c r="AT919" s="91"/>
      <c r="AU919" s="91"/>
      <c r="AV919" s="91"/>
      <c r="AW919" s="91"/>
      <c r="AX919" s="91"/>
      <c r="AY919" s="91"/>
      <c r="AZ919" s="91"/>
      <c r="BA919" s="91"/>
      <c r="BB919" s="91"/>
      <c r="BC919" s="91"/>
      <c r="BD919" s="91"/>
      <c r="BE919" s="91"/>
      <c r="BF919" s="91"/>
      <c r="BG919" s="91"/>
      <c r="BH919" s="91"/>
      <c r="BI919" s="91"/>
    </row>
    <row r="920" spans="1:61" s="44" customFormat="1" ht="25.5" customHeight="1">
      <c r="A920" s="927"/>
      <c r="B920" s="546" t="s">
        <v>25</v>
      </c>
      <c r="C920" s="546"/>
      <c r="D920" s="546"/>
      <c r="E920" s="546"/>
      <c r="F920" s="546"/>
      <c r="G920" s="81">
        <f t="shared" ref="G920:G922" si="326">K920</f>
        <v>0</v>
      </c>
      <c r="H920" s="81"/>
      <c r="I920" s="81"/>
      <c r="J920" s="81"/>
      <c r="K920" s="81">
        <f>K921+K922</f>
        <v>0</v>
      </c>
      <c r="L920" s="81"/>
      <c r="M920" s="81">
        <f>M921</f>
        <v>30000</v>
      </c>
      <c r="N920" s="604"/>
      <c r="O920" s="1031"/>
      <c r="AJ920" s="91"/>
      <c r="AK920" s="91"/>
      <c r="AL920" s="91"/>
      <c r="AM920" s="91"/>
      <c r="AN920" s="91"/>
      <c r="AO920" s="91"/>
      <c r="AP920" s="91"/>
      <c r="AQ920" s="91"/>
      <c r="AR920" s="91"/>
      <c r="AS920" s="91"/>
      <c r="AT920" s="91"/>
      <c r="AU920" s="91"/>
      <c r="AV920" s="91"/>
      <c r="AW920" s="91"/>
      <c r="AX920" s="91"/>
      <c r="AY920" s="91"/>
      <c r="AZ920" s="91"/>
      <c r="BA920" s="91"/>
      <c r="BB920" s="91"/>
      <c r="BC920" s="91"/>
      <c r="BD920" s="91"/>
      <c r="BE920" s="91"/>
      <c r="BF920" s="91"/>
      <c r="BG920" s="91"/>
      <c r="BH920" s="91"/>
      <c r="BI920" s="91"/>
    </row>
    <row r="921" spans="1:61" s="44" customFormat="1" ht="25.5" customHeight="1">
      <c r="A921" s="927"/>
      <c r="B921" s="546" t="s">
        <v>10</v>
      </c>
      <c r="C921" s="546"/>
      <c r="D921" s="546"/>
      <c r="E921" s="546"/>
      <c r="F921" s="546"/>
      <c r="G921" s="81">
        <f t="shared" si="326"/>
        <v>0</v>
      </c>
      <c r="H921" s="81"/>
      <c r="I921" s="81"/>
      <c r="J921" s="81"/>
      <c r="K921" s="81"/>
      <c r="L921" s="81"/>
      <c r="M921" s="81">
        <v>30000</v>
      </c>
      <c r="N921" s="604"/>
      <c r="O921" s="1031"/>
      <c r="AJ921" s="91"/>
      <c r="AK921" s="91"/>
      <c r="AL921" s="91"/>
      <c r="AM921" s="91"/>
      <c r="AN921" s="91"/>
      <c r="AO921" s="91"/>
      <c r="AP921" s="91"/>
      <c r="AQ921" s="91"/>
      <c r="AR921" s="91"/>
      <c r="AS921" s="91"/>
      <c r="AT921" s="91"/>
      <c r="AU921" s="91"/>
      <c r="AV921" s="91"/>
      <c r="AW921" s="91"/>
      <c r="AX921" s="91"/>
      <c r="AY921" s="91"/>
      <c r="AZ921" s="91"/>
      <c r="BA921" s="91"/>
      <c r="BB921" s="91"/>
      <c r="BC921" s="91"/>
      <c r="BD921" s="91"/>
      <c r="BE921" s="91"/>
      <c r="BF921" s="91"/>
      <c r="BG921" s="91"/>
      <c r="BH921" s="91"/>
      <c r="BI921" s="91"/>
    </row>
    <row r="922" spans="1:61" s="44" customFormat="1" ht="25.5" hidden="1" customHeight="1">
      <c r="A922" s="928"/>
      <c r="B922" s="546" t="s">
        <v>495</v>
      </c>
      <c r="C922" s="546"/>
      <c r="D922" s="546"/>
      <c r="E922" s="546"/>
      <c r="F922" s="546"/>
      <c r="G922" s="81">
        <f t="shared" si="326"/>
        <v>0</v>
      </c>
      <c r="H922" s="81"/>
      <c r="I922" s="81"/>
      <c r="J922" s="81"/>
      <c r="K922" s="81"/>
      <c r="L922" s="81"/>
      <c r="M922" s="81"/>
      <c r="N922" s="604"/>
      <c r="O922" s="1032"/>
      <c r="AJ922" s="91"/>
      <c r="AK922" s="91"/>
      <c r="AL922" s="91"/>
      <c r="AM922" s="91"/>
      <c r="AN922" s="91"/>
      <c r="AO922" s="91"/>
      <c r="AP922" s="91"/>
      <c r="AQ922" s="91"/>
      <c r="AR922" s="91"/>
      <c r="AS922" s="91"/>
      <c r="AT922" s="91"/>
      <c r="AU922" s="91"/>
      <c r="AV922" s="91"/>
      <c r="AW922" s="91"/>
      <c r="AX922" s="91"/>
      <c r="AY922" s="91"/>
      <c r="AZ922" s="91"/>
      <c r="BA922" s="91"/>
      <c r="BB922" s="91"/>
      <c r="BC922" s="91"/>
      <c r="BD922" s="91"/>
      <c r="BE922" s="91"/>
      <c r="BF922" s="91"/>
      <c r="BG922" s="91"/>
      <c r="BH922" s="91"/>
      <c r="BI922" s="91"/>
    </row>
    <row r="923" spans="1:61" s="44" customFormat="1" ht="25.5" customHeight="1">
      <c r="A923" s="887" t="s">
        <v>125</v>
      </c>
      <c r="B923" s="57" t="s">
        <v>89</v>
      </c>
      <c r="C923" s="546"/>
      <c r="D923" s="546"/>
      <c r="E923" s="546"/>
      <c r="F923" s="546"/>
      <c r="G923" s="80">
        <f t="shared" ref="G923:M923" si="327">G927+G931+G935</f>
        <v>0</v>
      </c>
      <c r="H923" s="80">
        <f t="shared" si="327"/>
        <v>0</v>
      </c>
      <c r="I923" s="80">
        <f t="shared" si="327"/>
        <v>0</v>
      </c>
      <c r="J923" s="80">
        <f t="shared" si="327"/>
        <v>0</v>
      </c>
      <c r="K923" s="80">
        <f t="shared" si="327"/>
        <v>0</v>
      </c>
      <c r="L923" s="80">
        <f t="shared" si="327"/>
        <v>11.2</v>
      </c>
      <c r="M923" s="80">
        <f t="shared" si="327"/>
        <v>3</v>
      </c>
      <c r="N923" s="604"/>
      <c r="O923" s="606"/>
      <c r="AJ923" s="91"/>
      <c r="AK923" s="91"/>
      <c r="AL923" s="91"/>
      <c r="AM923" s="91"/>
      <c r="AN923" s="91"/>
      <c r="AO923" s="91"/>
      <c r="AP923" s="91"/>
      <c r="AQ923" s="91"/>
      <c r="AR923" s="91"/>
      <c r="AS923" s="91"/>
      <c r="AT923" s="91"/>
      <c r="AU923" s="91"/>
      <c r="AV923" s="91"/>
      <c r="AW923" s="91"/>
      <c r="AX923" s="91"/>
      <c r="AY923" s="91"/>
      <c r="AZ923" s="91"/>
      <c r="BA923" s="91"/>
      <c r="BB923" s="91"/>
      <c r="BC923" s="91"/>
      <c r="BD923" s="91"/>
      <c r="BE923" s="91"/>
      <c r="BF923" s="91"/>
      <c r="BG923" s="91"/>
      <c r="BH923" s="91"/>
      <c r="BI923" s="91"/>
    </row>
    <row r="924" spans="1:61" s="44" customFormat="1" ht="25.5" customHeight="1">
      <c r="A924" s="888"/>
      <c r="B924" s="57" t="s">
        <v>25</v>
      </c>
      <c r="C924" s="546"/>
      <c r="D924" s="546"/>
      <c r="E924" s="546"/>
      <c r="F924" s="546"/>
      <c r="G924" s="80">
        <f>G925+G926</f>
        <v>0</v>
      </c>
      <c r="H924" s="80">
        <f t="shared" ref="H924:K924" si="328">H925+H926</f>
        <v>0</v>
      </c>
      <c r="I924" s="80">
        <f t="shared" si="328"/>
        <v>0</v>
      </c>
      <c r="J924" s="80">
        <f t="shared" si="328"/>
        <v>0</v>
      </c>
      <c r="K924" s="80">
        <f t="shared" si="328"/>
        <v>0</v>
      </c>
      <c r="L924" s="80">
        <f t="shared" ref="L924" si="329">L925+L926</f>
        <v>139034</v>
      </c>
      <c r="M924" s="80">
        <f t="shared" ref="M924" si="330">M925+M926</f>
        <v>36938</v>
      </c>
      <c r="N924" s="604"/>
      <c r="O924" s="606"/>
      <c r="AJ924" s="91"/>
      <c r="AK924" s="91"/>
      <c r="AL924" s="91"/>
      <c r="AM924" s="91"/>
      <c r="AN924" s="91"/>
      <c r="AO924" s="91"/>
      <c r="AP924" s="91"/>
      <c r="AQ924" s="91"/>
      <c r="AR924" s="91"/>
      <c r="AS924" s="91"/>
      <c r="AT924" s="91"/>
      <c r="AU924" s="91"/>
      <c r="AV924" s="91"/>
      <c r="AW924" s="91"/>
      <c r="AX924" s="91"/>
      <c r="AY924" s="91"/>
      <c r="AZ924" s="91"/>
      <c r="BA924" s="91"/>
      <c r="BB924" s="91"/>
      <c r="BC924" s="91"/>
      <c r="BD924" s="91"/>
      <c r="BE924" s="91"/>
      <c r="BF924" s="91"/>
      <c r="BG924" s="91"/>
      <c r="BH924" s="91"/>
      <c r="BI924" s="91"/>
    </row>
    <row r="925" spans="1:61" s="44" customFormat="1" ht="25.5" customHeight="1">
      <c r="A925" s="888"/>
      <c r="B925" s="57" t="s">
        <v>10</v>
      </c>
      <c r="C925" s="546"/>
      <c r="D925" s="546"/>
      <c r="E925" s="546"/>
      <c r="F925" s="546"/>
      <c r="G925" s="80">
        <f t="shared" ref="G925:M925" si="331">G929+G933+G936</f>
        <v>0</v>
      </c>
      <c r="H925" s="80">
        <f t="shared" si="331"/>
        <v>0</v>
      </c>
      <c r="I925" s="80">
        <f t="shared" si="331"/>
        <v>0</v>
      </c>
      <c r="J925" s="80">
        <f t="shared" si="331"/>
        <v>0</v>
      </c>
      <c r="K925" s="80">
        <f t="shared" si="331"/>
        <v>0</v>
      </c>
      <c r="L925" s="80">
        <f t="shared" si="331"/>
        <v>139034</v>
      </c>
      <c r="M925" s="80">
        <f t="shared" si="331"/>
        <v>36938</v>
      </c>
      <c r="N925" s="604"/>
      <c r="O925" s="606"/>
      <c r="AJ925" s="91"/>
      <c r="AK925" s="91"/>
      <c r="AL925" s="91"/>
      <c r="AM925" s="91"/>
      <c r="AN925" s="91"/>
      <c r="AO925" s="91"/>
      <c r="AP925" s="91"/>
      <c r="AQ925" s="91"/>
      <c r="AR925" s="91"/>
      <c r="AS925" s="91"/>
      <c r="AT925" s="91"/>
      <c r="AU925" s="91"/>
      <c r="AV925" s="91"/>
      <c r="AW925" s="91"/>
      <c r="AX925" s="91"/>
      <c r="AY925" s="91"/>
      <c r="AZ925" s="91"/>
      <c r="BA925" s="91"/>
      <c r="BB925" s="91"/>
      <c r="BC925" s="91"/>
      <c r="BD925" s="91"/>
      <c r="BE925" s="91"/>
      <c r="BF925" s="91"/>
      <c r="BG925" s="91"/>
      <c r="BH925" s="91"/>
      <c r="BI925" s="91"/>
    </row>
    <row r="926" spans="1:61" s="44" customFormat="1" ht="25.5" customHeight="1">
      <c r="A926" s="889"/>
      <c r="B926" s="57" t="s">
        <v>495</v>
      </c>
      <c r="C926" s="546"/>
      <c r="D926" s="546"/>
      <c r="E926" s="546"/>
      <c r="F926" s="546"/>
      <c r="G926" s="80">
        <f t="shared" ref="G926:M926" si="332">G930+G934</f>
        <v>0</v>
      </c>
      <c r="H926" s="80">
        <f t="shared" si="332"/>
        <v>0</v>
      </c>
      <c r="I926" s="80">
        <f t="shared" si="332"/>
        <v>0</v>
      </c>
      <c r="J926" s="80">
        <f t="shared" si="332"/>
        <v>0</v>
      </c>
      <c r="K926" s="80">
        <f t="shared" si="332"/>
        <v>0</v>
      </c>
      <c r="L926" s="80">
        <f t="shared" si="332"/>
        <v>0</v>
      </c>
      <c r="M926" s="80">
        <f t="shared" si="332"/>
        <v>0</v>
      </c>
      <c r="N926" s="604"/>
      <c r="O926" s="606"/>
      <c r="AJ926" s="91"/>
      <c r="AK926" s="91"/>
      <c r="AL926" s="91"/>
      <c r="AM926" s="91"/>
      <c r="AN926" s="91"/>
      <c r="AO926" s="91"/>
      <c r="AP926" s="91"/>
      <c r="AQ926" s="91"/>
      <c r="AR926" s="91"/>
      <c r="AS926" s="91"/>
      <c r="AT926" s="91"/>
      <c r="AU926" s="91"/>
      <c r="AV926" s="91"/>
      <c r="AW926" s="91"/>
      <c r="AX926" s="91"/>
      <c r="AY926" s="91"/>
      <c r="AZ926" s="91"/>
      <c r="BA926" s="91"/>
      <c r="BB926" s="91"/>
      <c r="BC926" s="91"/>
      <c r="BD926" s="91"/>
      <c r="BE926" s="91"/>
      <c r="BF926" s="91"/>
      <c r="BG926" s="91"/>
      <c r="BH926" s="91"/>
      <c r="BI926" s="91"/>
    </row>
    <row r="927" spans="1:61" s="44" customFormat="1" ht="25.5" customHeight="1">
      <c r="A927" s="926" t="s">
        <v>588</v>
      </c>
      <c r="B927" s="546" t="s">
        <v>89</v>
      </c>
      <c r="C927" s="546"/>
      <c r="D927" s="546"/>
      <c r="E927" s="546"/>
      <c r="F927" s="546"/>
      <c r="G927" s="81">
        <f>K927</f>
        <v>0</v>
      </c>
      <c r="H927" s="81"/>
      <c r="I927" s="81"/>
      <c r="J927" s="81"/>
      <c r="K927" s="81"/>
      <c r="L927" s="81">
        <v>2</v>
      </c>
      <c r="M927" s="81"/>
      <c r="N927" s="604"/>
      <c r="O927" s="1030" t="s">
        <v>561</v>
      </c>
      <c r="AJ927" s="91"/>
      <c r="AK927" s="91"/>
      <c r="AL927" s="91"/>
      <c r="AM927" s="91"/>
      <c r="AN927" s="91"/>
      <c r="AO927" s="91"/>
      <c r="AP927" s="91"/>
      <c r="AQ927" s="91"/>
      <c r="AR927" s="91"/>
      <c r="AS927" s="91"/>
      <c r="AT927" s="91"/>
      <c r="AU927" s="91"/>
      <c r="AV927" s="91"/>
      <c r="AW927" s="91"/>
      <c r="AX927" s="91"/>
      <c r="AY927" s="91"/>
      <c r="AZ927" s="91"/>
      <c r="BA927" s="91"/>
      <c r="BB927" s="91"/>
      <c r="BC927" s="91"/>
      <c r="BD927" s="91"/>
      <c r="BE927" s="91"/>
      <c r="BF927" s="91"/>
      <c r="BG927" s="91"/>
      <c r="BH927" s="91"/>
      <c r="BI927" s="91"/>
    </row>
    <row r="928" spans="1:61" s="44" customFormat="1" ht="25.5" customHeight="1">
      <c r="A928" s="927"/>
      <c r="B928" s="546" t="s">
        <v>25</v>
      </c>
      <c r="C928" s="546"/>
      <c r="D928" s="546"/>
      <c r="E928" s="546"/>
      <c r="F928" s="546"/>
      <c r="G928" s="81">
        <f t="shared" ref="G928:G930" si="333">K928</f>
        <v>0</v>
      </c>
      <c r="H928" s="81"/>
      <c r="I928" s="81"/>
      <c r="J928" s="81"/>
      <c r="K928" s="81">
        <f>K929+K930</f>
        <v>0</v>
      </c>
      <c r="L928" s="81">
        <f>L929+L930</f>
        <v>24000</v>
      </c>
      <c r="M928" s="81">
        <f>M929+M930</f>
        <v>0</v>
      </c>
      <c r="N928" s="604"/>
      <c r="O928" s="1031"/>
      <c r="AJ928" s="91"/>
      <c r="AK928" s="91"/>
      <c r="AL928" s="91"/>
      <c r="AM928" s="91"/>
      <c r="AN928" s="91"/>
      <c r="AO928" s="91"/>
      <c r="AP928" s="91"/>
      <c r="AQ928" s="91"/>
      <c r="AR928" s="91"/>
      <c r="AS928" s="91"/>
      <c r="AT928" s="91"/>
      <c r="AU928" s="91"/>
      <c r="AV928" s="91"/>
      <c r="AW928" s="91"/>
      <c r="AX928" s="91"/>
      <c r="AY928" s="91"/>
      <c r="AZ928" s="91"/>
      <c r="BA928" s="91"/>
      <c r="BB928" s="91"/>
      <c r="BC928" s="91"/>
      <c r="BD928" s="91"/>
      <c r="BE928" s="91"/>
      <c r="BF928" s="91"/>
      <c r="BG928" s="91"/>
      <c r="BH928" s="91"/>
      <c r="BI928" s="91"/>
    </row>
    <row r="929" spans="1:61" s="44" customFormat="1" ht="25.5" customHeight="1">
      <c r="A929" s="927"/>
      <c r="B929" s="546" t="s">
        <v>10</v>
      </c>
      <c r="C929" s="546"/>
      <c r="D929" s="546"/>
      <c r="E929" s="546"/>
      <c r="F929" s="546"/>
      <c r="G929" s="81">
        <f t="shared" si="333"/>
        <v>0</v>
      </c>
      <c r="H929" s="81"/>
      <c r="I929" s="81"/>
      <c r="J929" s="81"/>
      <c r="K929" s="81"/>
      <c r="L929" s="81">
        <f>22000+2000</f>
        <v>24000</v>
      </c>
      <c r="M929" s="81"/>
      <c r="N929" s="604"/>
      <c r="O929" s="1031"/>
      <c r="AJ929" s="91"/>
      <c r="AK929" s="91"/>
      <c r="AL929" s="91"/>
      <c r="AM929" s="91"/>
      <c r="AN929" s="91"/>
      <c r="AO929" s="91"/>
      <c r="AP929" s="91"/>
      <c r="AQ929" s="91"/>
      <c r="AR929" s="91"/>
      <c r="AS929" s="91"/>
      <c r="AT929" s="91"/>
      <c r="AU929" s="91"/>
      <c r="AV929" s="91"/>
      <c r="AW929" s="91"/>
      <c r="AX929" s="91"/>
      <c r="AY929" s="91"/>
      <c r="AZ929" s="91"/>
      <c r="BA929" s="91"/>
      <c r="BB929" s="91"/>
      <c r="BC929" s="91"/>
      <c r="BD929" s="91"/>
      <c r="BE929" s="91"/>
      <c r="BF929" s="91"/>
      <c r="BG929" s="91"/>
      <c r="BH929" s="91"/>
      <c r="BI929" s="91"/>
    </row>
    <row r="930" spans="1:61" s="44" customFormat="1" ht="25.5" hidden="1" customHeight="1">
      <c r="A930" s="928"/>
      <c r="B930" s="546" t="s">
        <v>495</v>
      </c>
      <c r="C930" s="546"/>
      <c r="D930" s="546"/>
      <c r="E930" s="546"/>
      <c r="F930" s="546"/>
      <c r="G930" s="81">
        <f t="shared" si="333"/>
        <v>0</v>
      </c>
      <c r="H930" s="81"/>
      <c r="I930" s="81"/>
      <c r="J930" s="81"/>
      <c r="K930" s="81"/>
      <c r="L930" s="81"/>
      <c r="M930" s="81"/>
      <c r="N930" s="604"/>
      <c r="O930" s="1032"/>
      <c r="AJ930" s="91"/>
      <c r="AK930" s="91"/>
      <c r="AL930" s="91"/>
      <c r="AM930" s="91"/>
      <c r="AN930" s="91"/>
      <c r="AO930" s="91"/>
      <c r="AP930" s="91"/>
      <c r="AQ930" s="91"/>
      <c r="AR930" s="91"/>
      <c r="AS930" s="91"/>
      <c r="AT930" s="91"/>
      <c r="AU930" s="91"/>
      <c r="AV930" s="91"/>
      <c r="AW930" s="91"/>
      <c r="AX930" s="91"/>
      <c r="AY930" s="91"/>
      <c r="AZ930" s="91"/>
      <c r="BA930" s="91"/>
      <c r="BB930" s="91"/>
      <c r="BC930" s="91"/>
      <c r="BD930" s="91"/>
      <c r="BE930" s="91"/>
      <c r="BF930" s="91"/>
      <c r="BG930" s="91"/>
      <c r="BH930" s="91"/>
      <c r="BI930" s="91"/>
    </row>
    <row r="931" spans="1:61" s="44" customFormat="1" ht="25.5" customHeight="1">
      <c r="A931" s="926" t="s">
        <v>589</v>
      </c>
      <c r="B931" s="546" t="s">
        <v>89</v>
      </c>
      <c r="C931" s="546"/>
      <c r="D931" s="546"/>
      <c r="E931" s="546"/>
      <c r="F931" s="546"/>
      <c r="G931" s="81">
        <f>K931</f>
        <v>0</v>
      </c>
      <c r="H931" s="81"/>
      <c r="I931" s="81"/>
      <c r="J931" s="81"/>
      <c r="K931" s="81"/>
      <c r="L931" s="81">
        <v>5</v>
      </c>
      <c r="M931" s="81">
        <v>3</v>
      </c>
      <c r="N931" s="604"/>
      <c r="O931" s="1030" t="s">
        <v>942</v>
      </c>
      <c r="AJ931" s="91"/>
      <c r="AK931" s="91"/>
      <c r="AL931" s="91"/>
      <c r="AM931" s="91"/>
      <c r="AN931" s="91"/>
      <c r="AO931" s="91"/>
      <c r="AP931" s="91"/>
      <c r="AQ931" s="91"/>
      <c r="AR931" s="91"/>
      <c r="AS931" s="91"/>
      <c r="AT931" s="91"/>
      <c r="AU931" s="91"/>
      <c r="AV931" s="91"/>
      <c r="AW931" s="91"/>
      <c r="AX931" s="91"/>
      <c r="AY931" s="91"/>
      <c r="AZ931" s="91"/>
      <c r="BA931" s="91"/>
      <c r="BB931" s="91"/>
      <c r="BC931" s="91"/>
      <c r="BD931" s="91"/>
      <c r="BE931" s="91"/>
      <c r="BF931" s="91"/>
      <c r="BG931" s="91"/>
      <c r="BH931" s="91"/>
      <c r="BI931" s="91"/>
    </row>
    <row r="932" spans="1:61" s="44" customFormat="1" ht="25.5" customHeight="1">
      <c r="A932" s="927"/>
      <c r="B932" s="546" t="s">
        <v>25</v>
      </c>
      <c r="C932" s="546"/>
      <c r="D932" s="546"/>
      <c r="E932" s="546"/>
      <c r="F932" s="546"/>
      <c r="G932" s="81">
        <f t="shared" ref="G932:G934" si="334">K932</f>
        <v>0</v>
      </c>
      <c r="H932" s="81"/>
      <c r="I932" s="81"/>
      <c r="J932" s="81"/>
      <c r="K932" s="81">
        <f>K933+K934</f>
        <v>0</v>
      </c>
      <c r="L932" s="81">
        <f t="shared" ref="L932:M932" si="335">L933+L934</f>
        <v>64850</v>
      </c>
      <c r="M932" s="81">
        <f t="shared" si="335"/>
        <v>36938</v>
      </c>
      <c r="N932" s="604"/>
      <c r="O932" s="1031"/>
      <c r="AJ932" s="91"/>
      <c r="AK932" s="91"/>
      <c r="AL932" s="91"/>
      <c r="AM932" s="91"/>
      <c r="AN932" s="91"/>
      <c r="AO932" s="91"/>
      <c r="AP932" s="91"/>
      <c r="AQ932" s="91"/>
      <c r="AR932" s="91"/>
      <c r="AS932" s="91"/>
      <c r="AT932" s="91"/>
      <c r="AU932" s="91"/>
      <c r="AV932" s="91"/>
      <c r="AW932" s="91"/>
      <c r="AX932" s="91"/>
      <c r="AY932" s="91"/>
      <c r="AZ932" s="91"/>
      <c r="BA932" s="91"/>
      <c r="BB932" s="91"/>
      <c r="BC932" s="91"/>
      <c r="BD932" s="91"/>
      <c r="BE932" s="91"/>
      <c r="BF932" s="91"/>
      <c r="BG932" s="91"/>
      <c r="BH932" s="91"/>
      <c r="BI932" s="91"/>
    </row>
    <row r="933" spans="1:61" s="44" customFormat="1" ht="25.5" customHeight="1">
      <c r="A933" s="927"/>
      <c r="B933" s="546" t="s">
        <v>10</v>
      </c>
      <c r="C933" s="546"/>
      <c r="D933" s="546"/>
      <c r="E933" s="546"/>
      <c r="F933" s="546"/>
      <c r="G933" s="81">
        <f t="shared" si="334"/>
        <v>0</v>
      </c>
      <c r="H933" s="81"/>
      <c r="I933" s="81"/>
      <c r="J933" s="81"/>
      <c r="K933" s="81"/>
      <c r="L933" s="81">
        <v>64850</v>
      </c>
      <c r="M933" s="81">
        <v>36938</v>
      </c>
      <c r="N933" s="604"/>
      <c r="O933" s="1031"/>
      <c r="AJ933" s="91"/>
      <c r="AK933" s="91"/>
      <c r="AL933" s="91"/>
      <c r="AM933" s="91"/>
      <c r="AN933" s="91"/>
      <c r="AO933" s="91"/>
      <c r="AP933" s="91"/>
      <c r="AQ933" s="91"/>
      <c r="AR933" s="91"/>
      <c r="AS933" s="91"/>
      <c r="AT933" s="91"/>
      <c r="AU933" s="91"/>
      <c r="AV933" s="91"/>
      <c r="AW933" s="91"/>
      <c r="AX933" s="91"/>
      <c r="AY933" s="91"/>
      <c r="AZ933" s="91"/>
      <c r="BA933" s="91"/>
      <c r="BB933" s="91"/>
      <c r="BC933" s="91"/>
      <c r="BD933" s="91"/>
      <c r="BE933" s="91"/>
      <c r="BF933" s="91"/>
      <c r="BG933" s="91"/>
      <c r="BH933" s="91"/>
      <c r="BI933" s="91"/>
    </row>
    <row r="934" spans="1:61" s="44" customFormat="1" ht="25.5" hidden="1" customHeight="1">
      <c r="A934" s="928"/>
      <c r="B934" s="546" t="s">
        <v>495</v>
      </c>
      <c r="C934" s="546"/>
      <c r="D934" s="546"/>
      <c r="E934" s="546"/>
      <c r="F934" s="546"/>
      <c r="G934" s="81">
        <f t="shared" si="334"/>
        <v>0</v>
      </c>
      <c r="H934" s="81"/>
      <c r="I934" s="81"/>
      <c r="J934" s="81"/>
      <c r="K934" s="81"/>
      <c r="L934" s="81"/>
      <c r="M934" s="81"/>
      <c r="N934" s="604"/>
      <c r="O934" s="1032"/>
      <c r="AJ934" s="91"/>
      <c r="AK934" s="91"/>
      <c r="AL934" s="91"/>
      <c r="AM934" s="91"/>
      <c r="AN934" s="91"/>
      <c r="AO934" s="91"/>
      <c r="AP934" s="91"/>
      <c r="AQ934" s="91"/>
      <c r="AR934" s="91"/>
      <c r="AS934" s="91"/>
      <c r="AT934" s="91"/>
      <c r="AU934" s="91"/>
      <c r="AV934" s="91"/>
      <c r="AW934" s="91"/>
      <c r="AX934" s="91"/>
      <c r="AY934" s="91"/>
      <c r="AZ934" s="91"/>
      <c r="BA934" s="91"/>
      <c r="BB934" s="91"/>
      <c r="BC934" s="91"/>
      <c r="BD934" s="91"/>
      <c r="BE934" s="91"/>
      <c r="BF934" s="91"/>
      <c r="BG934" s="91"/>
      <c r="BH934" s="91"/>
      <c r="BI934" s="91"/>
    </row>
    <row r="935" spans="1:61" s="44" customFormat="1" ht="25.5" customHeight="1">
      <c r="A935" s="926" t="s">
        <v>590</v>
      </c>
      <c r="B935" s="546" t="s">
        <v>89</v>
      </c>
      <c r="C935" s="546"/>
      <c r="D935" s="546"/>
      <c r="E935" s="546"/>
      <c r="F935" s="546"/>
      <c r="G935" s="81"/>
      <c r="H935" s="81"/>
      <c r="I935" s="81"/>
      <c r="J935" s="81"/>
      <c r="K935" s="81"/>
      <c r="L935" s="81">
        <v>4.2</v>
      </c>
      <c r="M935" s="81"/>
      <c r="N935" s="604"/>
      <c r="O935" s="1030" t="s">
        <v>591</v>
      </c>
      <c r="AJ935" s="91"/>
      <c r="AK935" s="91"/>
      <c r="AL935" s="91"/>
      <c r="AM935" s="91"/>
      <c r="AN935" s="91"/>
      <c r="AO935" s="91"/>
      <c r="AP935" s="91"/>
      <c r="AQ935" s="91"/>
      <c r="AR935" s="91"/>
      <c r="AS935" s="91"/>
      <c r="AT935" s="91"/>
      <c r="AU935" s="91"/>
      <c r="AV935" s="91"/>
      <c r="AW935" s="91"/>
      <c r="AX935" s="91"/>
      <c r="AY935" s="91"/>
      <c r="AZ935" s="91"/>
      <c r="BA935" s="91"/>
      <c r="BB935" s="91"/>
      <c r="BC935" s="91"/>
      <c r="BD935" s="91"/>
      <c r="BE935" s="91"/>
      <c r="BF935" s="91"/>
      <c r="BG935" s="91"/>
      <c r="BH935" s="91"/>
      <c r="BI935" s="91"/>
    </row>
    <row r="936" spans="1:61" s="44" customFormat="1" ht="25.5" customHeight="1">
      <c r="A936" s="928"/>
      <c r="B936" s="546" t="s">
        <v>246</v>
      </c>
      <c r="C936" s="546"/>
      <c r="D936" s="546"/>
      <c r="E936" s="546"/>
      <c r="F936" s="546"/>
      <c r="G936" s="81"/>
      <c r="H936" s="81"/>
      <c r="I936" s="81"/>
      <c r="J936" s="81"/>
      <c r="K936" s="81"/>
      <c r="L936" s="81">
        <v>50184</v>
      </c>
      <c r="M936" s="81"/>
      <c r="N936" s="604"/>
      <c r="O936" s="1032"/>
      <c r="AJ936" s="91"/>
      <c r="AK936" s="91"/>
      <c r="AL936" s="91"/>
      <c r="AM936" s="91"/>
      <c r="AN936" s="91"/>
      <c r="AO936" s="91"/>
      <c r="AP936" s="91"/>
      <c r="AQ936" s="91"/>
      <c r="AR936" s="91"/>
      <c r="AS936" s="91"/>
      <c r="AT936" s="91"/>
      <c r="AU936" s="91"/>
      <c r="AV936" s="91"/>
      <c r="AW936" s="91"/>
      <c r="AX936" s="91"/>
      <c r="AY936" s="91"/>
      <c r="AZ936" s="91"/>
      <c r="BA936" s="91"/>
      <c r="BB936" s="91"/>
      <c r="BC936" s="91"/>
      <c r="BD936" s="91"/>
      <c r="BE936" s="91"/>
      <c r="BF936" s="91"/>
      <c r="BG936" s="91"/>
      <c r="BH936" s="91"/>
      <c r="BI936" s="91"/>
    </row>
    <row r="937" spans="1:61" ht="21.75" customHeight="1">
      <c r="A937" s="945" t="s">
        <v>127</v>
      </c>
      <c r="B937" s="57" t="s">
        <v>89</v>
      </c>
      <c r="C937" s="57"/>
      <c r="D937" s="57"/>
      <c r="E937" s="57"/>
      <c r="F937" s="57"/>
      <c r="G937" s="80">
        <f>G939+G941+G943+G945+G947+G949+G951</f>
        <v>5</v>
      </c>
      <c r="H937" s="80">
        <f t="shared" ref="H937:M937" si="336">H939+H941+H943+H945+H947+H949+H951</f>
        <v>0</v>
      </c>
      <c r="I937" s="80">
        <f t="shared" si="336"/>
        <v>0</v>
      </c>
      <c r="J937" s="80">
        <f t="shared" si="336"/>
        <v>0</v>
      </c>
      <c r="K937" s="80">
        <f t="shared" si="336"/>
        <v>5</v>
      </c>
      <c r="L937" s="80">
        <f t="shared" si="336"/>
        <v>16.3</v>
      </c>
      <c r="M937" s="80">
        <f t="shared" si="336"/>
        <v>0</v>
      </c>
      <c r="N937" s="604"/>
      <c r="O937" s="610"/>
    </row>
    <row r="938" spans="1:61" s="44" customFormat="1" ht="22.5" customHeight="1">
      <c r="A938" s="945"/>
      <c r="B938" s="57" t="s">
        <v>246</v>
      </c>
      <c r="C938" s="57"/>
      <c r="D938" s="57"/>
      <c r="E938" s="57"/>
      <c r="F938" s="57"/>
      <c r="G938" s="80">
        <f>G940+G942+G944+G946+G948+G950+G952</f>
        <v>31209.3</v>
      </c>
      <c r="H938" s="80">
        <f t="shared" ref="H938:M938" si="337">H940+H942+H944+H946+H948+H950+H952</f>
        <v>0</v>
      </c>
      <c r="I938" s="80">
        <f t="shared" si="337"/>
        <v>0</v>
      </c>
      <c r="J938" s="80">
        <f t="shared" si="337"/>
        <v>0</v>
      </c>
      <c r="K938" s="80">
        <f t="shared" si="337"/>
        <v>31209.3</v>
      </c>
      <c r="L938" s="80">
        <f t="shared" si="337"/>
        <v>192000</v>
      </c>
      <c r="M938" s="80">
        <f t="shared" si="337"/>
        <v>0</v>
      </c>
      <c r="N938" s="604"/>
      <c r="O938" s="610"/>
      <c r="AJ938" s="91"/>
      <c r="AK938" s="91"/>
      <c r="AL938" s="91"/>
      <c r="AM938" s="91"/>
      <c r="AN938" s="91"/>
      <c r="AO938" s="91"/>
      <c r="AP938" s="91"/>
      <c r="AQ938" s="91"/>
      <c r="AR938" s="91"/>
      <c r="AS938" s="91"/>
      <c r="AT938" s="91"/>
      <c r="AU938" s="91"/>
      <c r="AV938" s="91"/>
      <c r="AW938" s="91"/>
      <c r="AX938" s="91"/>
      <c r="AY938" s="91"/>
      <c r="AZ938" s="91"/>
      <c r="BA938" s="91"/>
      <c r="BB938" s="91"/>
      <c r="BC938" s="91"/>
      <c r="BD938" s="91"/>
      <c r="BE938" s="91"/>
      <c r="BF938" s="91"/>
      <c r="BG938" s="91"/>
      <c r="BH938" s="91"/>
      <c r="BI938" s="91"/>
    </row>
    <row r="939" spans="1:61" ht="20.25" customHeight="1">
      <c r="A939" s="932" t="s">
        <v>156</v>
      </c>
      <c r="B939" s="546" t="s">
        <v>89</v>
      </c>
      <c r="C939" s="546">
        <v>176</v>
      </c>
      <c r="D939" s="546" t="s">
        <v>15</v>
      </c>
      <c r="E939" s="546">
        <v>6100404</v>
      </c>
      <c r="F939" s="546">
        <v>244</v>
      </c>
      <c r="G939" s="81"/>
      <c r="H939" s="81"/>
      <c r="I939" s="81"/>
      <c r="J939" s="81"/>
      <c r="K939" s="81"/>
      <c r="L939" s="81">
        <v>5</v>
      </c>
      <c r="M939" s="81"/>
      <c r="N939" s="604"/>
      <c r="O939" s="944" t="s">
        <v>253</v>
      </c>
    </row>
    <row r="940" spans="1:61" s="44" customFormat="1" ht="24.75" customHeight="1">
      <c r="A940" s="932"/>
      <c r="B940" s="546" t="s">
        <v>246</v>
      </c>
      <c r="C940" s="546"/>
      <c r="D940" s="546"/>
      <c r="E940" s="546"/>
      <c r="F940" s="546"/>
      <c r="G940" s="81"/>
      <c r="H940" s="81"/>
      <c r="I940" s="81"/>
      <c r="J940" s="81"/>
      <c r="K940" s="81"/>
      <c r="L940" s="81">
        <v>60000</v>
      </c>
      <c r="M940" s="81"/>
      <c r="N940" s="604"/>
      <c r="O940" s="944"/>
      <c r="AJ940" s="91"/>
      <c r="AK940" s="91"/>
      <c r="AL940" s="91"/>
      <c r="AM940" s="91"/>
      <c r="AN940" s="91"/>
      <c r="AO940" s="91"/>
      <c r="AP940" s="91"/>
      <c r="AQ940" s="91"/>
      <c r="AR940" s="91"/>
      <c r="AS940" s="91"/>
      <c r="AT940" s="91"/>
      <c r="AU940" s="91"/>
      <c r="AV940" s="91"/>
      <c r="AW940" s="91"/>
      <c r="AX940" s="91"/>
      <c r="AY940" s="91"/>
      <c r="AZ940" s="91"/>
      <c r="BA940" s="91"/>
      <c r="BB940" s="91"/>
      <c r="BC940" s="91"/>
      <c r="BD940" s="91"/>
      <c r="BE940" s="91"/>
      <c r="BF940" s="91"/>
      <c r="BG940" s="91"/>
      <c r="BH940" s="91"/>
      <c r="BI940" s="91"/>
    </row>
    <row r="941" spans="1:61" s="44" customFormat="1" ht="24.75" customHeight="1">
      <c r="A941" s="926" t="s">
        <v>565</v>
      </c>
      <c r="B941" s="546" t="s">
        <v>89</v>
      </c>
      <c r="C941" s="546"/>
      <c r="D941" s="546"/>
      <c r="E941" s="546"/>
      <c r="F941" s="546"/>
      <c r="G941" s="81"/>
      <c r="H941" s="81"/>
      <c r="I941" s="81"/>
      <c r="J941" s="81"/>
      <c r="K941" s="81"/>
      <c r="L941" s="81">
        <v>0.3</v>
      </c>
      <c r="M941" s="81"/>
      <c r="N941" s="604"/>
      <c r="O941" s="933" t="s">
        <v>598</v>
      </c>
      <c r="AJ941" s="91"/>
      <c r="AK941" s="91"/>
      <c r="AL941" s="91"/>
      <c r="AM941" s="91"/>
      <c r="AN941" s="91"/>
      <c r="AO941" s="91"/>
      <c r="AP941" s="91"/>
      <c r="AQ941" s="91"/>
      <c r="AR941" s="91"/>
      <c r="AS941" s="91"/>
      <c r="AT941" s="91"/>
      <c r="AU941" s="91"/>
      <c r="AV941" s="91"/>
      <c r="AW941" s="91"/>
      <c r="AX941" s="91"/>
      <c r="AY941" s="91"/>
      <c r="AZ941" s="91"/>
      <c r="BA941" s="91"/>
      <c r="BB941" s="91"/>
      <c r="BC941" s="91"/>
      <c r="BD941" s="91"/>
      <c r="BE941" s="91"/>
      <c r="BF941" s="91"/>
      <c r="BG941" s="91"/>
      <c r="BH941" s="91"/>
      <c r="BI941" s="91"/>
    </row>
    <row r="942" spans="1:61" s="44" customFormat="1" ht="25.5" customHeight="1">
      <c r="A942" s="928"/>
      <c r="B942" s="546" t="s">
        <v>246</v>
      </c>
      <c r="C942" s="546"/>
      <c r="D942" s="546"/>
      <c r="E942" s="546"/>
      <c r="F942" s="546"/>
      <c r="G942" s="81"/>
      <c r="H942" s="81"/>
      <c r="I942" s="81"/>
      <c r="J942" s="81"/>
      <c r="K942" s="81"/>
      <c r="L942" s="81">
        <v>3150</v>
      </c>
      <c r="M942" s="81"/>
      <c r="N942" s="604"/>
      <c r="O942" s="934"/>
      <c r="AJ942" s="91"/>
      <c r="AK942" s="91"/>
      <c r="AL942" s="91"/>
      <c r="AM942" s="91"/>
      <c r="AN942" s="91"/>
      <c r="AO942" s="91"/>
      <c r="AP942" s="91"/>
      <c r="AQ942" s="91"/>
      <c r="AR942" s="91"/>
      <c r="AS942" s="91"/>
      <c r="AT942" s="91"/>
      <c r="AU942" s="91"/>
      <c r="AV942" s="91"/>
      <c r="AW942" s="91"/>
      <c r="AX942" s="91"/>
      <c r="AY942" s="91"/>
      <c r="AZ942" s="91"/>
      <c r="BA942" s="91"/>
      <c r="BB942" s="91"/>
      <c r="BC942" s="91"/>
      <c r="BD942" s="91"/>
      <c r="BE942" s="91"/>
      <c r="BF942" s="91"/>
      <c r="BG942" s="91"/>
      <c r="BH942" s="91"/>
      <c r="BI942" s="91"/>
    </row>
    <row r="943" spans="1:61" s="44" customFormat="1" ht="23.25" customHeight="1">
      <c r="A943" s="926" t="s">
        <v>593</v>
      </c>
      <c r="B943" s="546" t="s">
        <v>89</v>
      </c>
      <c r="C943" s="546"/>
      <c r="D943" s="546"/>
      <c r="E943" s="546"/>
      <c r="F943" s="546"/>
      <c r="G943" s="81"/>
      <c r="H943" s="81"/>
      <c r="I943" s="81"/>
      <c r="J943" s="81"/>
      <c r="K943" s="81"/>
      <c r="L943" s="81">
        <v>3</v>
      </c>
      <c r="M943" s="81"/>
      <c r="N943" s="604"/>
      <c r="O943" s="933" t="s">
        <v>599</v>
      </c>
      <c r="AJ943" s="91"/>
      <c r="AK943" s="91"/>
      <c r="AL943" s="91"/>
      <c r="AM943" s="91"/>
      <c r="AN943" s="91"/>
      <c r="AO943" s="91"/>
      <c r="AP943" s="91"/>
      <c r="AQ943" s="91"/>
      <c r="AR943" s="91"/>
      <c r="AS943" s="91"/>
      <c r="AT943" s="91"/>
      <c r="AU943" s="91"/>
      <c r="AV943" s="91"/>
      <c r="AW943" s="91"/>
      <c r="AX943" s="91"/>
      <c r="AY943" s="91"/>
      <c r="AZ943" s="91"/>
      <c r="BA943" s="91"/>
      <c r="BB943" s="91"/>
      <c r="BC943" s="91"/>
      <c r="BD943" s="91"/>
      <c r="BE943" s="91"/>
      <c r="BF943" s="91"/>
      <c r="BG943" s="91"/>
      <c r="BH943" s="91"/>
      <c r="BI943" s="91"/>
    </row>
    <row r="944" spans="1:61" s="44" customFormat="1" ht="27" customHeight="1">
      <c r="A944" s="928"/>
      <c r="B944" s="546" t="s">
        <v>246</v>
      </c>
      <c r="C944" s="546"/>
      <c r="D944" s="546"/>
      <c r="E944" s="546"/>
      <c r="F944" s="546"/>
      <c r="G944" s="81"/>
      <c r="H944" s="81"/>
      <c r="I944" s="81"/>
      <c r="J944" s="81"/>
      <c r="K944" s="81"/>
      <c r="L944" s="81">
        <v>36000</v>
      </c>
      <c r="M944" s="81"/>
      <c r="N944" s="604"/>
      <c r="O944" s="934"/>
      <c r="AJ944" s="91"/>
      <c r="AK944" s="91"/>
      <c r="AL944" s="91"/>
      <c r="AM944" s="91"/>
      <c r="AN944" s="91"/>
      <c r="AO944" s="91"/>
      <c r="AP944" s="91"/>
      <c r="AQ944" s="91"/>
      <c r="AR944" s="91"/>
      <c r="AS944" s="91"/>
      <c r="AT944" s="91"/>
      <c r="AU944" s="91"/>
      <c r="AV944" s="91"/>
      <c r="AW944" s="91"/>
      <c r="AX944" s="91"/>
      <c r="AY944" s="91"/>
      <c r="AZ944" s="91"/>
      <c r="BA944" s="91"/>
      <c r="BB944" s="91"/>
      <c r="BC944" s="91"/>
      <c r="BD944" s="91"/>
      <c r="BE944" s="91"/>
      <c r="BF944" s="91"/>
      <c r="BG944" s="91"/>
      <c r="BH944" s="91"/>
      <c r="BI944" s="91"/>
    </row>
    <row r="945" spans="1:61" s="44" customFormat="1" ht="23.25" customHeight="1">
      <c r="A945" s="932" t="s">
        <v>943</v>
      </c>
      <c r="B945" s="546" t="s">
        <v>89</v>
      </c>
      <c r="C945" s="546"/>
      <c r="D945" s="546"/>
      <c r="E945" s="546"/>
      <c r="F945" s="546"/>
      <c r="G945" s="81"/>
      <c r="H945" s="81"/>
      <c r="I945" s="81"/>
      <c r="J945" s="81"/>
      <c r="K945" s="81"/>
      <c r="L945" s="81">
        <v>2</v>
      </c>
      <c r="M945" s="81"/>
      <c r="N945" s="604"/>
      <c r="O945" s="933" t="s">
        <v>600</v>
      </c>
      <c r="AJ945" s="91"/>
      <c r="AK945" s="91"/>
      <c r="AL945" s="91"/>
      <c r="AM945" s="91"/>
      <c r="AN945" s="91"/>
      <c r="AO945" s="91"/>
      <c r="AP945" s="91"/>
      <c r="AQ945" s="91"/>
      <c r="AR945" s="91"/>
      <c r="AS945" s="91"/>
      <c r="AT945" s="91"/>
      <c r="AU945" s="91"/>
      <c r="AV945" s="91"/>
      <c r="AW945" s="91"/>
      <c r="AX945" s="91"/>
      <c r="AY945" s="91"/>
      <c r="AZ945" s="91"/>
      <c r="BA945" s="91"/>
      <c r="BB945" s="91"/>
      <c r="BC945" s="91"/>
      <c r="BD945" s="91"/>
      <c r="BE945" s="91"/>
      <c r="BF945" s="91"/>
      <c r="BG945" s="91"/>
      <c r="BH945" s="91"/>
      <c r="BI945" s="91"/>
    </row>
    <row r="946" spans="1:61" s="44" customFormat="1" ht="24.75" customHeight="1">
      <c r="A946" s="932"/>
      <c r="B946" s="546" t="s">
        <v>246</v>
      </c>
      <c r="C946" s="546"/>
      <c r="D946" s="546"/>
      <c r="E946" s="546"/>
      <c r="F946" s="546"/>
      <c r="G946" s="81"/>
      <c r="H946" s="81"/>
      <c r="I946" s="81"/>
      <c r="J946" s="81"/>
      <c r="K946" s="81"/>
      <c r="L946" s="81">
        <v>24000</v>
      </c>
      <c r="M946" s="81"/>
      <c r="N946" s="604"/>
      <c r="O946" s="934"/>
      <c r="AJ946" s="91"/>
      <c r="AK946" s="91"/>
      <c r="AL946" s="91"/>
      <c r="AM946" s="91"/>
      <c r="AN946" s="91"/>
      <c r="AO946" s="91"/>
      <c r="AP946" s="91"/>
      <c r="AQ946" s="91"/>
      <c r="AR946" s="91"/>
      <c r="AS946" s="91"/>
      <c r="AT946" s="91"/>
      <c r="AU946" s="91"/>
      <c r="AV946" s="91"/>
      <c r="AW946" s="91"/>
      <c r="AX946" s="91"/>
      <c r="AY946" s="91"/>
      <c r="AZ946" s="91"/>
      <c r="BA946" s="91"/>
      <c r="BB946" s="91"/>
      <c r="BC946" s="91"/>
      <c r="BD946" s="91"/>
      <c r="BE946" s="91"/>
      <c r="BF946" s="91"/>
      <c r="BG946" s="91"/>
      <c r="BH946" s="91"/>
      <c r="BI946" s="91"/>
    </row>
    <row r="947" spans="1:61" s="44" customFormat="1" ht="21.75" customHeight="1">
      <c r="A947" s="932" t="s">
        <v>595</v>
      </c>
      <c r="B947" s="546" t="s">
        <v>89</v>
      </c>
      <c r="C947" s="546"/>
      <c r="D947" s="546"/>
      <c r="E947" s="546"/>
      <c r="F947" s="546"/>
      <c r="G947" s="81">
        <f>K947</f>
        <v>5</v>
      </c>
      <c r="H947" s="81"/>
      <c r="I947" s="81"/>
      <c r="J947" s="81"/>
      <c r="K947" s="81">
        <v>5</v>
      </c>
      <c r="L947" s="81">
        <v>3</v>
      </c>
      <c r="M947" s="81"/>
      <c r="N947" s="604"/>
      <c r="O947" s="933" t="s">
        <v>601</v>
      </c>
      <c r="AJ947" s="91"/>
      <c r="AK947" s="91"/>
      <c r="AL947" s="91"/>
      <c r="AM947" s="91"/>
      <c r="AN947" s="91"/>
      <c r="AO947" s="91"/>
      <c r="AP947" s="91"/>
      <c r="AQ947" s="91"/>
      <c r="AR947" s="91"/>
      <c r="AS947" s="91"/>
      <c r="AT947" s="91"/>
      <c r="AU947" s="91"/>
      <c r="AV947" s="91"/>
      <c r="AW947" s="91"/>
      <c r="AX947" s="91"/>
      <c r="AY947" s="91"/>
      <c r="AZ947" s="91"/>
      <c r="BA947" s="91"/>
      <c r="BB947" s="91"/>
      <c r="BC947" s="91"/>
      <c r="BD947" s="91"/>
      <c r="BE947" s="91"/>
      <c r="BF947" s="91"/>
      <c r="BG947" s="91"/>
      <c r="BH947" s="91"/>
      <c r="BI947" s="91"/>
    </row>
    <row r="948" spans="1:61" s="44" customFormat="1" ht="30" customHeight="1">
      <c r="A948" s="932"/>
      <c r="B948" s="546" t="s">
        <v>246</v>
      </c>
      <c r="C948" s="546"/>
      <c r="D948" s="546"/>
      <c r="E948" s="546"/>
      <c r="F948" s="546"/>
      <c r="G948" s="81">
        <f>K948</f>
        <v>31209.3</v>
      </c>
      <c r="H948" s="81"/>
      <c r="I948" s="81"/>
      <c r="J948" s="81"/>
      <c r="K948" s="81">
        <v>31209.3</v>
      </c>
      <c r="L948" s="81">
        <v>32850</v>
      </c>
      <c r="M948" s="81"/>
      <c r="N948" s="604"/>
      <c r="O948" s="934"/>
      <c r="AJ948" s="91"/>
      <c r="AK948" s="91"/>
      <c r="AL948" s="91"/>
      <c r="AM948" s="91"/>
      <c r="AN948" s="91"/>
      <c r="AO948" s="91"/>
      <c r="AP948" s="91"/>
      <c r="AQ948" s="91"/>
      <c r="AR948" s="91"/>
      <c r="AS948" s="91"/>
      <c r="AT948" s="91"/>
      <c r="AU948" s="91"/>
      <c r="AV948" s="91"/>
      <c r="AW948" s="91"/>
      <c r="AX948" s="91"/>
      <c r="AY948" s="91"/>
      <c r="AZ948" s="91"/>
      <c r="BA948" s="91"/>
      <c r="BB948" s="91"/>
      <c r="BC948" s="91"/>
      <c r="BD948" s="91"/>
      <c r="BE948" s="91"/>
      <c r="BF948" s="91"/>
      <c r="BG948" s="91"/>
      <c r="BH948" s="91"/>
      <c r="BI948" s="91"/>
    </row>
    <row r="949" spans="1:61" s="44" customFormat="1" ht="21" customHeight="1">
      <c r="A949" s="926" t="s">
        <v>596</v>
      </c>
      <c r="B949" s="546" t="s">
        <v>89</v>
      </c>
      <c r="C949" s="546"/>
      <c r="D949" s="546"/>
      <c r="E949" s="546"/>
      <c r="F949" s="546"/>
      <c r="G949" s="81"/>
      <c r="H949" s="81"/>
      <c r="I949" s="81"/>
      <c r="J949" s="81"/>
      <c r="K949" s="81"/>
      <c r="L949" s="81">
        <v>3</v>
      </c>
      <c r="M949" s="81"/>
      <c r="N949" s="604"/>
      <c r="O949" s="933" t="s">
        <v>599</v>
      </c>
      <c r="AJ949" s="91"/>
      <c r="AK949" s="91"/>
      <c r="AL949" s="91"/>
      <c r="AM949" s="91"/>
      <c r="AN949" s="91"/>
      <c r="AO949" s="91"/>
      <c r="AP949" s="91"/>
      <c r="AQ949" s="91"/>
      <c r="AR949" s="91"/>
      <c r="AS949" s="91"/>
      <c r="AT949" s="91"/>
      <c r="AU949" s="91"/>
      <c r="AV949" s="91"/>
      <c r="AW949" s="91"/>
      <c r="AX949" s="91"/>
      <c r="AY949" s="91"/>
      <c r="AZ949" s="91"/>
      <c r="BA949" s="91"/>
      <c r="BB949" s="91"/>
      <c r="BC949" s="91"/>
      <c r="BD949" s="91"/>
      <c r="BE949" s="91"/>
      <c r="BF949" s="91"/>
      <c r="BG949" s="91"/>
      <c r="BH949" s="91"/>
      <c r="BI949" s="91"/>
    </row>
    <row r="950" spans="1:61" s="44" customFormat="1" ht="30" customHeight="1">
      <c r="A950" s="928"/>
      <c r="B950" s="546" t="s">
        <v>246</v>
      </c>
      <c r="C950" s="546"/>
      <c r="D950" s="546"/>
      <c r="E950" s="546"/>
      <c r="F950" s="546"/>
      <c r="G950" s="81"/>
      <c r="H950" s="81"/>
      <c r="I950" s="81"/>
      <c r="J950" s="81"/>
      <c r="K950" s="81"/>
      <c r="L950" s="81">
        <v>36000</v>
      </c>
      <c r="M950" s="81"/>
      <c r="N950" s="604"/>
      <c r="O950" s="934"/>
      <c r="AJ950" s="91"/>
      <c r="AK950" s="91"/>
      <c r="AL950" s="91"/>
      <c r="AM950" s="91"/>
      <c r="AN950" s="91"/>
      <c r="AO950" s="91"/>
      <c r="AP950" s="91"/>
      <c r="AQ950" s="91"/>
      <c r="AR950" s="91"/>
      <c r="AS950" s="91"/>
      <c r="AT950" s="91"/>
      <c r="AU950" s="91"/>
      <c r="AV950" s="91"/>
      <c r="AW950" s="91"/>
      <c r="AX950" s="91"/>
      <c r="AY950" s="91"/>
      <c r="AZ950" s="91"/>
      <c r="BA950" s="91"/>
      <c r="BB950" s="91"/>
      <c r="BC950" s="91"/>
      <c r="BD950" s="91"/>
      <c r="BE950" s="91"/>
      <c r="BF950" s="91"/>
      <c r="BG950" s="91"/>
      <c r="BH950" s="91"/>
      <c r="BI950" s="91"/>
    </row>
    <row r="951" spans="1:61" s="44" customFormat="1" ht="22.5" hidden="1" customHeight="1">
      <c r="A951" s="926" t="s">
        <v>597</v>
      </c>
      <c r="B951" s="546" t="s">
        <v>89</v>
      </c>
      <c r="C951" s="546"/>
      <c r="D951" s="546"/>
      <c r="E951" s="546"/>
      <c r="F951" s="546"/>
      <c r="G951" s="81">
        <f>K951</f>
        <v>0</v>
      </c>
      <c r="H951" s="81"/>
      <c r="I951" s="81"/>
      <c r="J951" s="81"/>
      <c r="K951" s="81"/>
      <c r="L951" s="81"/>
      <c r="M951" s="81"/>
      <c r="N951" s="604"/>
      <c r="O951" s="933" t="s">
        <v>40</v>
      </c>
      <c r="AJ951" s="91"/>
      <c r="AK951" s="91"/>
      <c r="AL951" s="91"/>
      <c r="AM951" s="91"/>
      <c r="AN951" s="91"/>
      <c r="AO951" s="91"/>
      <c r="AP951" s="91"/>
      <c r="AQ951" s="91"/>
      <c r="AR951" s="91"/>
      <c r="AS951" s="91"/>
      <c r="AT951" s="91"/>
      <c r="AU951" s="91"/>
      <c r="AV951" s="91"/>
      <c r="AW951" s="91"/>
      <c r="AX951" s="91"/>
      <c r="AY951" s="91"/>
      <c r="AZ951" s="91"/>
      <c r="BA951" s="91"/>
      <c r="BB951" s="91"/>
      <c r="BC951" s="91"/>
      <c r="BD951" s="91"/>
      <c r="BE951" s="91"/>
      <c r="BF951" s="91"/>
      <c r="BG951" s="91"/>
      <c r="BH951" s="91"/>
      <c r="BI951" s="91"/>
    </row>
    <row r="952" spans="1:61" s="44" customFormat="1" ht="30" hidden="1" customHeight="1">
      <c r="A952" s="928"/>
      <c r="B952" s="546" t="s">
        <v>246</v>
      </c>
      <c r="C952" s="546"/>
      <c r="D952" s="546"/>
      <c r="E952" s="546"/>
      <c r="F952" s="546"/>
      <c r="G952" s="81">
        <f>K952</f>
        <v>0</v>
      </c>
      <c r="H952" s="81"/>
      <c r="I952" s="81"/>
      <c r="J952" s="81"/>
      <c r="K952" s="81"/>
      <c r="L952" s="81"/>
      <c r="M952" s="81"/>
      <c r="N952" s="604"/>
      <c r="O952" s="934"/>
      <c r="AJ952" s="91"/>
      <c r="AK952" s="91"/>
      <c r="AL952" s="91"/>
      <c r="AM952" s="91"/>
      <c r="AN952" s="91"/>
      <c r="AO952" s="91"/>
      <c r="AP952" s="91"/>
      <c r="AQ952" s="91"/>
      <c r="AR952" s="91"/>
      <c r="AS952" s="91"/>
      <c r="AT952" s="91"/>
      <c r="AU952" s="91"/>
      <c r="AV952" s="91"/>
      <c r="AW952" s="91"/>
      <c r="AX952" s="91"/>
      <c r="AY952" s="91"/>
      <c r="AZ952" s="91"/>
      <c r="BA952" s="91"/>
      <c r="BB952" s="91"/>
      <c r="BC952" s="91"/>
      <c r="BD952" s="91"/>
      <c r="BE952" s="91"/>
      <c r="BF952" s="91"/>
      <c r="BG952" s="91"/>
      <c r="BH952" s="91"/>
      <c r="BI952" s="91"/>
    </row>
    <row r="953" spans="1:61" s="44" customFormat="1" ht="30" hidden="1" customHeight="1">
      <c r="A953" s="1014"/>
      <c r="B953" s="546"/>
      <c r="C953" s="546"/>
      <c r="D953" s="546"/>
      <c r="E953" s="546"/>
      <c r="F953" s="546"/>
      <c r="G953" s="81"/>
      <c r="H953" s="81"/>
      <c r="I953" s="81"/>
      <c r="J953" s="81"/>
      <c r="K953" s="81"/>
      <c r="L953" s="81"/>
      <c r="M953" s="81"/>
      <c r="N953" s="604"/>
      <c r="O953" s="933" t="s">
        <v>592</v>
      </c>
      <c r="AJ953" s="91"/>
      <c r="AK953" s="91"/>
      <c r="AL953" s="91"/>
      <c r="AM953" s="91"/>
      <c r="AN953" s="91"/>
      <c r="AO953" s="91"/>
      <c r="AP953" s="91"/>
      <c r="AQ953" s="91"/>
      <c r="AR953" s="91"/>
      <c r="AS953" s="91"/>
      <c r="AT953" s="91"/>
      <c r="AU953" s="91"/>
      <c r="AV953" s="91"/>
      <c r="AW953" s="91"/>
      <c r="AX953" s="91"/>
      <c r="AY953" s="91"/>
      <c r="AZ953" s="91"/>
      <c r="BA953" s="91"/>
      <c r="BB953" s="91"/>
      <c r="BC953" s="91"/>
      <c r="BD953" s="91"/>
      <c r="BE953" s="91"/>
      <c r="BF953" s="91"/>
      <c r="BG953" s="91"/>
      <c r="BH953" s="91"/>
      <c r="BI953" s="91"/>
    </row>
    <row r="954" spans="1:61" s="44" customFormat="1" ht="30" hidden="1" customHeight="1">
      <c r="A954" s="1016"/>
      <c r="B954" s="546"/>
      <c r="C954" s="546"/>
      <c r="D954" s="546"/>
      <c r="E954" s="546"/>
      <c r="F954" s="546"/>
      <c r="G954" s="81"/>
      <c r="H954" s="81"/>
      <c r="I954" s="81"/>
      <c r="J954" s="81"/>
      <c r="K954" s="81"/>
      <c r="L954" s="81"/>
      <c r="M954" s="81"/>
      <c r="N954" s="604"/>
      <c r="O954" s="934"/>
      <c r="AJ954" s="91"/>
      <c r="AK954" s="91"/>
      <c r="AL954" s="91"/>
      <c r="AM954" s="91"/>
      <c r="AN954" s="91"/>
      <c r="AO954" s="91"/>
      <c r="AP954" s="91"/>
      <c r="AQ954" s="91"/>
      <c r="AR954" s="91"/>
      <c r="AS954" s="91"/>
      <c r="AT954" s="91"/>
      <c r="AU954" s="91"/>
      <c r="AV954" s="91"/>
      <c r="AW954" s="91"/>
      <c r="AX954" s="91"/>
      <c r="AY954" s="91"/>
      <c r="AZ954" s="91"/>
      <c r="BA954" s="91"/>
      <c r="BB954" s="91"/>
      <c r="BC954" s="91"/>
      <c r="BD954" s="91"/>
      <c r="BE954" s="91"/>
      <c r="BF954" s="91"/>
      <c r="BG954" s="91"/>
      <c r="BH954" s="91"/>
      <c r="BI954" s="91"/>
    </row>
    <row r="955" spans="1:61" s="44" customFormat="1" ht="21" customHeight="1">
      <c r="A955" s="887" t="s">
        <v>129</v>
      </c>
      <c r="B955" s="57" t="s">
        <v>89</v>
      </c>
      <c r="C955" s="546"/>
      <c r="D955" s="546"/>
      <c r="E955" s="546"/>
      <c r="F955" s="546"/>
      <c r="G955" s="80">
        <f>G959</f>
        <v>2</v>
      </c>
      <c r="H955" s="80">
        <f t="shared" ref="H955:M955" si="338">H959</f>
        <v>0</v>
      </c>
      <c r="I955" s="80">
        <f t="shared" si="338"/>
        <v>0</v>
      </c>
      <c r="J955" s="80">
        <f t="shared" si="338"/>
        <v>0</v>
      </c>
      <c r="K955" s="80">
        <f t="shared" si="338"/>
        <v>2</v>
      </c>
      <c r="L955" s="80">
        <f t="shared" si="338"/>
        <v>12</v>
      </c>
      <c r="M955" s="80">
        <f t="shared" si="338"/>
        <v>0</v>
      </c>
      <c r="N955" s="604"/>
      <c r="O955" s="604"/>
      <c r="AJ955" s="91"/>
      <c r="AK955" s="91"/>
      <c r="AL955" s="91"/>
      <c r="AM955" s="91"/>
      <c r="AN955" s="91"/>
      <c r="AO955" s="91"/>
      <c r="AP955" s="91"/>
      <c r="AQ955" s="91"/>
      <c r="AR955" s="91"/>
      <c r="AS955" s="91"/>
      <c r="AT955" s="91"/>
      <c r="AU955" s="91"/>
      <c r="AV955" s="91"/>
      <c r="AW955" s="91"/>
      <c r="AX955" s="91"/>
      <c r="AY955" s="91"/>
      <c r="AZ955" s="91"/>
      <c r="BA955" s="91"/>
      <c r="BB955" s="91"/>
      <c r="BC955" s="91"/>
      <c r="BD955" s="91"/>
      <c r="BE955" s="91"/>
      <c r="BF955" s="91"/>
      <c r="BG955" s="91"/>
      <c r="BH955" s="91"/>
      <c r="BI955" s="91"/>
    </row>
    <row r="956" spans="1:61" s="44" customFormat="1" ht="21" customHeight="1">
      <c r="A956" s="888"/>
      <c r="B956" s="57" t="s">
        <v>25</v>
      </c>
      <c r="C956" s="546"/>
      <c r="D956" s="546"/>
      <c r="E956" s="546"/>
      <c r="F956" s="546"/>
      <c r="G956" s="80">
        <f>G960</f>
        <v>28234.400000000001</v>
      </c>
      <c r="H956" s="80">
        <f t="shared" ref="H956:M956" si="339">H960</f>
        <v>0</v>
      </c>
      <c r="I956" s="80">
        <f t="shared" si="339"/>
        <v>0</v>
      </c>
      <c r="J956" s="80">
        <f t="shared" si="339"/>
        <v>0</v>
      </c>
      <c r="K956" s="80">
        <f t="shared" si="339"/>
        <v>28234.400000000001</v>
      </c>
      <c r="L956" s="80">
        <f t="shared" si="339"/>
        <v>157000</v>
      </c>
      <c r="M956" s="80">
        <f t="shared" si="339"/>
        <v>0</v>
      </c>
      <c r="N956" s="604"/>
      <c r="O956" s="604"/>
      <c r="AJ956" s="91"/>
      <c r="AK956" s="91"/>
      <c r="AL956" s="91"/>
      <c r="AM956" s="91"/>
      <c r="AN956" s="91"/>
      <c r="AO956" s="91"/>
      <c r="AP956" s="91"/>
      <c r="AQ956" s="91"/>
      <c r="AR956" s="91"/>
      <c r="AS956" s="91"/>
      <c r="AT956" s="91"/>
      <c r="AU956" s="91"/>
      <c r="AV956" s="91"/>
      <c r="AW956" s="91"/>
      <c r="AX956" s="91"/>
      <c r="AY956" s="91"/>
      <c r="AZ956" s="91"/>
      <c r="BA956" s="91"/>
      <c r="BB956" s="91"/>
      <c r="BC956" s="91"/>
      <c r="BD956" s="91"/>
      <c r="BE956" s="91"/>
      <c r="BF956" s="91"/>
      <c r="BG956" s="91"/>
      <c r="BH956" s="91"/>
      <c r="BI956" s="91"/>
    </row>
    <row r="957" spans="1:61" s="44" customFormat="1" ht="20.25" customHeight="1">
      <c r="A957" s="888"/>
      <c r="B957" s="57" t="s">
        <v>10</v>
      </c>
      <c r="C957" s="546"/>
      <c r="D957" s="546"/>
      <c r="E957" s="546"/>
      <c r="F957" s="546"/>
      <c r="G957" s="80">
        <f>G961</f>
        <v>28234.400000000001</v>
      </c>
      <c r="H957" s="80">
        <f t="shared" ref="H957:M957" si="340">H961</f>
        <v>0</v>
      </c>
      <c r="I957" s="80">
        <f t="shared" si="340"/>
        <v>0</v>
      </c>
      <c r="J957" s="80">
        <f t="shared" si="340"/>
        <v>0</v>
      </c>
      <c r="K957" s="80">
        <f t="shared" si="340"/>
        <v>28234.400000000001</v>
      </c>
      <c r="L957" s="80">
        <f t="shared" si="340"/>
        <v>157000</v>
      </c>
      <c r="M957" s="80">
        <f t="shared" si="340"/>
        <v>0</v>
      </c>
      <c r="N957" s="604"/>
      <c r="O957" s="604"/>
      <c r="AJ957" s="91"/>
      <c r="AK957" s="91"/>
      <c r="AL957" s="91"/>
      <c r="AM957" s="91"/>
      <c r="AN957" s="91"/>
      <c r="AO957" s="91"/>
      <c r="AP957" s="91"/>
      <c r="AQ957" s="91"/>
      <c r="AR957" s="91"/>
      <c r="AS957" s="91"/>
      <c r="AT957" s="91"/>
      <c r="AU957" s="91"/>
      <c r="AV957" s="91"/>
      <c r="AW957" s="91"/>
      <c r="AX957" s="91"/>
      <c r="AY957" s="91"/>
      <c r="AZ957" s="91"/>
      <c r="BA957" s="91"/>
      <c r="BB957" s="91"/>
      <c r="BC957" s="91"/>
      <c r="BD957" s="91"/>
      <c r="BE957" s="91"/>
      <c r="BF957" s="91"/>
      <c r="BG957" s="91"/>
      <c r="BH957" s="91"/>
      <c r="BI957" s="91"/>
    </row>
    <row r="958" spans="1:61" s="44" customFormat="1" ht="19.5" customHeight="1">
      <c r="A958" s="889"/>
      <c r="B958" s="57" t="s">
        <v>495</v>
      </c>
      <c r="C958" s="57"/>
      <c r="D958" s="57"/>
      <c r="E958" s="57"/>
      <c r="F958" s="57"/>
      <c r="G958" s="80">
        <v>0</v>
      </c>
      <c r="H958" s="80">
        <v>0</v>
      </c>
      <c r="I958" s="80">
        <v>0</v>
      </c>
      <c r="J958" s="80">
        <v>0</v>
      </c>
      <c r="K958" s="80">
        <v>0</v>
      </c>
      <c r="L958" s="80">
        <v>0</v>
      </c>
      <c r="M958" s="80">
        <v>0</v>
      </c>
      <c r="N958" s="604"/>
      <c r="O958" s="610"/>
      <c r="AJ958" s="91"/>
      <c r="AK958" s="91"/>
      <c r="AL958" s="91"/>
      <c r="AM958" s="91"/>
      <c r="AN958" s="91"/>
      <c r="AO958" s="91"/>
      <c r="AP958" s="91"/>
      <c r="AQ958" s="91"/>
      <c r="AR958" s="91"/>
      <c r="AS958" s="91"/>
      <c r="AT958" s="91"/>
      <c r="AU958" s="91"/>
      <c r="AV958" s="91"/>
      <c r="AW958" s="91"/>
      <c r="AX958" s="91"/>
      <c r="AY958" s="91"/>
      <c r="AZ958" s="91"/>
      <c r="BA958" s="91"/>
      <c r="BB958" s="91"/>
      <c r="BC958" s="91"/>
      <c r="BD958" s="91"/>
      <c r="BE958" s="91"/>
      <c r="BF958" s="91"/>
      <c r="BG958" s="91"/>
      <c r="BH958" s="91"/>
      <c r="BI958" s="91"/>
    </row>
    <row r="959" spans="1:61" s="44" customFormat="1" ht="26.25" customHeight="1">
      <c r="A959" s="926" t="s">
        <v>1104</v>
      </c>
      <c r="B959" s="651" t="s">
        <v>89</v>
      </c>
      <c r="C959" s="652"/>
      <c r="D959" s="652"/>
      <c r="E959" s="652"/>
      <c r="F959" s="652"/>
      <c r="G959" s="81">
        <f t="shared" ref="G959" si="341">K959</f>
        <v>2</v>
      </c>
      <c r="H959" s="81"/>
      <c r="I959" s="81"/>
      <c r="J959" s="81"/>
      <c r="K959" s="81">
        <v>2</v>
      </c>
      <c r="L959" s="81">
        <v>12</v>
      </c>
      <c r="M959" s="81"/>
      <c r="N959" s="651"/>
      <c r="O959" s="944" t="s">
        <v>868</v>
      </c>
      <c r="AJ959" s="91"/>
      <c r="AK959" s="91"/>
      <c r="AL959" s="91"/>
      <c r="AM959" s="91"/>
      <c r="AN959" s="91"/>
      <c r="AO959" s="91"/>
      <c r="AP959" s="91"/>
      <c r="AQ959" s="91"/>
      <c r="AR959" s="91"/>
      <c r="AS959" s="91"/>
      <c r="AT959" s="91"/>
      <c r="AU959" s="91"/>
      <c r="AV959" s="91"/>
      <c r="AW959" s="91"/>
      <c r="AX959" s="91"/>
      <c r="AY959" s="91"/>
      <c r="AZ959" s="91"/>
      <c r="BA959" s="91"/>
      <c r="BB959" s="91"/>
      <c r="BC959" s="91"/>
      <c r="BD959" s="91"/>
      <c r="BE959" s="91"/>
      <c r="BF959" s="91"/>
      <c r="BG959" s="91"/>
      <c r="BH959" s="91"/>
      <c r="BI959" s="91"/>
    </row>
    <row r="960" spans="1:61" s="44" customFormat="1" ht="23.25" customHeight="1">
      <c r="A960" s="927"/>
      <c r="B960" s="651" t="s">
        <v>25</v>
      </c>
      <c r="C960" s="652"/>
      <c r="D960" s="652"/>
      <c r="E960" s="652"/>
      <c r="F960" s="652"/>
      <c r="G960" s="81">
        <f>G961</f>
        <v>28234.400000000001</v>
      </c>
      <c r="H960" s="81">
        <f t="shared" ref="H960" si="342">H961</f>
        <v>0</v>
      </c>
      <c r="I960" s="81">
        <f t="shared" ref="I960" si="343">I961</f>
        <v>0</v>
      </c>
      <c r="J960" s="81">
        <f t="shared" ref="J960" si="344">J961</f>
        <v>0</v>
      </c>
      <c r="K960" s="81">
        <f t="shared" ref="K960" si="345">K961</f>
        <v>28234.400000000001</v>
      </c>
      <c r="L960" s="81">
        <f t="shared" ref="L960" si="346">L961</f>
        <v>157000</v>
      </c>
      <c r="M960" s="81">
        <f t="shared" ref="M960" si="347">M961</f>
        <v>0</v>
      </c>
      <c r="N960" s="651"/>
      <c r="O960" s="944"/>
      <c r="AJ960" s="91"/>
      <c r="AK960" s="91"/>
      <c r="AL960" s="91"/>
      <c r="AM960" s="91"/>
      <c r="AN960" s="91"/>
      <c r="AO960" s="91"/>
      <c r="AP960" s="91"/>
      <c r="AQ960" s="91"/>
      <c r="AR960" s="91"/>
      <c r="AS960" s="91"/>
      <c r="AT960" s="91"/>
      <c r="AU960" s="91"/>
      <c r="AV960" s="91"/>
      <c r="AW960" s="91"/>
      <c r="AX960" s="91"/>
      <c r="AY960" s="91"/>
      <c r="AZ960" s="91"/>
      <c r="BA960" s="91"/>
      <c r="BB960" s="91"/>
      <c r="BC960" s="91"/>
      <c r="BD960" s="91"/>
      <c r="BE960" s="91"/>
      <c r="BF960" s="91"/>
      <c r="BG960" s="91"/>
      <c r="BH960" s="91"/>
      <c r="BI960" s="91"/>
    </row>
    <row r="961" spans="1:61" s="44" customFormat="1" ht="26.25" customHeight="1">
      <c r="A961" s="927"/>
      <c r="B961" s="651" t="s">
        <v>10</v>
      </c>
      <c r="C961" s="652"/>
      <c r="D961" s="652"/>
      <c r="E961" s="652"/>
      <c r="F961" s="652"/>
      <c r="G961" s="81">
        <f t="shared" ref="G961" si="348">K961</f>
        <v>28234.400000000001</v>
      </c>
      <c r="H961" s="81"/>
      <c r="I961" s="81"/>
      <c r="J961" s="81"/>
      <c r="K961" s="81">
        <v>28234.400000000001</v>
      </c>
      <c r="L961" s="81">
        <v>157000</v>
      </c>
      <c r="M961" s="81">
        <v>0</v>
      </c>
      <c r="N961" s="651"/>
      <c r="O961" s="944"/>
      <c r="AJ961" s="91"/>
      <c r="AK961" s="91"/>
      <c r="AL961" s="91"/>
      <c r="AM961" s="91"/>
      <c r="AN961" s="91"/>
      <c r="AO961" s="91"/>
      <c r="AP961" s="91"/>
      <c r="AQ961" s="91"/>
      <c r="AR961" s="91"/>
      <c r="AS961" s="91"/>
      <c r="AT961" s="91"/>
      <c r="AU961" s="91"/>
      <c r="AV961" s="91"/>
      <c r="AW961" s="91"/>
      <c r="AX961" s="91"/>
      <c r="AY961" s="91"/>
      <c r="AZ961" s="91"/>
      <c r="BA961" s="91"/>
      <c r="BB961" s="91"/>
      <c r="BC961" s="91"/>
      <c r="BD961" s="91"/>
      <c r="BE961" s="91"/>
      <c r="BF961" s="91"/>
      <c r="BG961" s="91"/>
      <c r="BH961" s="91"/>
      <c r="BI961" s="91"/>
    </row>
    <row r="962" spans="1:61" ht="24.75" customHeight="1">
      <c r="A962" s="945" t="s">
        <v>102</v>
      </c>
      <c r="B962" s="57" t="s">
        <v>89</v>
      </c>
      <c r="C962" s="57"/>
      <c r="D962" s="57"/>
      <c r="E962" s="57"/>
      <c r="F962" s="57"/>
      <c r="G962" s="80">
        <f t="shared" ref="G962:K963" si="349">G964+G966</f>
        <v>2.7</v>
      </c>
      <c r="H962" s="80">
        <f t="shared" si="349"/>
        <v>0</v>
      </c>
      <c r="I962" s="80">
        <f t="shared" si="349"/>
        <v>0</v>
      </c>
      <c r="J962" s="80">
        <f t="shared" si="349"/>
        <v>0</v>
      </c>
      <c r="K962" s="80">
        <f t="shared" si="349"/>
        <v>2.7</v>
      </c>
      <c r="L962" s="80">
        <f>L964+L966+L968</f>
        <v>12</v>
      </c>
      <c r="M962" s="80">
        <f>M964+M966+M968</f>
        <v>0</v>
      </c>
      <c r="N962" s="604"/>
      <c r="O962" s="610"/>
    </row>
    <row r="963" spans="1:61" ht="24.75" customHeight="1">
      <c r="A963" s="945"/>
      <c r="B963" s="57" t="s">
        <v>246</v>
      </c>
      <c r="C963" s="57"/>
      <c r="D963" s="57"/>
      <c r="E963" s="57"/>
      <c r="F963" s="57"/>
      <c r="G963" s="80">
        <f t="shared" si="349"/>
        <v>26903.599999999999</v>
      </c>
      <c r="H963" s="80">
        <f t="shared" si="349"/>
        <v>0</v>
      </c>
      <c r="I963" s="80">
        <f t="shared" si="349"/>
        <v>0</v>
      </c>
      <c r="J963" s="80">
        <f t="shared" si="349"/>
        <v>0</v>
      </c>
      <c r="K963" s="80">
        <f t="shared" si="349"/>
        <v>26903.599999999999</v>
      </c>
      <c r="L963" s="80">
        <f>L965+L967+L969</f>
        <v>158000</v>
      </c>
      <c r="M963" s="80">
        <f>M965+M967+M969</f>
        <v>0</v>
      </c>
      <c r="N963" s="604"/>
      <c r="O963" s="610"/>
    </row>
    <row r="964" spans="1:61" ht="24" customHeight="1">
      <c r="A964" s="932" t="s">
        <v>157</v>
      </c>
      <c r="B964" s="546" t="s">
        <v>89</v>
      </c>
      <c r="C964" s="546">
        <v>176</v>
      </c>
      <c r="D964" s="546" t="s">
        <v>15</v>
      </c>
      <c r="E964" s="546">
        <v>6100404</v>
      </c>
      <c r="F964" s="546">
        <v>244</v>
      </c>
      <c r="G964" s="81"/>
      <c r="H964" s="81"/>
      <c r="I964" s="81"/>
      <c r="J964" s="81"/>
      <c r="K964" s="81"/>
      <c r="L964" s="81">
        <v>1.1000000000000001</v>
      </c>
      <c r="M964" s="81"/>
      <c r="N964" s="604"/>
      <c r="O964" s="944" t="s">
        <v>944</v>
      </c>
    </row>
    <row r="965" spans="1:61" s="44" customFormat="1" ht="24" customHeight="1">
      <c r="A965" s="932"/>
      <c r="B965" s="546" t="s">
        <v>246</v>
      </c>
      <c r="C965" s="546"/>
      <c r="D965" s="546"/>
      <c r="E965" s="546"/>
      <c r="F965" s="546"/>
      <c r="G965" s="81"/>
      <c r="H965" s="81"/>
      <c r="I965" s="81"/>
      <c r="J965" s="81"/>
      <c r="K965" s="81"/>
      <c r="L965" s="81">
        <v>16000</v>
      </c>
      <c r="M965" s="81"/>
      <c r="N965" s="604"/>
      <c r="O965" s="944"/>
      <c r="AJ965" s="91"/>
      <c r="AK965" s="91"/>
      <c r="AL965" s="91"/>
      <c r="AM965" s="91"/>
      <c r="AN965" s="91"/>
      <c r="AO965" s="91"/>
      <c r="AP965" s="91"/>
      <c r="AQ965" s="91"/>
      <c r="AR965" s="91"/>
      <c r="AS965" s="91"/>
      <c r="AT965" s="91"/>
      <c r="AU965" s="91"/>
      <c r="AV965" s="91"/>
      <c r="AW965" s="91"/>
      <c r="AX965" s="91"/>
      <c r="AY965" s="91"/>
      <c r="AZ965" s="91"/>
      <c r="BA965" s="91"/>
      <c r="BB965" s="91"/>
      <c r="BC965" s="91"/>
      <c r="BD965" s="91"/>
      <c r="BE965" s="91"/>
      <c r="BF965" s="91"/>
      <c r="BG965" s="91"/>
      <c r="BH965" s="91"/>
      <c r="BI965" s="91"/>
    </row>
    <row r="966" spans="1:61" s="44" customFormat="1" ht="24.6" customHeight="1">
      <c r="A966" s="926" t="s">
        <v>602</v>
      </c>
      <c r="B966" s="546" t="s">
        <v>89</v>
      </c>
      <c r="C966" s="546"/>
      <c r="D966" s="546"/>
      <c r="E966" s="546"/>
      <c r="F966" s="546"/>
      <c r="G966" s="81">
        <f>K966</f>
        <v>2.7</v>
      </c>
      <c r="H966" s="81"/>
      <c r="I966" s="81"/>
      <c r="J966" s="81"/>
      <c r="K966" s="81">
        <f>2.7</f>
        <v>2.7</v>
      </c>
      <c r="L966" s="81">
        <v>5</v>
      </c>
      <c r="M966" s="81"/>
      <c r="N966" s="604"/>
      <c r="O966" s="944" t="s">
        <v>603</v>
      </c>
      <c r="AJ966" s="91"/>
      <c r="AK966" s="91"/>
      <c r="AL966" s="91"/>
      <c r="AM966" s="91"/>
      <c r="AN966" s="91"/>
      <c r="AO966" s="91"/>
      <c r="AP966" s="91"/>
      <c r="AQ966" s="91"/>
      <c r="AR966" s="91"/>
      <c r="AS966" s="91"/>
      <c r="AT966" s="91"/>
      <c r="AU966" s="91"/>
      <c r="AV966" s="91"/>
      <c r="AW966" s="91"/>
      <c r="AX966" s="91"/>
      <c r="AY966" s="91"/>
      <c r="AZ966" s="91"/>
      <c r="BA966" s="91"/>
      <c r="BB966" s="91"/>
      <c r="BC966" s="91"/>
      <c r="BD966" s="91"/>
      <c r="BE966" s="91"/>
      <c r="BF966" s="91"/>
      <c r="BG966" s="91"/>
      <c r="BH966" s="91"/>
      <c r="BI966" s="91"/>
    </row>
    <row r="967" spans="1:61" ht="24.6" customHeight="1">
      <c r="A967" s="928"/>
      <c r="B967" s="546" t="s">
        <v>246</v>
      </c>
      <c r="C967" s="546"/>
      <c r="D967" s="546"/>
      <c r="E967" s="546"/>
      <c r="F967" s="546"/>
      <c r="G967" s="81">
        <f>K967</f>
        <v>26903.599999999999</v>
      </c>
      <c r="H967" s="81"/>
      <c r="I967" s="81"/>
      <c r="J967" s="81"/>
      <c r="K967" s="81">
        <v>26903.599999999999</v>
      </c>
      <c r="L967" s="81">
        <v>65000</v>
      </c>
      <c r="M967" s="81"/>
      <c r="N967" s="604"/>
      <c r="O967" s="944"/>
    </row>
    <row r="968" spans="1:61" ht="24.6" customHeight="1">
      <c r="A968" s="926" t="s">
        <v>1114</v>
      </c>
      <c r="B968" s="546" t="s">
        <v>89</v>
      </c>
      <c r="C968" s="546"/>
      <c r="D968" s="546"/>
      <c r="E968" s="546"/>
      <c r="F968" s="546"/>
      <c r="G968" s="81"/>
      <c r="H968" s="81"/>
      <c r="I968" s="81"/>
      <c r="J968" s="81"/>
      <c r="K968" s="81"/>
      <c r="L968" s="81">
        <v>5.9</v>
      </c>
      <c r="M968" s="81"/>
      <c r="N968" s="604"/>
      <c r="O968" s="933" t="s">
        <v>945</v>
      </c>
    </row>
    <row r="969" spans="1:61" ht="24.6" customHeight="1">
      <c r="A969" s="928"/>
      <c r="B969" s="546" t="s">
        <v>246</v>
      </c>
      <c r="C969" s="546"/>
      <c r="D969" s="546"/>
      <c r="E969" s="546"/>
      <c r="F969" s="546"/>
      <c r="G969" s="81"/>
      <c r="H969" s="81"/>
      <c r="I969" s="81"/>
      <c r="J969" s="81"/>
      <c r="K969" s="81"/>
      <c r="L969" s="81">
        <v>77000</v>
      </c>
      <c r="M969" s="81"/>
      <c r="N969" s="604"/>
      <c r="O969" s="934"/>
    </row>
    <row r="970" spans="1:61" ht="24.6" customHeight="1">
      <c r="A970" s="945" t="s">
        <v>132</v>
      </c>
      <c r="B970" s="57" t="s">
        <v>89</v>
      </c>
      <c r="C970" s="57"/>
      <c r="D970" s="57"/>
      <c r="E970" s="57"/>
      <c r="F970" s="57"/>
      <c r="G970" s="80">
        <f>G974+G976+G982</f>
        <v>0</v>
      </c>
      <c r="H970" s="80">
        <f t="shared" ref="H970:M970" si="350">H974+H976+H982</f>
        <v>0</v>
      </c>
      <c r="I970" s="80">
        <f t="shared" si="350"/>
        <v>0</v>
      </c>
      <c r="J970" s="80">
        <f t="shared" si="350"/>
        <v>0</v>
      </c>
      <c r="K970" s="80">
        <f t="shared" si="350"/>
        <v>0</v>
      </c>
      <c r="L970" s="80">
        <f>L974+L976+L982+L980</f>
        <v>5.5</v>
      </c>
      <c r="M970" s="80">
        <f t="shared" si="350"/>
        <v>5</v>
      </c>
      <c r="N970" s="604"/>
      <c r="O970" s="610"/>
    </row>
    <row r="971" spans="1:61" ht="24.6" customHeight="1">
      <c r="A971" s="945"/>
      <c r="B971" s="57" t="s">
        <v>25</v>
      </c>
      <c r="C971" s="57"/>
      <c r="D971" s="57"/>
      <c r="E971" s="57"/>
      <c r="F971" s="57"/>
      <c r="G971" s="80">
        <f>G972+G973</f>
        <v>0</v>
      </c>
      <c r="H971" s="80">
        <f t="shared" ref="H971:M971" si="351">H972+H973</f>
        <v>0</v>
      </c>
      <c r="I971" s="80">
        <f t="shared" si="351"/>
        <v>0</v>
      </c>
      <c r="J971" s="80">
        <f t="shared" si="351"/>
        <v>0</v>
      </c>
      <c r="K971" s="80">
        <f t="shared" si="351"/>
        <v>0</v>
      </c>
      <c r="L971" s="80">
        <f t="shared" si="351"/>
        <v>68657.100000000006</v>
      </c>
      <c r="M971" s="80">
        <f t="shared" si="351"/>
        <v>80000</v>
      </c>
      <c r="N971" s="604"/>
      <c r="O971" s="610"/>
    </row>
    <row r="972" spans="1:61" ht="24.6" customHeight="1">
      <c r="A972" s="945"/>
      <c r="B972" s="57" t="s">
        <v>10</v>
      </c>
      <c r="C972" s="57"/>
      <c r="D972" s="57"/>
      <c r="E972" s="57"/>
      <c r="F972" s="57"/>
      <c r="G972" s="80">
        <f>G975+G978+G983</f>
        <v>0</v>
      </c>
      <c r="H972" s="80">
        <f t="shared" ref="H972:M972" si="352">H975+H978+H983</f>
        <v>0</v>
      </c>
      <c r="I972" s="80">
        <f t="shared" si="352"/>
        <v>0</v>
      </c>
      <c r="J972" s="80">
        <f t="shared" si="352"/>
        <v>0</v>
      </c>
      <c r="K972" s="80">
        <f t="shared" si="352"/>
        <v>0</v>
      </c>
      <c r="L972" s="80">
        <f>L975+L978+L983+L981</f>
        <v>68657.100000000006</v>
      </c>
      <c r="M972" s="80">
        <f t="shared" si="352"/>
        <v>80000</v>
      </c>
      <c r="N972" s="604"/>
      <c r="O972" s="610"/>
    </row>
    <row r="973" spans="1:61" s="44" customFormat="1" ht="24.6" customHeight="1">
      <c r="A973" s="945"/>
      <c r="B973" s="57" t="s">
        <v>495</v>
      </c>
      <c r="C973" s="57"/>
      <c r="D973" s="57"/>
      <c r="E973" s="57"/>
      <c r="F973" s="57"/>
      <c r="G973" s="80">
        <f>G979</f>
        <v>0</v>
      </c>
      <c r="H973" s="80">
        <f t="shared" ref="H973:M973" si="353">H979</f>
        <v>0</v>
      </c>
      <c r="I973" s="80">
        <f t="shared" si="353"/>
        <v>0</v>
      </c>
      <c r="J973" s="80">
        <f t="shared" si="353"/>
        <v>0</v>
      </c>
      <c r="K973" s="80">
        <f t="shared" si="353"/>
        <v>0</v>
      </c>
      <c r="L973" s="80">
        <f t="shared" si="353"/>
        <v>0</v>
      </c>
      <c r="M973" s="80">
        <f t="shared" si="353"/>
        <v>0</v>
      </c>
      <c r="N973" s="604"/>
      <c r="O973" s="610"/>
      <c r="AJ973" s="91"/>
      <c r="AK973" s="91"/>
      <c r="AL973" s="91"/>
      <c r="AM973" s="91"/>
      <c r="AN973" s="91"/>
      <c r="AO973" s="91"/>
      <c r="AP973" s="91"/>
      <c r="AQ973" s="91"/>
      <c r="AR973" s="91"/>
      <c r="AS973" s="91"/>
      <c r="AT973" s="91"/>
      <c r="AU973" s="91"/>
      <c r="AV973" s="91"/>
      <c r="AW973" s="91"/>
      <c r="AX973" s="91"/>
      <c r="AY973" s="91"/>
      <c r="AZ973" s="91"/>
      <c r="BA973" s="91"/>
      <c r="BB973" s="91"/>
      <c r="BC973" s="91"/>
      <c r="BD973" s="91"/>
      <c r="BE973" s="91"/>
      <c r="BF973" s="91"/>
      <c r="BG973" s="91"/>
      <c r="BH973" s="91"/>
      <c r="BI973" s="91"/>
    </row>
    <row r="974" spans="1:61" s="44" customFormat="1" ht="24.6" customHeight="1">
      <c r="A974" s="932" t="s">
        <v>530</v>
      </c>
      <c r="B974" s="546" t="s">
        <v>89</v>
      </c>
      <c r="C974" s="546">
        <v>176</v>
      </c>
      <c r="D974" s="546" t="s">
        <v>15</v>
      </c>
      <c r="E974" s="546">
        <v>6100404</v>
      </c>
      <c r="F974" s="546">
        <v>244</v>
      </c>
      <c r="G974" s="80">
        <f t="shared" ref="G974:G983" si="354">K974</f>
        <v>0</v>
      </c>
      <c r="H974" s="81"/>
      <c r="I974" s="81"/>
      <c r="J974" s="81"/>
      <c r="K974" s="81"/>
      <c r="L974" s="81">
        <v>2</v>
      </c>
      <c r="M974" s="81"/>
      <c r="N974" s="604"/>
      <c r="O974" s="944" t="s">
        <v>463</v>
      </c>
      <c r="AJ974" s="91"/>
      <c r="AK974" s="91"/>
      <c r="AL974" s="91"/>
      <c r="AM974" s="91"/>
      <c r="AN974" s="91"/>
      <c r="AO974" s="91"/>
      <c r="AP974" s="91"/>
      <c r="AQ974" s="91"/>
      <c r="AR974" s="91"/>
      <c r="AS974" s="91"/>
      <c r="AT974" s="91"/>
      <c r="AU974" s="91"/>
      <c r="AV974" s="91"/>
      <c r="AW974" s="91"/>
      <c r="AX974" s="91"/>
      <c r="AY974" s="91"/>
      <c r="AZ974" s="91"/>
      <c r="BA974" s="91"/>
      <c r="BB974" s="91"/>
      <c r="BC974" s="91"/>
      <c r="BD974" s="91"/>
      <c r="BE974" s="91"/>
      <c r="BF974" s="91"/>
      <c r="BG974" s="91"/>
      <c r="BH974" s="91"/>
      <c r="BI974" s="91"/>
    </row>
    <row r="975" spans="1:61" ht="24.6" customHeight="1">
      <c r="A975" s="932"/>
      <c r="B975" s="546" t="s">
        <v>246</v>
      </c>
      <c r="C975" s="546"/>
      <c r="D975" s="546"/>
      <c r="E975" s="546"/>
      <c r="F975" s="546"/>
      <c r="G975" s="80">
        <f t="shared" si="354"/>
        <v>0</v>
      </c>
      <c r="H975" s="81"/>
      <c r="I975" s="81"/>
      <c r="J975" s="81"/>
      <c r="K975" s="81"/>
      <c r="L975" s="81">
        <v>26000</v>
      </c>
      <c r="M975" s="81"/>
      <c r="N975" s="604"/>
      <c r="O975" s="944"/>
    </row>
    <row r="976" spans="1:61" ht="24.6" customHeight="1">
      <c r="A976" s="926" t="s">
        <v>604</v>
      </c>
      <c r="B976" s="546" t="s">
        <v>89</v>
      </c>
      <c r="C976" s="546"/>
      <c r="D976" s="546"/>
      <c r="E976" s="546"/>
      <c r="F976" s="546"/>
      <c r="G976" s="81">
        <f t="shared" si="354"/>
        <v>0</v>
      </c>
      <c r="H976" s="81"/>
      <c r="I976" s="81"/>
      <c r="J976" s="81"/>
      <c r="K976" s="81"/>
      <c r="L976" s="81">
        <f>1.3+2.2</f>
        <v>3.5</v>
      </c>
      <c r="M976" s="81"/>
      <c r="N976" s="604"/>
      <c r="O976" s="933" t="s">
        <v>1115</v>
      </c>
    </row>
    <row r="977" spans="1:61" ht="24.6" customHeight="1">
      <c r="A977" s="927"/>
      <c r="B977" s="546" t="s">
        <v>25</v>
      </c>
      <c r="C977" s="546"/>
      <c r="D977" s="546"/>
      <c r="E977" s="546"/>
      <c r="F977" s="546"/>
      <c r="G977" s="81">
        <f t="shared" si="354"/>
        <v>0</v>
      </c>
      <c r="H977" s="81"/>
      <c r="I977" s="81"/>
      <c r="J977" s="81"/>
      <c r="K977" s="81"/>
      <c r="L977" s="81">
        <f t="shared" ref="L977" si="355">L978+L979</f>
        <v>42657.1</v>
      </c>
      <c r="M977" s="81"/>
      <c r="N977" s="604"/>
      <c r="O977" s="946"/>
    </row>
    <row r="978" spans="1:61" ht="24.6" customHeight="1">
      <c r="A978" s="927"/>
      <c r="B978" s="546" t="s">
        <v>10</v>
      </c>
      <c r="C978" s="546"/>
      <c r="D978" s="546"/>
      <c r="E978" s="546"/>
      <c r="F978" s="546"/>
      <c r="G978" s="81">
        <f t="shared" si="354"/>
        <v>0</v>
      </c>
      <c r="H978" s="81"/>
      <c r="I978" s="81"/>
      <c r="J978" s="81"/>
      <c r="K978" s="81"/>
      <c r="L978" s="81">
        <f>42657.1</f>
        <v>42657.1</v>
      </c>
      <c r="M978" s="81"/>
      <c r="N978" s="604"/>
      <c r="O978" s="946"/>
    </row>
    <row r="979" spans="1:61" ht="24.6" customHeight="1">
      <c r="A979" s="928"/>
      <c r="B979" s="546" t="s">
        <v>495</v>
      </c>
      <c r="C979" s="546"/>
      <c r="D979" s="546"/>
      <c r="E979" s="546"/>
      <c r="F979" s="546"/>
      <c r="G979" s="81">
        <f t="shared" si="354"/>
        <v>0</v>
      </c>
      <c r="H979" s="81"/>
      <c r="I979" s="81"/>
      <c r="J979" s="81"/>
      <c r="K979" s="81"/>
      <c r="L979" s="81"/>
      <c r="M979" s="81"/>
      <c r="N979" s="604"/>
      <c r="O979" s="934"/>
    </row>
    <row r="980" spans="1:61" ht="24.6" hidden="1" customHeight="1">
      <c r="A980" s="926" t="s">
        <v>605</v>
      </c>
      <c r="B980" s="651" t="s">
        <v>89</v>
      </c>
      <c r="C980" s="651"/>
      <c r="D980" s="651"/>
      <c r="E980" s="651"/>
      <c r="F980" s="651"/>
      <c r="G980" s="80">
        <f t="shared" ref="G980:G981" si="356">K980</f>
        <v>0</v>
      </c>
      <c r="H980" s="81"/>
      <c r="I980" s="81"/>
      <c r="J980" s="81"/>
      <c r="K980" s="81"/>
      <c r="L980" s="81"/>
      <c r="M980" s="81"/>
      <c r="N980" s="651"/>
      <c r="O980" s="933" t="s">
        <v>586</v>
      </c>
    </row>
    <row r="981" spans="1:61" ht="24.6" hidden="1" customHeight="1">
      <c r="A981" s="928"/>
      <c r="B981" s="651" t="s">
        <v>246</v>
      </c>
      <c r="C981" s="651"/>
      <c r="D981" s="651"/>
      <c r="E981" s="651"/>
      <c r="F981" s="651"/>
      <c r="G981" s="80">
        <f t="shared" si="356"/>
        <v>0</v>
      </c>
      <c r="H981" s="81"/>
      <c r="I981" s="81"/>
      <c r="J981" s="81"/>
      <c r="K981" s="81"/>
      <c r="L981" s="81"/>
      <c r="M981" s="81"/>
      <c r="N981" s="651"/>
      <c r="O981" s="934"/>
    </row>
    <row r="982" spans="1:61" ht="24.6" customHeight="1">
      <c r="A982" s="926" t="s">
        <v>946</v>
      </c>
      <c r="B982" s="546" t="s">
        <v>89</v>
      </c>
      <c r="C982" s="546"/>
      <c r="D982" s="546"/>
      <c r="E982" s="546"/>
      <c r="F982" s="546"/>
      <c r="G982" s="80">
        <f t="shared" si="354"/>
        <v>0</v>
      </c>
      <c r="H982" s="81"/>
      <c r="I982" s="81"/>
      <c r="J982" s="81"/>
      <c r="K982" s="81"/>
      <c r="L982" s="81"/>
      <c r="M982" s="81">
        <v>5</v>
      </c>
      <c r="N982" s="604"/>
      <c r="O982" s="933" t="s">
        <v>625</v>
      </c>
    </row>
    <row r="983" spans="1:61" ht="24.6" customHeight="1">
      <c r="A983" s="928"/>
      <c r="B983" s="546" t="s">
        <v>246</v>
      </c>
      <c r="C983" s="546"/>
      <c r="D983" s="546"/>
      <c r="E983" s="546"/>
      <c r="F983" s="546"/>
      <c r="G983" s="80">
        <f t="shared" si="354"/>
        <v>0</v>
      </c>
      <c r="H983" s="81"/>
      <c r="I983" s="81"/>
      <c r="J983" s="81"/>
      <c r="K983" s="81"/>
      <c r="L983" s="81"/>
      <c r="M983" s="81">
        <v>80000</v>
      </c>
      <c r="N983" s="604"/>
      <c r="O983" s="934"/>
    </row>
    <row r="984" spans="1:61" ht="24.6" customHeight="1">
      <c r="A984" s="945" t="s">
        <v>159</v>
      </c>
      <c r="B984" s="57" t="s">
        <v>89</v>
      </c>
      <c r="C984" s="57"/>
      <c r="D984" s="57"/>
      <c r="E984" s="57"/>
      <c r="F984" s="57"/>
      <c r="G984" s="80">
        <f>G988+G990+G994+G998+G1000</f>
        <v>8</v>
      </c>
      <c r="H984" s="80">
        <f t="shared" ref="H984:M984" si="357">H988+H990+H994+H998+H1000</f>
        <v>0</v>
      </c>
      <c r="I984" s="80">
        <f t="shared" si="357"/>
        <v>0</v>
      </c>
      <c r="J984" s="80">
        <f t="shared" si="357"/>
        <v>0</v>
      </c>
      <c r="K984" s="80">
        <f t="shared" si="357"/>
        <v>8</v>
      </c>
      <c r="L984" s="80">
        <f t="shared" si="357"/>
        <v>3.2</v>
      </c>
      <c r="M984" s="80">
        <f t="shared" si="357"/>
        <v>2.4</v>
      </c>
      <c r="N984" s="604"/>
      <c r="O984" s="610"/>
    </row>
    <row r="985" spans="1:61" ht="24.6" customHeight="1">
      <c r="A985" s="945"/>
      <c r="B985" s="57" t="s">
        <v>25</v>
      </c>
      <c r="C985" s="57"/>
      <c r="D985" s="57"/>
      <c r="E985" s="57"/>
      <c r="F985" s="57"/>
      <c r="G985" s="80">
        <f>G986+G987</f>
        <v>105538.09999999999</v>
      </c>
      <c r="H985" s="80">
        <f t="shared" ref="H985:M985" si="358">H986+H987</f>
        <v>0</v>
      </c>
      <c r="I985" s="80">
        <f t="shared" si="358"/>
        <v>0</v>
      </c>
      <c r="J985" s="80">
        <f t="shared" si="358"/>
        <v>0</v>
      </c>
      <c r="K985" s="80">
        <f t="shared" si="358"/>
        <v>105538.09999999999</v>
      </c>
      <c r="L985" s="80">
        <f t="shared" si="358"/>
        <v>76193</v>
      </c>
      <c r="M985" s="80">
        <f t="shared" si="358"/>
        <v>35000</v>
      </c>
      <c r="N985" s="604"/>
      <c r="O985" s="610"/>
    </row>
    <row r="986" spans="1:61" ht="24.6" customHeight="1">
      <c r="A986" s="945"/>
      <c r="B986" s="57" t="s">
        <v>10</v>
      </c>
      <c r="C986" s="57"/>
      <c r="D986" s="57"/>
      <c r="E986" s="57"/>
      <c r="F986" s="57"/>
      <c r="G986" s="80">
        <f>G989+G992+G996+G999+G1001</f>
        <v>105538.09999999999</v>
      </c>
      <c r="H986" s="80">
        <f t="shared" ref="H986:M986" si="359">H989+H992+H996+H999+H1001</f>
        <v>0</v>
      </c>
      <c r="I986" s="80">
        <f t="shared" si="359"/>
        <v>0</v>
      </c>
      <c r="J986" s="80">
        <f t="shared" si="359"/>
        <v>0</v>
      </c>
      <c r="K986" s="80">
        <f t="shared" si="359"/>
        <v>105538.09999999999</v>
      </c>
      <c r="L986" s="80">
        <f t="shared" si="359"/>
        <v>76193</v>
      </c>
      <c r="M986" s="80">
        <f t="shared" si="359"/>
        <v>35000</v>
      </c>
      <c r="N986" s="604"/>
      <c r="O986" s="610"/>
    </row>
    <row r="987" spans="1:61" s="44" customFormat="1" ht="24.95" customHeight="1">
      <c r="A987" s="945"/>
      <c r="B987" s="57" t="s">
        <v>495</v>
      </c>
      <c r="C987" s="57"/>
      <c r="D987" s="57"/>
      <c r="E987" s="57"/>
      <c r="F987" s="57"/>
      <c r="G987" s="80">
        <f>G993+G997</f>
        <v>0</v>
      </c>
      <c r="H987" s="80">
        <f t="shared" ref="H987:M987" si="360">H993+H997</f>
        <v>0</v>
      </c>
      <c r="I987" s="80">
        <f t="shared" si="360"/>
        <v>0</v>
      </c>
      <c r="J987" s="80">
        <f t="shared" si="360"/>
        <v>0</v>
      </c>
      <c r="K987" s="80">
        <f t="shared" si="360"/>
        <v>0</v>
      </c>
      <c r="L987" s="80">
        <f t="shared" si="360"/>
        <v>0</v>
      </c>
      <c r="M987" s="80">
        <f t="shared" si="360"/>
        <v>0</v>
      </c>
      <c r="N987" s="604"/>
      <c r="O987" s="610"/>
      <c r="AJ987" s="91"/>
      <c r="AK987" s="91"/>
      <c r="AL987" s="91"/>
      <c r="AM987" s="91"/>
      <c r="AN987" s="91"/>
      <c r="AO987" s="91"/>
      <c r="AP987" s="91"/>
      <c r="AQ987" s="91"/>
      <c r="AR987" s="91"/>
      <c r="AS987" s="91"/>
      <c r="AT987" s="91"/>
      <c r="AU987" s="91"/>
      <c r="AV987" s="91"/>
      <c r="AW987" s="91"/>
      <c r="AX987" s="91"/>
      <c r="AY987" s="91"/>
      <c r="AZ987" s="91"/>
      <c r="BA987" s="91"/>
      <c r="BB987" s="91"/>
      <c r="BC987" s="91"/>
      <c r="BD987" s="91"/>
      <c r="BE987" s="91"/>
      <c r="BF987" s="91"/>
      <c r="BG987" s="91"/>
      <c r="BH987" s="91"/>
      <c r="BI987" s="91"/>
    </row>
    <row r="988" spans="1:61" s="44" customFormat="1" ht="24.95" customHeight="1">
      <c r="A988" s="932" t="s">
        <v>1105</v>
      </c>
      <c r="B988" s="546" t="s">
        <v>89</v>
      </c>
      <c r="C988" s="546">
        <v>176</v>
      </c>
      <c r="D988" s="546" t="s">
        <v>15</v>
      </c>
      <c r="E988" s="546">
        <v>6100404</v>
      </c>
      <c r="F988" s="546">
        <v>244</v>
      </c>
      <c r="G988" s="81">
        <f>K988</f>
        <v>2</v>
      </c>
      <c r="H988" s="81"/>
      <c r="I988" s="81"/>
      <c r="J988" s="81"/>
      <c r="K988" s="81">
        <v>2</v>
      </c>
      <c r="L988" s="81"/>
      <c r="M988" s="81"/>
      <c r="N988" s="604"/>
      <c r="O988" s="944" t="s">
        <v>600</v>
      </c>
      <c r="AJ988" s="91"/>
      <c r="AK988" s="91"/>
      <c r="AL988" s="91"/>
      <c r="AM988" s="91"/>
      <c r="AN988" s="91"/>
      <c r="AO988" s="91"/>
      <c r="AP988" s="91"/>
      <c r="AQ988" s="91"/>
      <c r="AR988" s="91"/>
      <c r="AS988" s="91"/>
      <c r="AT988" s="91"/>
      <c r="AU988" s="91"/>
      <c r="AV988" s="91"/>
      <c r="AW988" s="91"/>
      <c r="AX988" s="91"/>
      <c r="AY988" s="91"/>
      <c r="AZ988" s="91"/>
      <c r="BA988" s="91"/>
      <c r="BB988" s="91"/>
      <c r="BC988" s="91"/>
      <c r="BD988" s="91"/>
      <c r="BE988" s="91"/>
      <c r="BF988" s="91"/>
      <c r="BG988" s="91"/>
      <c r="BH988" s="91"/>
      <c r="BI988" s="91"/>
    </row>
    <row r="989" spans="1:61" ht="24.95" customHeight="1">
      <c r="A989" s="932"/>
      <c r="B989" s="546" t="s">
        <v>246</v>
      </c>
      <c r="C989" s="546"/>
      <c r="D989" s="546"/>
      <c r="E989" s="546"/>
      <c r="F989" s="546"/>
      <c r="G989" s="81">
        <f>K989</f>
        <v>22652.7</v>
      </c>
      <c r="H989" s="81"/>
      <c r="I989" s="81"/>
      <c r="J989" s="81"/>
      <c r="K989" s="81">
        <v>22652.7</v>
      </c>
      <c r="L989" s="81"/>
      <c r="M989" s="81"/>
      <c r="N989" s="604"/>
      <c r="O989" s="944"/>
    </row>
    <row r="990" spans="1:61" ht="24.95" customHeight="1">
      <c r="A990" s="926" t="s">
        <v>344</v>
      </c>
      <c r="B990" s="546" t="s">
        <v>89</v>
      </c>
      <c r="C990" s="546"/>
      <c r="D990" s="546"/>
      <c r="E990" s="546"/>
      <c r="F990" s="546"/>
      <c r="G990" s="81">
        <f>K990</f>
        <v>4</v>
      </c>
      <c r="H990" s="81"/>
      <c r="I990" s="81"/>
      <c r="J990" s="81"/>
      <c r="K990" s="81">
        <v>4</v>
      </c>
      <c r="L990" s="81">
        <v>1.7</v>
      </c>
      <c r="M990" s="81"/>
      <c r="N990" s="604"/>
      <c r="O990" s="944" t="s">
        <v>531</v>
      </c>
    </row>
    <row r="991" spans="1:61" ht="24.95" customHeight="1">
      <c r="A991" s="927"/>
      <c r="B991" s="546" t="s">
        <v>25</v>
      </c>
      <c r="C991" s="546"/>
      <c r="D991" s="546"/>
      <c r="E991" s="546"/>
      <c r="F991" s="546"/>
      <c r="G991" s="81">
        <f t="shared" ref="G991:G993" si="361">K991</f>
        <v>66385.399999999994</v>
      </c>
      <c r="H991" s="81"/>
      <c r="I991" s="81"/>
      <c r="J991" s="81"/>
      <c r="K991" s="81">
        <f>K992+K993</f>
        <v>66385.399999999994</v>
      </c>
      <c r="L991" s="81">
        <f t="shared" ref="L991:M991" si="362">L992+L993</f>
        <v>58193</v>
      </c>
      <c r="M991" s="81">
        <f t="shared" si="362"/>
        <v>0</v>
      </c>
      <c r="N991" s="604"/>
      <c r="O991" s="944"/>
    </row>
    <row r="992" spans="1:61" ht="24.95" hidden="1" customHeight="1">
      <c r="A992" s="927"/>
      <c r="B992" s="546" t="s">
        <v>10</v>
      </c>
      <c r="C992" s="546"/>
      <c r="D992" s="546"/>
      <c r="E992" s="546"/>
      <c r="F992" s="546"/>
      <c r="G992" s="81">
        <f t="shared" si="361"/>
        <v>66385.399999999994</v>
      </c>
      <c r="H992" s="81"/>
      <c r="I992" s="81"/>
      <c r="J992" s="81"/>
      <c r="K992" s="81">
        <v>66385.399999999994</v>
      </c>
      <c r="L992" s="81">
        <v>58193</v>
      </c>
      <c r="M992" s="81"/>
      <c r="N992" s="604"/>
      <c r="O992" s="944"/>
    </row>
    <row r="993" spans="1:15" ht="24.95" hidden="1" customHeight="1">
      <c r="A993" s="928"/>
      <c r="B993" s="546" t="s">
        <v>495</v>
      </c>
      <c r="C993" s="546"/>
      <c r="D993" s="546"/>
      <c r="E993" s="546"/>
      <c r="F993" s="546"/>
      <c r="G993" s="81">
        <f t="shared" si="361"/>
        <v>0</v>
      </c>
      <c r="H993" s="81"/>
      <c r="I993" s="81"/>
      <c r="J993" s="81"/>
      <c r="K993" s="81"/>
      <c r="L993" s="81"/>
      <c r="M993" s="81"/>
      <c r="N993" s="604"/>
      <c r="O993" s="944"/>
    </row>
    <row r="994" spans="1:15" ht="24.95" customHeight="1">
      <c r="A994" s="926" t="s">
        <v>805</v>
      </c>
      <c r="B994" s="546" t="s">
        <v>89</v>
      </c>
      <c r="C994" s="546"/>
      <c r="D994" s="546"/>
      <c r="E994" s="546"/>
      <c r="F994" s="546"/>
      <c r="G994" s="81">
        <f>K994</f>
        <v>2</v>
      </c>
      <c r="H994" s="81"/>
      <c r="I994" s="81"/>
      <c r="J994" s="81"/>
      <c r="K994" s="81">
        <v>2</v>
      </c>
      <c r="L994" s="81"/>
      <c r="M994" s="81"/>
      <c r="N994" s="604"/>
      <c r="O994" s="933" t="s">
        <v>463</v>
      </c>
    </row>
    <row r="995" spans="1:15" ht="24.95" customHeight="1">
      <c r="A995" s="927"/>
      <c r="B995" s="546" t="s">
        <v>25</v>
      </c>
      <c r="C995" s="546"/>
      <c r="D995" s="546"/>
      <c r="E995" s="546"/>
      <c r="F995" s="546"/>
      <c r="G995" s="81">
        <f t="shared" ref="G995:G997" si="363">K995</f>
        <v>16500</v>
      </c>
      <c r="H995" s="81"/>
      <c r="I995" s="81"/>
      <c r="J995" s="81"/>
      <c r="K995" s="81">
        <f>K996+K997</f>
        <v>16500</v>
      </c>
      <c r="L995" s="81">
        <f>L996+L997</f>
        <v>0</v>
      </c>
      <c r="M995" s="81">
        <f>M996</f>
        <v>0</v>
      </c>
      <c r="N995" s="604"/>
      <c r="O995" s="946"/>
    </row>
    <row r="996" spans="1:15" ht="24.95" customHeight="1">
      <c r="A996" s="927"/>
      <c r="B996" s="546" t="s">
        <v>10</v>
      </c>
      <c r="C996" s="546"/>
      <c r="D996" s="546"/>
      <c r="E996" s="546"/>
      <c r="F996" s="546"/>
      <c r="G996" s="81">
        <f t="shared" si="363"/>
        <v>16500</v>
      </c>
      <c r="H996" s="81"/>
      <c r="I996" s="81"/>
      <c r="J996" s="81"/>
      <c r="K996" s="81">
        <v>16500</v>
      </c>
      <c r="L996" s="81"/>
      <c r="M996" s="81"/>
      <c r="N996" s="604"/>
      <c r="O996" s="946"/>
    </row>
    <row r="997" spans="1:15" ht="24.95" hidden="1" customHeight="1">
      <c r="A997" s="928"/>
      <c r="B997" s="546" t="s">
        <v>495</v>
      </c>
      <c r="C997" s="546"/>
      <c r="D997" s="546"/>
      <c r="E997" s="546"/>
      <c r="F997" s="546"/>
      <c r="G997" s="81">
        <f t="shared" si="363"/>
        <v>0</v>
      </c>
      <c r="H997" s="81"/>
      <c r="I997" s="81"/>
      <c r="J997" s="81"/>
      <c r="K997" s="81"/>
      <c r="L997" s="81"/>
      <c r="M997" s="81"/>
      <c r="N997" s="604"/>
      <c r="O997" s="934"/>
    </row>
    <row r="998" spans="1:15" ht="24.95" hidden="1" customHeight="1">
      <c r="A998" s="926" t="s">
        <v>606</v>
      </c>
      <c r="B998" s="546" t="s">
        <v>89</v>
      </c>
      <c r="C998" s="546"/>
      <c r="D998" s="546"/>
      <c r="E998" s="546"/>
      <c r="F998" s="546"/>
      <c r="G998" s="81"/>
      <c r="H998" s="81"/>
      <c r="I998" s="81"/>
      <c r="J998" s="81"/>
      <c r="K998" s="81"/>
      <c r="L998" s="81"/>
      <c r="M998" s="81"/>
      <c r="N998" s="604"/>
      <c r="O998" s="933" t="s">
        <v>600</v>
      </c>
    </row>
    <row r="999" spans="1:15" ht="24.95" hidden="1" customHeight="1">
      <c r="A999" s="928"/>
      <c r="B999" s="546" t="s">
        <v>246</v>
      </c>
      <c r="C999" s="546"/>
      <c r="D999" s="546"/>
      <c r="E999" s="546"/>
      <c r="F999" s="546"/>
      <c r="G999" s="81"/>
      <c r="H999" s="81"/>
      <c r="I999" s="81"/>
      <c r="J999" s="81"/>
      <c r="K999" s="81"/>
      <c r="L999" s="81"/>
      <c r="M999" s="81"/>
      <c r="N999" s="604"/>
      <c r="O999" s="934"/>
    </row>
    <row r="1000" spans="1:15" ht="24.95" customHeight="1">
      <c r="A1000" s="926" t="s">
        <v>607</v>
      </c>
      <c r="B1000" s="546" t="s">
        <v>89</v>
      </c>
      <c r="C1000" s="546"/>
      <c r="D1000" s="546"/>
      <c r="E1000" s="546"/>
      <c r="F1000" s="546"/>
      <c r="G1000" s="81"/>
      <c r="H1000" s="81"/>
      <c r="I1000" s="81"/>
      <c r="J1000" s="81"/>
      <c r="K1000" s="81"/>
      <c r="L1000" s="81">
        <v>1.5</v>
      </c>
      <c r="M1000" s="81">
        <v>2.4</v>
      </c>
      <c r="N1000" s="604"/>
      <c r="O1000" s="933" t="s">
        <v>947</v>
      </c>
    </row>
    <row r="1001" spans="1:15" ht="24.95" customHeight="1">
      <c r="A1001" s="928"/>
      <c r="B1001" s="546" t="s">
        <v>246</v>
      </c>
      <c r="C1001" s="546"/>
      <c r="D1001" s="546"/>
      <c r="E1001" s="546"/>
      <c r="F1001" s="546"/>
      <c r="G1001" s="81"/>
      <c r="H1001" s="81"/>
      <c r="I1001" s="81"/>
      <c r="J1001" s="81"/>
      <c r="K1001" s="81"/>
      <c r="L1001" s="81">
        <v>18000</v>
      </c>
      <c r="M1001" s="81">
        <v>35000</v>
      </c>
      <c r="N1001" s="604"/>
      <c r="O1001" s="934"/>
    </row>
    <row r="1002" spans="1:15" ht="24.95" customHeight="1">
      <c r="A1002" s="945" t="s">
        <v>103</v>
      </c>
      <c r="B1002" s="57" t="s">
        <v>89</v>
      </c>
      <c r="C1002" s="57"/>
      <c r="D1002" s="57"/>
      <c r="E1002" s="57"/>
      <c r="F1002" s="57"/>
      <c r="G1002" s="80">
        <f>G1006+G1010+G1014+G1022+G1026+G1030+G1034+G1038+G1018</f>
        <v>11.1</v>
      </c>
      <c r="H1002" s="80">
        <f t="shared" ref="H1002:M1002" si="364">H1006+H1010+H1014+H1022+H1026+H1030+H1034+H1038+H1018</f>
        <v>0</v>
      </c>
      <c r="I1002" s="80">
        <f t="shared" si="364"/>
        <v>0</v>
      </c>
      <c r="J1002" s="80">
        <f t="shared" si="364"/>
        <v>0</v>
      </c>
      <c r="K1002" s="80">
        <f t="shared" si="364"/>
        <v>11.1</v>
      </c>
      <c r="L1002" s="80">
        <f t="shared" si="364"/>
        <v>11.4</v>
      </c>
      <c r="M1002" s="80">
        <f t="shared" si="364"/>
        <v>0</v>
      </c>
      <c r="N1002" s="604"/>
      <c r="O1002" s="610"/>
    </row>
    <row r="1003" spans="1:15" ht="24.95" customHeight="1">
      <c r="A1003" s="945"/>
      <c r="B1003" s="57" t="s">
        <v>25</v>
      </c>
      <c r="C1003" s="57"/>
      <c r="D1003" s="57"/>
      <c r="E1003" s="57"/>
      <c r="F1003" s="57"/>
      <c r="G1003" s="80">
        <f>G1004+G1005</f>
        <v>230883.20000000001</v>
      </c>
      <c r="H1003" s="80">
        <f t="shared" ref="H1003:K1003" si="365">H1004+H1005</f>
        <v>0</v>
      </c>
      <c r="I1003" s="80">
        <f t="shared" si="365"/>
        <v>0</v>
      </c>
      <c r="J1003" s="80">
        <f t="shared" si="365"/>
        <v>0</v>
      </c>
      <c r="K1003" s="80">
        <f t="shared" si="365"/>
        <v>230883.20000000001</v>
      </c>
      <c r="L1003" s="80">
        <f t="shared" ref="L1003:M1003" si="366">L1004+L1005</f>
        <v>143272</v>
      </c>
      <c r="M1003" s="80">
        <f t="shared" si="366"/>
        <v>0</v>
      </c>
      <c r="N1003" s="604"/>
      <c r="O1003" s="610"/>
    </row>
    <row r="1004" spans="1:15" ht="24.95" customHeight="1">
      <c r="A1004" s="945"/>
      <c r="B1004" s="57" t="s">
        <v>10</v>
      </c>
      <c r="C1004" s="57"/>
      <c r="D1004" s="57"/>
      <c r="E1004" s="57"/>
      <c r="F1004" s="57"/>
      <c r="G1004" s="80">
        <f>G1008+G1012+G1016+G1020+G1024+G1028+G1032+G1036+G1040</f>
        <v>99375.6</v>
      </c>
      <c r="H1004" s="80">
        <f t="shared" ref="H1004:M1004" si="367">H1008+H1012+H1016+H1020+H1024+H1028+H1032+H1036+H1040</f>
        <v>0</v>
      </c>
      <c r="I1004" s="80">
        <f t="shared" si="367"/>
        <v>0</v>
      </c>
      <c r="J1004" s="80">
        <f t="shared" si="367"/>
        <v>0</v>
      </c>
      <c r="K1004" s="80">
        <f t="shared" si="367"/>
        <v>99375.6</v>
      </c>
      <c r="L1004" s="80">
        <f t="shared" si="367"/>
        <v>113272</v>
      </c>
      <c r="M1004" s="80">
        <f t="shared" si="367"/>
        <v>0</v>
      </c>
      <c r="N1004" s="604"/>
      <c r="O1004" s="610"/>
    </row>
    <row r="1005" spans="1:15" ht="24.95" customHeight="1">
      <c r="A1005" s="945"/>
      <c r="B1005" s="57" t="s">
        <v>495</v>
      </c>
      <c r="C1005" s="57"/>
      <c r="D1005" s="57"/>
      <c r="E1005" s="57"/>
      <c r="F1005" s="57"/>
      <c r="G1005" s="80">
        <f>G1009+G1013+G1017+G1021+G1025+G1029+G1033+G1037+G1041</f>
        <v>131507.6</v>
      </c>
      <c r="H1005" s="80">
        <f t="shared" ref="H1005:M1005" si="368">H1009+H1013+H1017+H1021+H1025+H1029+H1033+H1037+H1041</f>
        <v>0</v>
      </c>
      <c r="I1005" s="80">
        <f t="shared" si="368"/>
        <v>0</v>
      </c>
      <c r="J1005" s="80">
        <f t="shared" si="368"/>
        <v>0</v>
      </c>
      <c r="K1005" s="80">
        <f t="shared" si="368"/>
        <v>131507.6</v>
      </c>
      <c r="L1005" s="80">
        <f t="shared" si="368"/>
        <v>30000</v>
      </c>
      <c r="M1005" s="80">
        <f t="shared" si="368"/>
        <v>0</v>
      </c>
      <c r="N1005" s="604"/>
      <c r="O1005" s="610"/>
    </row>
    <row r="1006" spans="1:15" ht="24.95" hidden="1" customHeight="1">
      <c r="A1006" s="932" t="s">
        <v>761</v>
      </c>
      <c r="B1006" s="546" t="s">
        <v>89</v>
      </c>
      <c r="C1006" s="546">
        <v>176</v>
      </c>
      <c r="D1006" s="546" t="s">
        <v>15</v>
      </c>
      <c r="E1006" s="546">
        <v>6100404</v>
      </c>
      <c r="F1006" s="546">
        <v>244</v>
      </c>
      <c r="G1006" s="81">
        <f>K1006</f>
        <v>0</v>
      </c>
      <c r="H1006" s="81"/>
      <c r="I1006" s="81"/>
      <c r="J1006" s="81"/>
      <c r="K1006" s="81"/>
      <c r="L1006" s="81"/>
      <c r="M1006" s="81"/>
      <c r="N1006" s="604"/>
      <c r="O1006" s="944" t="s">
        <v>760</v>
      </c>
    </row>
    <row r="1007" spans="1:15" ht="24.95" hidden="1" customHeight="1">
      <c r="A1007" s="932"/>
      <c r="B1007" s="546" t="s">
        <v>330</v>
      </c>
      <c r="C1007" s="546"/>
      <c r="D1007" s="546"/>
      <c r="E1007" s="546"/>
      <c r="F1007" s="546"/>
      <c r="G1007" s="92">
        <f>G1008+G1009</f>
        <v>0</v>
      </c>
      <c r="H1007" s="92"/>
      <c r="I1007" s="92"/>
      <c r="J1007" s="92">
        <f>J1008</f>
        <v>0</v>
      </c>
      <c r="K1007" s="92">
        <f>K1008</f>
        <v>0</v>
      </c>
      <c r="L1007" s="92">
        <f t="shared" ref="L1007:M1007" si="369">L1008+L1009</f>
        <v>0</v>
      </c>
      <c r="M1007" s="92">
        <f t="shared" si="369"/>
        <v>0</v>
      </c>
      <c r="N1007" s="604"/>
      <c r="O1007" s="944"/>
    </row>
    <row r="1008" spans="1:15" ht="24.95" hidden="1" customHeight="1">
      <c r="A1008" s="932"/>
      <c r="B1008" s="546" t="s">
        <v>327</v>
      </c>
      <c r="C1008" s="546"/>
      <c r="D1008" s="546"/>
      <c r="E1008" s="546"/>
      <c r="F1008" s="546"/>
      <c r="G1008" s="92">
        <f>K1008</f>
        <v>0</v>
      </c>
      <c r="H1008" s="92"/>
      <c r="I1008" s="92"/>
      <c r="J1008" s="92"/>
      <c r="K1008" s="92"/>
      <c r="L1008" s="92"/>
      <c r="M1008" s="81"/>
      <c r="N1008" s="604"/>
      <c r="O1008" s="944"/>
    </row>
    <row r="1009" spans="1:15" ht="24.6" hidden="1" customHeight="1">
      <c r="A1009" s="932"/>
      <c r="B1009" s="546" t="s">
        <v>764</v>
      </c>
      <c r="C1009" s="546"/>
      <c r="D1009" s="546"/>
      <c r="E1009" s="546"/>
      <c r="F1009" s="546"/>
      <c r="G1009" s="81"/>
      <c r="H1009" s="81"/>
      <c r="I1009" s="81"/>
      <c r="J1009" s="81"/>
      <c r="K1009" s="81"/>
      <c r="L1009" s="81"/>
      <c r="M1009" s="81"/>
      <c r="N1009" s="604"/>
      <c r="O1009" s="944"/>
    </row>
    <row r="1010" spans="1:15" ht="24.95" customHeight="1">
      <c r="A1010" s="926" t="s">
        <v>94</v>
      </c>
      <c r="B1010" s="546" t="s">
        <v>89</v>
      </c>
      <c r="C1010" s="546">
        <v>176</v>
      </c>
      <c r="D1010" s="546" t="s">
        <v>15</v>
      </c>
      <c r="E1010" s="546">
        <v>6100404</v>
      </c>
      <c r="F1010" s="546">
        <v>244</v>
      </c>
      <c r="G1010" s="81">
        <f>K1010</f>
        <v>1.1000000000000001</v>
      </c>
      <c r="H1010" s="81"/>
      <c r="I1010" s="81"/>
      <c r="J1010" s="81"/>
      <c r="K1010" s="81">
        <v>1.1000000000000001</v>
      </c>
      <c r="L1010" s="81"/>
      <c r="M1010" s="81"/>
      <c r="N1010" s="604"/>
      <c r="O1010" s="944" t="s">
        <v>944</v>
      </c>
    </row>
    <row r="1011" spans="1:15" ht="24.95" customHeight="1">
      <c r="A1011" s="927"/>
      <c r="B1011" s="546" t="s">
        <v>25</v>
      </c>
      <c r="C1011" s="546"/>
      <c r="D1011" s="546"/>
      <c r="E1011" s="546"/>
      <c r="F1011" s="546"/>
      <c r="G1011" s="81">
        <f>G1012+G1013</f>
        <v>15614.6</v>
      </c>
      <c r="H1011" s="81">
        <f t="shared" ref="H1011:K1011" si="370">H1012+H1013</f>
        <v>0</v>
      </c>
      <c r="I1011" s="81">
        <f t="shared" si="370"/>
        <v>0</v>
      </c>
      <c r="J1011" s="81">
        <f t="shared" si="370"/>
        <v>0</v>
      </c>
      <c r="K1011" s="81">
        <f t="shared" si="370"/>
        <v>15614.6</v>
      </c>
      <c r="L1011" s="81">
        <f t="shared" ref="L1011:M1011" si="371">L1012+L1013</f>
        <v>0</v>
      </c>
      <c r="M1011" s="81">
        <f t="shared" si="371"/>
        <v>0</v>
      </c>
      <c r="N1011" s="604"/>
      <c r="O1011" s="944"/>
    </row>
    <row r="1012" spans="1:15" ht="24.95" customHeight="1">
      <c r="A1012" s="927"/>
      <c r="B1012" s="546" t="s">
        <v>10</v>
      </c>
      <c r="C1012" s="546"/>
      <c r="D1012" s="546"/>
      <c r="E1012" s="546"/>
      <c r="F1012" s="546"/>
      <c r="G1012" s="81">
        <f>K1012</f>
        <v>15614.6</v>
      </c>
      <c r="H1012" s="81"/>
      <c r="I1012" s="81"/>
      <c r="J1012" s="81"/>
      <c r="K1012" s="81">
        <v>15614.6</v>
      </c>
      <c r="L1012" s="81"/>
      <c r="M1012" s="81"/>
      <c r="N1012" s="604"/>
      <c r="O1012" s="944"/>
    </row>
    <row r="1013" spans="1:15" ht="24.95" customHeight="1">
      <c r="A1013" s="928"/>
      <c r="B1013" s="546" t="s">
        <v>495</v>
      </c>
      <c r="C1013" s="546"/>
      <c r="D1013" s="546"/>
      <c r="E1013" s="546"/>
      <c r="F1013" s="546"/>
      <c r="G1013" s="81">
        <f>K1013</f>
        <v>0</v>
      </c>
      <c r="H1013" s="81"/>
      <c r="I1013" s="81"/>
      <c r="J1013" s="81"/>
      <c r="K1013" s="81"/>
      <c r="L1013" s="81"/>
      <c r="M1013" s="81"/>
      <c r="N1013" s="604"/>
      <c r="O1013" s="944"/>
    </row>
    <row r="1014" spans="1:15" ht="24.95" customHeight="1">
      <c r="A1014" s="926" t="s">
        <v>610</v>
      </c>
      <c r="B1014" s="546" t="s">
        <v>89</v>
      </c>
      <c r="C1014" s="546"/>
      <c r="D1014" s="546"/>
      <c r="E1014" s="546"/>
      <c r="F1014" s="546"/>
      <c r="G1014" s="81"/>
      <c r="H1014" s="81"/>
      <c r="I1014" s="81"/>
      <c r="J1014" s="81"/>
      <c r="K1014" s="81"/>
      <c r="L1014" s="81">
        <v>1.9</v>
      </c>
      <c r="M1014" s="81"/>
      <c r="N1014" s="604"/>
      <c r="O1014" s="944" t="s">
        <v>535</v>
      </c>
    </row>
    <row r="1015" spans="1:15" ht="24.95" customHeight="1">
      <c r="A1015" s="927"/>
      <c r="B1015" s="546" t="s">
        <v>25</v>
      </c>
      <c r="C1015" s="546"/>
      <c r="D1015" s="546"/>
      <c r="E1015" s="546"/>
      <c r="F1015" s="546"/>
      <c r="G1015" s="81">
        <f>G1016+G1017</f>
        <v>0</v>
      </c>
      <c r="H1015" s="81">
        <f t="shared" ref="H1015:K1015" si="372">H1016+H1017</f>
        <v>0</v>
      </c>
      <c r="I1015" s="81">
        <f t="shared" si="372"/>
        <v>0</v>
      </c>
      <c r="J1015" s="81">
        <f t="shared" si="372"/>
        <v>0</v>
      </c>
      <c r="K1015" s="81">
        <f t="shared" si="372"/>
        <v>0</v>
      </c>
      <c r="L1015" s="81">
        <f>L1016+L1017</f>
        <v>22272</v>
      </c>
      <c r="M1015" s="81">
        <f>M1016+M1017</f>
        <v>0</v>
      </c>
      <c r="N1015" s="604"/>
      <c r="O1015" s="944"/>
    </row>
    <row r="1016" spans="1:15" ht="24.95" customHeight="1">
      <c r="A1016" s="927"/>
      <c r="B1016" s="546" t="s">
        <v>10</v>
      </c>
      <c r="C1016" s="546"/>
      <c r="D1016" s="546"/>
      <c r="E1016" s="546"/>
      <c r="F1016" s="546"/>
      <c r="G1016" s="81">
        <f>J1016</f>
        <v>0</v>
      </c>
      <c r="H1016" s="81"/>
      <c r="I1016" s="81"/>
      <c r="J1016" s="81"/>
      <c r="K1016" s="81"/>
      <c r="L1016" s="81">
        <v>22272</v>
      </c>
      <c r="M1016" s="81"/>
      <c r="N1016" s="604"/>
      <c r="O1016" s="944"/>
    </row>
    <row r="1017" spans="1:15" ht="24.95" customHeight="1">
      <c r="A1017" s="928"/>
      <c r="B1017" s="546" t="s">
        <v>495</v>
      </c>
      <c r="C1017" s="546"/>
      <c r="D1017" s="546"/>
      <c r="E1017" s="546"/>
      <c r="F1017" s="546"/>
      <c r="G1017" s="81"/>
      <c r="H1017" s="81"/>
      <c r="I1017" s="81"/>
      <c r="J1017" s="81"/>
      <c r="K1017" s="81"/>
      <c r="L1017" s="81"/>
      <c r="M1017" s="81"/>
      <c r="N1017" s="604"/>
      <c r="O1017" s="944"/>
    </row>
    <row r="1018" spans="1:15" ht="24.95" hidden="1" customHeight="1">
      <c r="A1018" s="932" t="s">
        <v>624</v>
      </c>
      <c r="B1018" s="546" t="s">
        <v>89</v>
      </c>
      <c r="C1018" s="546">
        <v>176</v>
      </c>
      <c r="D1018" s="546" t="s">
        <v>15</v>
      </c>
      <c r="E1018" s="546">
        <v>6100404</v>
      </c>
      <c r="F1018" s="546">
        <v>244</v>
      </c>
      <c r="G1018" s="81">
        <f>K1018</f>
        <v>0</v>
      </c>
      <c r="H1018" s="81"/>
      <c r="I1018" s="81"/>
      <c r="J1018" s="81"/>
      <c r="K1018" s="81"/>
      <c r="L1018" s="81"/>
      <c r="M1018" s="81"/>
      <c r="N1018" s="604"/>
      <c r="O1018" s="944" t="s">
        <v>763</v>
      </c>
    </row>
    <row r="1019" spans="1:15" ht="24.95" hidden="1" customHeight="1">
      <c r="A1019" s="932"/>
      <c r="B1019" s="546" t="s">
        <v>330</v>
      </c>
      <c r="C1019" s="546"/>
      <c r="D1019" s="546"/>
      <c r="E1019" s="546"/>
      <c r="F1019" s="546"/>
      <c r="G1019" s="81">
        <f>G1020+G1021</f>
        <v>0</v>
      </c>
      <c r="H1019" s="81"/>
      <c r="I1019" s="81"/>
      <c r="J1019" s="81"/>
      <c r="K1019" s="81">
        <f>K1020</f>
        <v>0</v>
      </c>
      <c r="L1019" s="81"/>
      <c r="M1019" s="81"/>
      <c r="N1019" s="604"/>
      <c r="O1019" s="944"/>
    </row>
    <row r="1020" spans="1:15" ht="24.95" hidden="1" customHeight="1">
      <c r="A1020" s="932"/>
      <c r="B1020" s="546" t="s">
        <v>327</v>
      </c>
      <c r="C1020" s="546"/>
      <c r="D1020" s="546"/>
      <c r="E1020" s="546"/>
      <c r="F1020" s="546"/>
      <c r="G1020" s="81">
        <f>K1020</f>
        <v>0</v>
      </c>
      <c r="H1020" s="81"/>
      <c r="I1020" s="81"/>
      <c r="J1020" s="81"/>
      <c r="K1020" s="81"/>
      <c r="L1020" s="81"/>
      <c r="M1020" s="81"/>
      <c r="N1020" s="604"/>
      <c r="O1020" s="944"/>
    </row>
    <row r="1021" spans="1:15" ht="30.6" hidden="1" customHeight="1">
      <c r="A1021" s="932"/>
      <c r="B1021" s="546" t="s">
        <v>764</v>
      </c>
      <c r="C1021" s="546"/>
      <c r="D1021" s="546"/>
      <c r="E1021" s="546"/>
      <c r="F1021" s="546"/>
      <c r="G1021" s="81">
        <f>J1021</f>
        <v>0</v>
      </c>
      <c r="H1021" s="81"/>
      <c r="I1021" s="81"/>
      <c r="J1021" s="81"/>
      <c r="K1021" s="81"/>
      <c r="L1021" s="81"/>
      <c r="M1021" s="81"/>
      <c r="N1021" s="604"/>
      <c r="O1021" s="944"/>
    </row>
    <row r="1022" spans="1:15" ht="18.75" hidden="1" customHeight="1">
      <c r="A1022" s="932" t="s">
        <v>502</v>
      </c>
      <c r="B1022" s="546" t="s">
        <v>89</v>
      </c>
      <c r="C1022" s="546">
        <v>176</v>
      </c>
      <c r="D1022" s="546" t="s">
        <v>15</v>
      </c>
      <c r="E1022" s="546">
        <v>6100404</v>
      </c>
      <c r="F1022" s="546">
        <v>244</v>
      </c>
      <c r="G1022" s="81">
        <f>H1022</f>
        <v>0</v>
      </c>
      <c r="H1022" s="81"/>
      <c r="I1022" s="81"/>
      <c r="J1022" s="81"/>
      <c r="K1022" s="81"/>
      <c r="L1022" s="81"/>
      <c r="M1022" s="81"/>
      <c r="N1022" s="604"/>
      <c r="O1022" s="944" t="s">
        <v>766</v>
      </c>
    </row>
    <row r="1023" spans="1:15" ht="24" hidden="1" customHeight="1">
      <c r="A1023" s="932"/>
      <c r="B1023" s="546" t="s">
        <v>330</v>
      </c>
      <c r="C1023" s="546"/>
      <c r="D1023" s="546"/>
      <c r="E1023" s="546"/>
      <c r="F1023" s="546"/>
      <c r="G1023" s="81">
        <f>H1023</f>
        <v>0</v>
      </c>
      <c r="H1023" s="81">
        <f t="shared" ref="H1023:K1023" si="373">H1024+H1025</f>
        <v>0</v>
      </c>
      <c r="I1023" s="81">
        <f t="shared" si="373"/>
        <v>0</v>
      </c>
      <c r="J1023" s="81">
        <f t="shared" si="373"/>
        <v>0</v>
      </c>
      <c r="K1023" s="81">
        <f t="shared" si="373"/>
        <v>0</v>
      </c>
      <c r="L1023" s="81">
        <f t="shared" ref="L1023:M1023" si="374">L1024+L1025</f>
        <v>0</v>
      </c>
      <c r="M1023" s="81">
        <f t="shared" si="374"/>
        <v>0</v>
      </c>
      <c r="N1023" s="604"/>
      <c r="O1023" s="944"/>
    </row>
    <row r="1024" spans="1:15" ht="19.5" hidden="1" customHeight="1">
      <c r="A1024" s="932"/>
      <c r="B1024" s="546" t="s">
        <v>327</v>
      </c>
      <c r="C1024" s="546"/>
      <c r="D1024" s="546"/>
      <c r="E1024" s="546"/>
      <c r="F1024" s="546"/>
      <c r="G1024" s="81">
        <f>H1024</f>
        <v>0</v>
      </c>
      <c r="H1024" s="81"/>
      <c r="I1024" s="81"/>
      <c r="J1024" s="81"/>
      <c r="K1024" s="81"/>
      <c r="L1024" s="81"/>
      <c r="M1024" s="81"/>
      <c r="N1024" s="604"/>
      <c r="O1024" s="944"/>
    </row>
    <row r="1025" spans="1:61" ht="24" hidden="1" customHeight="1">
      <c r="A1025" s="932"/>
      <c r="B1025" s="546" t="s">
        <v>328</v>
      </c>
      <c r="C1025" s="546"/>
      <c r="D1025" s="546"/>
      <c r="E1025" s="546"/>
      <c r="F1025" s="546"/>
      <c r="G1025" s="81"/>
      <c r="H1025" s="81"/>
      <c r="I1025" s="81"/>
      <c r="J1025" s="81"/>
      <c r="K1025" s="81"/>
      <c r="L1025" s="81"/>
      <c r="M1025" s="81"/>
      <c r="N1025" s="604"/>
      <c r="O1025" s="944"/>
    </row>
    <row r="1026" spans="1:61" ht="19.5" customHeight="1">
      <c r="A1026" s="932" t="s">
        <v>154</v>
      </c>
      <c r="B1026" s="546" t="s">
        <v>89</v>
      </c>
      <c r="C1026" s="546"/>
      <c r="D1026" s="546"/>
      <c r="E1026" s="546"/>
      <c r="F1026" s="546"/>
      <c r="G1026" s="81">
        <f>K1026</f>
        <v>10</v>
      </c>
      <c r="H1026" s="81"/>
      <c r="I1026" s="81"/>
      <c r="J1026" s="81"/>
      <c r="K1026" s="81">
        <v>10</v>
      </c>
      <c r="L1026" s="81">
        <v>9.5</v>
      </c>
      <c r="M1026" s="81">
        <v>0</v>
      </c>
      <c r="N1026" s="604"/>
      <c r="O1026" s="944" t="s">
        <v>948</v>
      </c>
    </row>
    <row r="1027" spans="1:61" ht="25.5" customHeight="1">
      <c r="A1027" s="932"/>
      <c r="B1027" s="546" t="s">
        <v>25</v>
      </c>
      <c r="C1027" s="546"/>
      <c r="D1027" s="546"/>
      <c r="E1027" s="546"/>
      <c r="F1027" s="546"/>
      <c r="G1027" s="81">
        <f>G1028+G1029</f>
        <v>215268.6</v>
      </c>
      <c r="H1027" s="81">
        <f t="shared" ref="H1027:J1027" si="375">H1028</f>
        <v>0</v>
      </c>
      <c r="I1027" s="81">
        <f t="shared" si="375"/>
        <v>0</v>
      </c>
      <c r="J1027" s="81">
        <f t="shared" si="375"/>
        <v>0</v>
      </c>
      <c r="K1027" s="81">
        <f>K1028+K1029</f>
        <v>215268.6</v>
      </c>
      <c r="L1027" s="92">
        <f>L1028+L1029</f>
        <v>121000</v>
      </c>
      <c r="M1027" s="92">
        <f>M1028+M1029</f>
        <v>0</v>
      </c>
      <c r="N1027" s="604"/>
      <c r="O1027" s="944"/>
    </row>
    <row r="1028" spans="1:61" ht="24.95" customHeight="1">
      <c r="A1028" s="932"/>
      <c r="B1028" s="546" t="s">
        <v>10</v>
      </c>
      <c r="C1028" s="546"/>
      <c r="D1028" s="546"/>
      <c r="E1028" s="546"/>
      <c r="F1028" s="546"/>
      <c r="G1028" s="81">
        <f t="shared" ref="G1028:G1029" si="376">K1028</f>
        <v>83761</v>
      </c>
      <c r="H1028" s="81"/>
      <c r="I1028" s="81"/>
      <c r="J1028" s="81"/>
      <c r="K1028" s="81">
        <v>83761</v>
      </c>
      <c r="L1028" s="92">
        <v>91000</v>
      </c>
      <c r="M1028" s="92">
        <v>0</v>
      </c>
      <c r="N1028" s="604"/>
      <c r="O1028" s="944"/>
    </row>
    <row r="1029" spans="1:61" s="44" customFormat="1" ht="27" customHeight="1">
      <c r="A1029" s="932"/>
      <c r="B1029" s="546" t="s">
        <v>495</v>
      </c>
      <c r="C1029" s="546"/>
      <c r="D1029" s="546"/>
      <c r="E1029" s="546"/>
      <c r="F1029" s="546"/>
      <c r="G1029" s="81">
        <f t="shared" si="376"/>
        <v>131507.6</v>
      </c>
      <c r="H1029" s="81"/>
      <c r="I1029" s="81"/>
      <c r="J1029" s="81"/>
      <c r="K1029" s="81">
        <v>131507.6</v>
      </c>
      <c r="L1029" s="81">
        <v>30000</v>
      </c>
      <c r="M1029" s="81">
        <v>0</v>
      </c>
      <c r="N1029" s="604"/>
      <c r="O1029" s="944"/>
      <c r="AJ1029" s="91"/>
      <c r="AK1029" s="91"/>
      <c r="AL1029" s="91"/>
      <c r="AM1029" s="91"/>
      <c r="AN1029" s="91"/>
      <c r="AO1029" s="91"/>
      <c r="AP1029" s="91"/>
      <c r="AQ1029" s="91"/>
      <c r="AR1029" s="91"/>
      <c r="AS1029" s="91"/>
      <c r="AT1029" s="91"/>
      <c r="AU1029" s="91"/>
      <c r="AV1029" s="91"/>
      <c r="AW1029" s="91"/>
      <c r="AX1029" s="91"/>
      <c r="AY1029" s="91"/>
      <c r="AZ1029" s="91"/>
      <c r="BA1029" s="91"/>
      <c r="BB1029" s="91"/>
      <c r="BC1029" s="91"/>
      <c r="BD1029" s="91"/>
      <c r="BE1029" s="91"/>
      <c r="BF1029" s="91"/>
      <c r="BG1029" s="91"/>
      <c r="BH1029" s="91"/>
      <c r="BI1029" s="91"/>
    </row>
    <row r="1030" spans="1:61" s="44" customFormat="1" ht="24.95" hidden="1" customHeight="1">
      <c r="A1030" s="926" t="s">
        <v>441</v>
      </c>
      <c r="B1030" s="546" t="s">
        <v>89</v>
      </c>
      <c r="C1030" s="546"/>
      <c r="D1030" s="546"/>
      <c r="E1030" s="546"/>
      <c r="F1030" s="546"/>
      <c r="G1030" s="81"/>
      <c r="H1030" s="81"/>
      <c r="I1030" s="81"/>
      <c r="J1030" s="81"/>
      <c r="K1030" s="81"/>
      <c r="L1030" s="81"/>
      <c r="M1030" s="81"/>
      <c r="N1030" s="604"/>
      <c r="O1030" s="944" t="s">
        <v>766</v>
      </c>
      <c r="AJ1030" s="91"/>
      <c r="AK1030" s="91"/>
      <c r="AL1030" s="91"/>
      <c r="AM1030" s="91"/>
      <c r="AN1030" s="91"/>
      <c r="AO1030" s="91"/>
      <c r="AP1030" s="91"/>
      <c r="AQ1030" s="91"/>
      <c r="AR1030" s="91"/>
      <c r="AS1030" s="91"/>
      <c r="AT1030" s="91"/>
      <c r="AU1030" s="91"/>
      <c r="AV1030" s="91"/>
      <c r="AW1030" s="91"/>
      <c r="AX1030" s="91"/>
      <c r="AY1030" s="91"/>
      <c r="AZ1030" s="91"/>
      <c r="BA1030" s="91"/>
      <c r="BB1030" s="91"/>
      <c r="BC1030" s="91"/>
      <c r="BD1030" s="91"/>
      <c r="BE1030" s="91"/>
      <c r="BF1030" s="91"/>
      <c r="BG1030" s="91"/>
      <c r="BH1030" s="91"/>
      <c r="BI1030" s="91"/>
    </row>
    <row r="1031" spans="1:61" s="44" customFormat="1" ht="24.95" hidden="1" customHeight="1">
      <c r="A1031" s="927"/>
      <c r="B1031" s="546" t="s">
        <v>246</v>
      </c>
      <c r="C1031" s="546"/>
      <c r="D1031" s="546"/>
      <c r="E1031" s="546"/>
      <c r="F1031" s="546"/>
      <c r="G1031" s="81">
        <f>G1032</f>
        <v>0</v>
      </c>
      <c r="H1031" s="81">
        <f t="shared" ref="H1031:K1031" si="377">H1032</f>
        <v>0</v>
      </c>
      <c r="I1031" s="81">
        <f t="shared" si="377"/>
        <v>0</v>
      </c>
      <c r="J1031" s="81">
        <f t="shared" si="377"/>
        <v>0</v>
      </c>
      <c r="K1031" s="81">
        <f t="shared" si="377"/>
        <v>0</v>
      </c>
      <c r="L1031" s="81">
        <f>L1032+L1033</f>
        <v>0</v>
      </c>
      <c r="M1031" s="81"/>
      <c r="N1031" s="604"/>
      <c r="O1031" s="944"/>
      <c r="AJ1031" s="91"/>
      <c r="AK1031" s="91"/>
      <c r="AL1031" s="91"/>
      <c r="AM1031" s="91"/>
      <c r="AN1031" s="91"/>
      <c r="AO1031" s="91"/>
      <c r="AP1031" s="91"/>
      <c r="AQ1031" s="91"/>
      <c r="AR1031" s="91"/>
      <c r="AS1031" s="91"/>
      <c r="AT1031" s="91"/>
      <c r="AU1031" s="91"/>
      <c r="AV1031" s="91"/>
      <c r="AW1031" s="91"/>
      <c r="AX1031" s="91"/>
      <c r="AY1031" s="91"/>
      <c r="AZ1031" s="91"/>
      <c r="BA1031" s="91"/>
      <c r="BB1031" s="91"/>
      <c r="BC1031" s="91"/>
      <c r="BD1031" s="91"/>
      <c r="BE1031" s="91"/>
      <c r="BF1031" s="91"/>
      <c r="BG1031" s="91"/>
      <c r="BH1031" s="91"/>
      <c r="BI1031" s="91"/>
    </row>
    <row r="1032" spans="1:61" s="44" customFormat="1" ht="24.95" hidden="1" customHeight="1">
      <c r="A1032" s="927"/>
      <c r="B1032" s="546" t="s">
        <v>327</v>
      </c>
      <c r="C1032" s="546"/>
      <c r="D1032" s="546"/>
      <c r="E1032" s="546"/>
      <c r="F1032" s="546"/>
      <c r="G1032" s="81">
        <f>K1032</f>
        <v>0</v>
      </c>
      <c r="H1032" s="81"/>
      <c r="I1032" s="81"/>
      <c r="J1032" s="81"/>
      <c r="K1032" s="81">
        <v>0</v>
      </c>
      <c r="L1032" s="81"/>
      <c r="M1032" s="81"/>
      <c r="N1032" s="604"/>
      <c r="O1032" s="944"/>
      <c r="AJ1032" s="91"/>
      <c r="AK1032" s="91"/>
      <c r="AL1032" s="91"/>
      <c r="AM1032" s="91"/>
      <c r="AN1032" s="91"/>
      <c r="AO1032" s="91"/>
      <c r="AP1032" s="91"/>
      <c r="AQ1032" s="91"/>
      <c r="AR1032" s="91"/>
      <c r="AS1032" s="91"/>
      <c r="AT1032" s="91"/>
      <c r="AU1032" s="91"/>
      <c r="AV1032" s="91"/>
      <c r="AW1032" s="91"/>
      <c r="AX1032" s="91"/>
      <c r="AY1032" s="91"/>
      <c r="AZ1032" s="91"/>
      <c r="BA1032" s="91"/>
      <c r="BB1032" s="91"/>
      <c r="BC1032" s="91"/>
      <c r="BD1032" s="91"/>
      <c r="BE1032" s="91"/>
      <c r="BF1032" s="91"/>
      <c r="BG1032" s="91"/>
      <c r="BH1032" s="91"/>
      <c r="BI1032" s="91"/>
    </row>
    <row r="1033" spans="1:61" s="44" customFormat="1" ht="24.6" hidden="1" customHeight="1">
      <c r="A1033" s="928"/>
      <c r="B1033" s="546" t="s">
        <v>764</v>
      </c>
      <c r="C1033" s="546"/>
      <c r="D1033" s="546"/>
      <c r="E1033" s="546"/>
      <c r="F1033" s="546"/>
      <c r="G1033" s="81"/>
      <c r="H1033" s="81"/>
      <c r="I1033" s="81"/>
      <c r="J1033" s="81"/>
      <c r="K1033" s="81"/>
      <c r="L1033" s="81"/>
      <c r="M1033" s="81"/>
      <c r="N1033" s="604"/>
      <c r="O1033" s="944"/>
      <c r="AJ1033" s="91"/>
      <c r="AK1033" s="91"/>
      <c r="AL1033" s="91"/>
      <c r="AM1033" s="91"/>
      <c r="AN1033" s="91"/>
      <c r="AO1033" s="91"/>
      <c r="AP1033" s="91"/>
      <c r="AQ1033" s="91"/>
      <c r="AR1033" s="91"/>
      <c r="AS1033" s="91"/>
      <c r="AT1033" s="91"/>
      <c r="AU1033" s="91"/>
      <c r="AV1033" s="91"/>
      <c r="AW1033" s="91"/>
      <c r="AX1033" s="91"/>
      <c r="AY1033" s="91"/>
      <c r="AZ1033" s="91"/>
      <c r="BA1033" s="91"/>
      <c r="BB1033" s="91"/>
      <c r="BC1033" s="91"/>
      <c r="BD1033" s="91"/>
      <c r="BE1033" s="91"/>
      <c r="BF1033" s="91"/>
      <c r="BG1033" s="91"/>
      <c r="BH1033" s="91"/>
      <c r="BI1033" s="91"/>
    </row>
    <row r="1034" spans="1:61" s="44" customFormat="1" ht="24.95" hidden="1" customHeight="1">
      <c r="A1034" s="926" t="s">
        <v>611</v>
      </c>
      <c r="B1034" s="546" t="s">
        <v>89</v>
      </c>
      <c r="C1034" s="546"/>
      <c r="D1034" s="546"/>
      <c r="E1034" s="546"/>
      <c r="F1034" s="546"/>
      <c r="G1034" s="81">
        <f>K1034</f>
        <v>0</v>
      </c>
      <c r="H1034" s="81"/>
      <c r="I1034" s="81"/>
      <c r="J1034" s="81"/>
      <c r="K1034" s="81"/>
      <c r="L1034" s="81"/>
      <c r="M1034" s="81"/>
      <c r="N1034" s="604"/>
      <c r="O1034" s="944" t="s">
        <v>612</v>
      </c>
      <c r="AJ1034" s="91"/>
      <c r="AK1034" s="91"/>
      <c r="AL1034" s="91"/>
      <c r="AM1034" s="91"/>
      <c r="AN1034" s="91"/>
      <c r="AO1034" s="91"/>
      <c r="AP1034" s="91"/>
      <c r="AQ1034" s="91"/>
      <c r="AR1034" s="91"/>
      <c r="AS1034" s="91"/>
      <c r="AT1034" s="91"/>
      <c r="AU1034" s="91"/>
      <c r="AV1034" s="91"/>
      <c r="AW1034" s="91"/>
      <c r="AX1034" s="91"/>
      <c r="AY1034" s="91"/>
      <c r="AZ1034" s="91"/>
      <c r="BA1034" s="91"/>
      <c r="BB1034" s="91"/>
      <c r="BC1034" s="91"/>
      <c r="BD1034" s="91"/>
      <c r="BE1034" s="91"/>
      <c r="BF1034" s="91"/>
      <c r="BG1034" s="91"/>
      <c r="BH1034" s="91"/>
      <c r="BI1034" s="91"/>
    </row>
    <row r="1035" spans="1:61" s="44" customFormat="1" ht="24.95" hidden="1" customHeight="1">
      <c r="A1035" s="927"/>
      <c r="B1035" s="546" t="s">
        <v>25</v>
      </c>
      <c r="C1035" s="546"/>
      <c r="D1035" s="546"/>
      <c r="E1035" s="546"/>
      <c r="F1035" s="546"/>
      <c r="G1035" s="81">
        <f>G1036+G1037</f>
        <v>0</v>
      </c>
      <c r="H1035" s="81"/>
      <c r="I1035" s="81"/>
      <c r="J1035" s="81"/>
      <c r="K1035" s="81">
        <f>K1036+K1037</f>
        <v>0</v>
      </c>
      <c r="L1035" s="81">
        <f>L1036+L1037</f>
        <v>0</v>
      </c>
      <c r="M1035" s="81">
        <f>M1036</f>
        <v>0</v>
      </c>
      <c r="N1035" s="604"/>
      <c r="O1035" s="944"/>
      <c r="AJ1035" s="91"/>
      <c r="AK1035" s="91"/>
      <c r="AL1035" s="91"/>
      <c r="AM1035" s="91"/>
      <c r="AN1035" s="91"/>
      <c r="AO1035" s="91"/>
      <c r="AP1035" s="91"/>
      <c r="AQ1035" s="91"/>
      <c r="AR1035" s="91"/>
      <c r="AS1035" s="91"/>
      <c r="AT1035" s="91"/>
      <c r="AU1035" s="91"/>
      <c r="AV1035" s="91"/>
      <c r="AW1035" s="91"/>
      <c r="AX1035" s="91"/>
      <c r="AY1035" s="91"/>
      <c r="AZ1035" s="91"/>
      <c r="BA1035" s="91"/>
      <c r="BB1035" s="91"/>
      <c r="BC1035" s="91"/>
      <c r="BD1035" s="91"/>
      <c r="BE1035" s="91"/>
      <c r="BF1035" s="91"/>
      <c r="BG1035" s="91"/>
      <c r="BH1035" s="91"/>
      <c r="BI1035" s="91"/>
    </row>
    <row r="1036" spans="1:61" s="44" customFormat="1" ht="24.95" hidden="1" customHeight="1">
      <c r="A1036" s="927"/>
      <c r="B1036" s="546" t="s">
        <v>10</v>
      </c>
      <c r="C1036" s="546"/>
      <c r="D1036" s="546"/>
      <c r="E1036" s="546"/>
      <c r="F1036" s="546"/>
      <c r="G1036" s="81">
        <f>K1036</f>
        <v>0</v>
      </c>
      <c r="H1036" s="81"/>
      <c r="I1036" s="81"/>
      <c r="J1036" s="81"/>
      <c r="K1036" s="81"/>
      <c r="L1036" s="81"/>
      <c r="M1036" s="81"/>
      <c r="N1036" s="604"/>
      <c r="O1036" s="944"/>
      <c r="AJ1036" s="91"/>
      <c r="AK1036" s="91"/>
      <c r="AL1036" s="91"/>
      <c r="AM1036" s="91"/>
      <c r="AN1036" s="91"/>
      <c r="AO1036" s="91"/>
      <c r="AP1036" s="91"/>
      <c r="AQ1036" s="91"/>
      <c r="AR1036" s="91"/>
      <c r="AS1036" s="91"/>
      <c r="AT1036" s="91"/>
      <c r="AU1036" s="91"/>
      <c r="AV1036" s="91"/>
      <c r="AW1036" s="91"/>
      <c r="AX1036" s="91"/>
      <c r="AY1036" s="91"/>
      <c r="AZ1036" s="91"/>
      <c r="BA1036" s="91"/>
      <c r="BB1036" s="91"/>
      <c r="BC1036" s="91"/>
      <c r="BD1036" s="91"/>
      <c r="BE1036" s="91"/>
      <c r="BF1036" s="91"/>
      <c r="BG1036" s="91"/>
      <c r="BH1036" s="91"/>
      <c r="BI1036" s="91"/>
    </row>
    <row r="1037" spans="1:61" s="44" customFormat="1" ht="24" hidden="1" customHeight="1">
      <c r="A1037" s="928"/>
      <c r="B1037" s="546" t="s">
        <v>495</v>
      </c>
      <c r="C1037" s="546"/>
      <c r="D1037" s="546"/>
      <c r="E1037" s="546"/>
      <c r="F1037" s="546"/>
      <c r="G1037" s="81">
        <f>K1037</f>
        <v>0</v>
      </c>
      <c r="H1037" s="81"/>
      <c r="I1037" s="81"/>
      <c r="J1037" s="81"/>
      <c r="K1037" s="81"/>
      <c r="L1037" s="81"/>
      <c r="M1037" s="81"/>
      <c r="N1037" s="604"/>
      <c r="O1037" s="944"/>
      <c r="AJ1037" s="91"/>
      <c r="AK1037" s="91"/>
      <c r="AL1037" s="91"/>
      <c r="AM1037" s="91"/>
      <c r="AN1037" s="91"/>
      <c r="AO1037" s="91"/>
      <c r="AP1037" s="91"/>
      <c r="AQ1037" s="91"/>
      <c r="AR1037" s="91"/>
      <c r="AS1037" s="91"/>
      <c r="AT1037" s="91"/>
      <c r="AU1037" s="91"/>
      <c r="AV1037" s="91"/>
      <c r="AW1037" s="91"/>
      <c r="AX1037" s="91"/>
      <c r="AY1037" s="91"/>
      <c r="AZ1037" s="91"/>
      <c r="BA1037" s="91"/>
      <c r="BB1037" s="91"/>
      <c r="BC1037" s="91"/>
      <c r="BD1037" s="91"/>
      <c r="BE1037" s="91"/>
      <c r="BF1037" s="91"/>
      <c r="BG1037" s="91"/>
      <c r="BH1037" s="91"/>
      <c r="BI1037" s="91"/>
    </row>
    <row r="1038" spans="1:61" s="44" customFormat="1" ht="24.95" hidden="1" customHeight="1">
      <c r="A1038" s="932" t="s">
        <v>182</v>
      </c>
      <c r="B1038" s="546" t="s">
        <v>89</v>
      </c>
      <c r="C1038" s="546">
        <v>176</v>
      </c>
      <c r="D1038" s="546" t="s">
        <v>15</v>
      </c>
      <c r="E1038" s="546">
        <v>6100404</v>
      </c>
      <c r="F1038" s="546">
        <v>244</v>
      </c>
      <c r="G1038" s="81">
        <f>K1038</f>
        <v>0</v>
      </c>
      <c r="H1038" s="81"/>
      <c r="I1038" s="81"/>
      <c r="J1038" s="81"/>
      <c r="K1038" s="81"/>
      <c r="L1038" s="81"/>
      <c r="M1038" s="81"/>
      <c r="N1038" s="604"/>
      <c r="O1038" s="944" t="s">
        <v>463</v>
      </c>
      <c r="AJ1038" s="91"/>
      <c r="AK1038" s="91"/>
      <c r="AL1038" s="91"/>
      <c r="AM1038" s="91"/>
      <c r="AN1038" s="91"/>
      <c r="AO1038" s="91"/>
      <c r="AP1038" s="91"/>
      <c r="AQ1038" s="91"/>
      <c r="AR1038" s="91"/>
      <c r="AS1038" s="91"/>
      <c r="AT1038" s="91"/>
      <c r="AU1038" s="91"/>
      <c r="AV1038" s="91"/>
      <c r="AW1038" s="91"/>
      <c r="AX1038" s="91"/>
      <c r="AY1038" s="91"/>
      <c r="AZ1038" s="91"/>
      <c r="BA1038" s="91"/>
      <c r="BB1038" s="91"/>
      <c r="BC1038" s="91"/>
      <c r="BD1038" s="91"/>
      <c r="BE1038" s="91"/>
      <c r="BF1038" s="91"/>
      <c r="BG1038" s="91"/>
      <c r="BH1038" s="91"/>
      <c r="BI1038" s="91"/>
    </row>
    <row r="1039" spans="1:61" s="44" customFormat="1" ht="24.95" hidden="1" customHeight="1">
      <c r="A1039" s="932"/>
      <c r="B1039" s="546" t="s">
        <v>25</v>
      </c>
      <c r="C1039" s="546"/>
      <c r="D1039" s="546"/>
      <c r="E1039" s="546"/>
      <c r="F1039" s="546"/>
      <c r="G1039" s="81">
        <f>G1040+G1041</f>
        <v>0</v>
      </c>
      <c r="H1039" s="81">
        <f t="shared" ref="H1039:K1039" si="378">H1040+H1041</f>
        <v>0</v>
      </c>
      <c r="I1039" s="81">
        <f t="shared" si="378"/>
        <v>0</v>
      </c>
      <c r="J1039" s="81">
        <f t="shared" si="378"/>
        <v>0</v>
      </c>
      <c r="K1039" s="81">
        <f t="shared" si="378"/>
        <v>0</v>
      </c>
      <c r="L1039" s="81">
        <f>L1040+L1041</f>
        <v>0</v>
      </c>
      <c r="M1039" s="81">
        <f>M1040+M1041</f>
        <v>0</v>
      </c>
      <c r="N1039" s="604"/>
      <c r="O1039" s="944"/>
      <c r="AJ1039" s="91"/>
      <c r="AK1039" s="91"/>
      <c r="AL1039" s="91"/>
      <c r="AM1039" s="91"/>
      <c r="AN1039" s="91"/>
      <c r="AO1039" s="91"/>
      <c r="AP1039" s="91"/>
      <c r="AQ1039" s="91"/>
      <c r="AR1039" s="91"/>
      <c r="AS1039" s="91"/>
      <c r="AT1039" s="91"/>
      <c r="AU1039" s="91"/>
      <c r="AV1039" s="91"/>
      <c r="AW1039" s="91"/>
      <c r="AX1039" s="91"/>
      <c r="AY1039" s="91"/>
      <c r="AZ1039" s="91"/>
      <c r="BA1039" s="91"/>
      <c r="BB1039" s="91"/>
      <c r="BC1039" s="91"/>
      <c r="BD1039" s="91"/>
      <c r="BE1039" s="91"/>
      <c r="BF1039" s="91"/>
      <c r="BG1039" s="91"/>
      <c r="BH1039" s="91"/>
      <c r="BI1039" s="91"/>
    </row>
    <row r="1040" spans="1:61" s="44" customFormat="1" ht="24.95" hidden="1" customHeight="1">
      <c r="A1040" s="932"/>
      <c r="B1040" s="546" t="s">
        <v>10</v>
      </c>
      <c r="C1040" s="546"/>
      <c r="D1040" s="546"/>
      <c r="E1040" s="546"/>
      <c r="F1040" s="546"/>
      <c r="G1040" s="81">
        <f>K1040</f>
        <v>0</v>
      </c>
      <c r="H1040" s="81"/>
      <c r="I1040" s="81"/>
      <c r="J1040" s="81"/>
      <c r="K1040" s="81"/>
      <c r="L1040" s="81"/>
      <c r="M1040" s="81"/>
      <c r="N1040" s="604"/>
      <c r="O1040" s="944"/>
      <c r="AJ1040" s="91"/>
      <c r="AK1040" s="91"/>
      <c r="AL1040" s="91"/>
      <c r="AM1040" s="91"/>
      <c r="AN1040" s="91"/>
      <c r="AO1040" s="91"/>
      <c r="AP1040" s="91"/>
      <c r="AQ1040" s="91"/>
      <c r="AR1040" s="91"/>
      <c r="AS1040" s="91"/>
      <c r="AT1040" s="91"/>
      <c r="AU1040" s="91"/>
      <c r="AV1040" s="91"/>
      <c r="AW1040" s="91"/>
      <c r="AX1040" s="91"/>
      <c r="AY1040" s="91"/>
      <c r="AZ1040" s="91"/>
      <c r="BA1040" s="91"/>
      <c r="BB1040" s="91"/>
      <c r="BC1040" s="91"/>
      <c r="BD1040" s="91"/>
      <c r="BE1040" s="91"/>
      <c r="BF1040" s="91"/>
      <c r="BG1040" s="91"/>
      <c r="BH1040" s="91"/>
      <c r="BI1040" s="91"/>
    </row>
    <row r="1041" spans="1:61" ht="24.75" hidden="1" customHeight="1">
      <c r="A1041" s="932"/>
      <c r="B1041" s="546" t="s">
        <v>495</v>
      </c>
      <c r="C1041" s="546"/>
      <c r="D1041" s="546"/>
      <c r="E1041" s="546"/>
      <c r="F1041" s="546"/>
      <c r="G1041" s="81">
        <f>K1041</f>
        <v>0</v>
      </c>
      <c r="H1041" s="81"/>
      <c r="I1041" s="81"/>
      <c r="J1041" s="81"/>
      <c r="K1041" s="81"/>
      <c r="L1041" s="81"/>
      <c r="M1041" s="81"/>
      <c r="N1041" s="604"/>
      <c r="O1041" s="944"/>
    </row>
    <row r="1042" spans="1:61" ht="24.95" customHeight="1">
      <c r="A1042" s="945" t="s">
        <v>104</v>
      </c>
      <c r="B1042" s="57" t="s">
        <v>89</v>
      </c>
      <c r="C1042" s="57"/>
      <c r="D1042" s="57"/>
      <c r="E1042" s="57"/>
      <c r="F1042" s="57"/>
      <c r="G1042" s="80">
        <f>G1046+G1050+G1052</f>
        <v>0</v>
      </c>
      <c r="H1042" s="80">
        <f t="shared" ref="H1042:M1042" si="379">H1046+H1050+H1052</f>
        <v>0</v>
      </c>
      <c r="I1042" s="80">
        <f t="shared" si="379"/>
        <v>0</v>
      </c>
      <c r="J1042" s="80">
        <f t="shared" si="379"/>
        <v>0</v>
      </c>
      <c r="K1042" s="80">
        <f t="shared" si="379"/>
        <v>0</v>
      </c>
      <c r="L1042" s="80">
        <f t="shared" si="379"/>
        <v>4</v>
      </c>
      <c r="M1042" s="80">
        <f t="shared" si="379"/>
        <v>3</v>
      </c>
      <c r="N1042" s="604"/>
      <c r="O1042" s="610"/>
    </row>
    <row r="1043" spans="1:61" ht="24.95" customHeight="1">
      <c r="A1043" s="945"/>
      <c r="B1043" s="57" t="s">
        <v>25</v>
      </c>
      <c r="C1043" s="57"/>
      <c r="D1043" s="57"/>
      <c r="E1043" s="57"/>
      <c r="F1043" s="57"/>
      <c r="G1043" s="80">
        <f>G1044+G1045</f>
        <v>0</v>
      </c>
      <c r="H1043" s="80">
        <f t="shared" ref="H1043:M1043" si="380">H1044+H1045</f>
        <v>0</v>
      </c>
      <c r="I1043" s="80">
        <f t="shared" si="380"/>
        <v>0</v>
      </c>
      <c r="J1043" s="80">
        <f t="shared" si="380"/>
        <v>0</v>
      </c>
      <c r="K1043" s="80">
        <f t="shared" si="380"/>
        <v>0</v>
      </c>
      <c r="L1043" s="80">
        <f t="shared" si="380"/>
        <v>48000</v>
      </c>
      <c r="M1043" s="80">
        <f t="shared" si="380"/>
        <v>45000</v>
      </c>
      <c r="N1043" s="604"/>
      <c r="O1043" s="610"/>
    </row>
    <row r="1044" spans="1:61" ht="24.95" customHeight="1">
      <c r="A1044" s="945"/>
      <c r="B1044" s="57" t="s">
        <v>10</v>
      </c>
      <c r="C1044" s="57"/>
      <c r="D1044" s="57"/>
      <c r="E1044" s="57"/>
      <c r="F1044" s="57"/>
      <c r="G1044" s="80">
        <f>G1048+G1051+G1054</f>
        <v>0</v>
      </c>
      <c r="H1044" s="80">
        <f t="shared" ref="H1044:M1044" si="381">H1048+H1051+H1054</f>
        <v>0</v>
      </c>
      <c r="I1044" s="80">
        <f t="shared" si="381"/>
        <v>0</v>
      </c>
      <c r="J1044" s="80">
        <f t="shared" si="381"/>
        <v>0</v>
      </c>
      <c r="K1044" s="80">
        <f t="shared" si="381"/>
        <v>0</v>
      </c>
      <c r="L1044" s="80">
        <f t="shared" si="381"/>
        <v>48000</v>
      </c>
      <c r="M1044" s="80">
        <f t="shared" si="381"/>
        <v>45000</v>
      </c>
      <c r="N1044" s="604"/>
      <c r="O1044" s="610"/>
    </row>
    <row r="1045" spans="1:61" s="44" customFormat="1" ht="24.95" customHeight="1">
      <c r="A1045" s="945"/>
      <c r="B1045" s="57" t="s">
        <v>495</v>
      </c>
      <c r="C1045" s="57"/>
      <c r="D1045" s="57"/>
      <c r="E1045" s="57"/>
      <c r="F1045" s="57"/>
      <c r="G1045" s="80">
        <f>G1049+G1055</f>
        <v>0</v>
      </c>
      <c r="H1045" s="80">
        <f t="shared" ref="H1045:M1045" si="382">H1049+H1055</f>
        <v>0</v>
      </c>
      <c r="I1045" s="80">
        <f t="shared" si="382"/>
        <v>0</v>
      </c>
      <c r="J1045" s="80">
        <f t="shared" si="382"/>
        <v>0</v>
      </c>
      <c r="K1045" s="80">
        <f t="shared" si="382"/>
        <v>0</v>
      </c>
      <c r="L1045" s="80">
        <f t="shared" si="382"/>
        <v>0</v>
      </c>
      <c r="M1045" s="80">
        <f t="shared" si="382"/>
        <v>0</v>
      </c>
      <c r="N1045" s="604"/>
      <c r="O1045" s="610"/>
      <c r="AJ1045" s="91"/>
      <c r="AK1045" s="91"/>
      <c r="AL1045" s="91"/>
      <c r="AM1045" s="91"/>
      <c r="AN1045" s="91"/>
      <c r="AO1045" s="91"/>
      <c r="AP1045" s="91"/>
      <c r="AQ1045" s="91"/>
      <c r="AR1045" s="91"/>
      <c r="AS1045" s="91"/>
      <c r="AT1045" s="91"/>
      <c r="AU1045" s="91"/>
      <c r="AV1045" s="91"/>
      <c r="AW1045" s="91"/>
      <c r="AX1045" s="91"/>
      <c r="AY1045" s="91"/>
      <c r="AZ1045" s="91"/>
      <c r="BA1045" s="91"/>
      <c r="BB1045" s="91"/>
      <c r="BC1045" s="91"/>
      <c r="BD1045" s="91"/>
      <c r="BE1045" s="91"/>
      <c r="BF1045" s="91"/>
      <c r="BG1045" s="91"/>
      <c r="BH1045" s="91"/>
      <c r="BI1045" s="91"/>
    </row>
    <row r="1046" spans="1:61" s="44" customFormat="1" ht="24.95" hidden="1" customHeight="1">
      <c r="A1046" s="932" t="s">
        <v>160</v>
      </c>
      <c r="B1046" s="546" t="s">
        <v>89</v>
      </c>
      <c r="C1046" s="546">
        <v>176</v>
      </c>
      <c r="D1046" s="546" t="s">
        <v>15</v>
      </c>
      <c r="E1046" s="546">
        <v>6100404</v>
      </c>
      <c r="F1046" s="546">
        <v>244</v>
      </c>
      <c r="G1046" s="81">
        <f>K1046</f>
        <v>0</v>
      </c>
      <c r="H1046" s="81"/>
      <c r="I1046" s="81"/>
      <c r="J1046" s="81"/>
      <c r="K1046" s="81">
        <v>0</v>
      </c>
      <c r="L1046" s="81">
        <v>0</v>
      </c>
      <c r="M1046" s="81"/>
      <c r="N1046" s="604"/>
      <c r="O1046" s="944" t="s">
        <v>852</v>
      </c>
      <c r="AJ1046" s="91"/>
      <c r="AK1046" s="91"/>
      <c r="AL1046" s="91"/>
      <c r="AM1046" s="91"/>
      <c r="AN1046" s="91"/>
      <c r="AO1046" s="91"/>
      <c r="AP1046" s="91"/>
      <c r="AQ1046" s="91"/>
      <c r="AR1046" s="91"/>
      <c r="AS1046" s="91"/>
      <c r="AT1046" s="91"/>
      <c r="AU1046" s="91"/>
      <c r="AV1046" s="91"/>
      <c r="AW1046" s="91"/>
      <c r="AX1046" s="91"/>
      <c r="AY1046" s="91"/>
      <c r="AZ1046" s="91"/>
      <c r="BA1046" s="91"/>
      <c r="BB1046" s="91"/>
      <c r="BC1046" s="91"/>
      <c r="BD1046" s="91"/>
      <c r="BE1046" s="91"/>
      <c r="BF1046" s="91"/>
      <c r="BG1046" s="91"/>
      <c r="BH1046" s="91"/>
      <c r="BI1046" s="91"/>
    </row>
    <row r="1047" spans="1:61" s="44" customFormat="1" ht="24.95" hidden="1" customHeight="1">
      <c r="A1047" s="932"/>
      <c r="B1047" s="546" t="s">
        <v>25</v>
      </c>
      <c r="C1047" s="546"/>
      <c r="D1047" s="546"/>
      <c r="E1047" s="546"/>
      <c r="F1047" s="546"/>
      <c r="G1047" s="81">
        <f t="shared" ref="G1047:G1049" si="383">K1047</f>
        <v>0</v>
      </c>
      <c r="H1047" s="81"/>
      <c r="I1047" s="81"/>
      <c r="J1047" s="81"/>
      <c r="K1047" s="81">
        <f>K1048+K1049</f>
        <v>0</v>
      </c>
      <c r="L1047" s="81">
        <f t="shared" ref="L1047:M1047" si="384">L1048+L1049</f>
        <v>0</v>
      </c>
      <c r="M1047" s="81">
        <f t="shared" si="384"/>
        <v>0</v>
      </c>
      <c r="N1047" s="604"/>
      <c r="O1047" s="944"/>
      <c r="AJ1047" s="91"/>
      <c r="AK1047" s="91"/>
      <c r="AL1047" s="91"/>
      <c r="AM1047" s="91"/>
      <c r="AN1047" s="91"/>
      <c r="AO1047" s="91"/>
      <c r="AP1047" s="91"/>
      <c r="AQ1047" s="91"/>
      <c r="AR1047" s="91"/>
      <c r="AS1047" s="91"/>
      <c r="AT1047" s="91"/>
      <c r="AU1047" s="91"/>
      <c r="AV1047" s="91"/>
      <c r="AW1047" s="91"/>
      <c r="AX1047" s="91"/>
      <c r="AY1047" s="91"/>
      <c r="AZ1047" s="91"/>
      <c r="BA1047" s="91"/>
      <c r="BB1047" s="91"/>
      <c r="BC1047" s="91"/>
      <c r="BD1047" s="91"/>
      <c r="BE1047" s="91"/>
      <c r="BF1047" s="91"/>
      <c r="BG1047" s="91"/>
      <c r="BH1047" s="91"/>
      <c r="BI1047" s="91"/>
    </row>
    <row r="1048" spans="1:61" s="44" customFormat="1" ht="24.95" hidden="1" customHeight="1">
      <c r="A1048" s="932"/>
      <c r="B1048" s="546" t="s">
        <v>10</v>
      </c>
      <c r="C1048" s="546"/>
      <c r="D1048" s="546"/>
      <c r="E1048" s="546"/>
      <c r="F1048" s="546"/>
      <c r="G1048" s="81">
        <f t="shared" si="383"/>
        <v>0</v>
      </c>
      <c r="H1048" s="81"/>
      <c r="I1048" s="81"/>
      <c r="J1048" s="81"/>
      <c r="K1048" s="81">
        <v>0</v>
      </c>
      <c r="L1048" s="81">
        <v>0</v>
      </c>
      <c r="M1048" s="81"/>
      <c r="N1048" s="604"/>
      <c r="O1048" s="944"/>
      <c r="AJ1048" s="91"/>
      <c r="AK1048" s="91"/>
      <c r="AL1048" s="91"/>
      <c r="AM1048" s="91"/>
      <c r="AN1048" s="91"/>
      <c r="AO1048" s="91"/>
      <c r="AP1048" s="91"/>
      <c r="AQ1048" s="91"/>
      <c r="AR1048" s="91"/>
      <c r="AS1048" s="91"/>
      <c r="AT1048" s="91"/>
      <c r="AU1048" s="91"/>
      <c r="AV1048" s="91"/>
      <c r="AW1048" s="91"/>
      <c r="AX1048" s="91"/>
      <c r="AY1048" s="91"/>
      <c r="AZ1048" s="91"/>
      <c r="BA1048" s="91"/>
      <c r="BB1048" s="91"/>
      <c r="BC1048" s="91"/>
      <c r="BD1048" s="91"/>
      <c r="BE1048" s="91"/>
      <c r="BF1048" s="91"/>
      <c r="BG1048" s="91"/>
      <c r="BH1048" s="91"/>
      <c r="BI1048" s="91"/>
    </row>
    <row r="1049" spans="1:61" ht="24.95" hidden="1" customHeight="1">
      <c r="A1049" s="932"/>
      <c r="B1049" s="546" t="s">
        <v>495</v>
      </c>
      <c r="C1049" s="546"/>
      <c r="D1049" s="546"/>
      <c r="E1049" s="546"/>
      <c r="F1049" s="546"/>
      <c r="G1049" s="81">
        <f t="shared" si="383"/>
        <v>0</v>
      </c>
      <c r="H1049" s="81"/>
      <c r="I1049" s="81"/>
      <c r="J1049" s="81"/>
      <c r="K1049" s="81">
        <v>0</v>
      </c>
      <c r="L1049" s="81"/>
      <c r="M1049" s="81"/>
      <c r="N1049" s="604"/>
      <c r="O1049" s="944"/>
    </row>
    <row r="1050" spans="1:61" ht="24.95" customHeight="1">
      <c r="A1050" s="926" t="s">
        <v>613</v>
      </c>
      <c r="B1050" s="546" t="s">
        <v>89</v>
      </c>
      <c r="C1050" s="546"/>
      <c r="D1050" s="546"/>
      <c r="E1050" s="546"/>
      <c r="F1050" s="546"/>
      <c r="G1050" s="81"/>
      <c r="H1050" s="81"/>
      <c r="I1050" s="81"/>
      <c r="J1050" s="81"/>
      <c r="K1050" s="81"/>
      <c r="L1050" s="81">
        <v>2</v>
      </c>
      <c r="M1050" s="81">
        <v>0</v>
      </c>
      <c r="N1050" s="604"/>
      <c r="O1050" s="933" t="s">
        <v>614</v>
      </c>
    </row>
    <row r="1051" spans="1:61" ht="24.95" customHeight="1">
      <c r="A1051" s="928"/>
      <c r="B1051" s="546" t="s">
        <v>246</v>
      </c>
      <c r="C1051" s="546"/>
      <c r="D1051" s="546"/>
      <c r="E1051" s="546"/>
      <c r="F1051" s="546"/>
      <c r="G1051" s="81"/>
      <c r="H1051" s="81"/>
      <c r="I1051" s="81"/>
      <c r="J1051" s="81"/>
      <c r="K1051" s="81"/>
      <c r="L1051" s="81">
        <v>24000</v>
      </c>
      <c r="M1051" s="81">
        <v>0</v>
      </c>
      <c r="N1051" s="604"/>
      <c r="O1051" s="934"/>
    </row>
    <row r="1052" spans="1:61" ht="24.95" customHeight="1">
      <c r="A1052" s="926" t="s">
        <v>1000</v>
      </c>
      <c r="B1052" s="546" t="s">
        <v>89</v>
      </c>
      <c r="C1052" s="546"/>
      <c r="D1052" s="546"/>
      <c r="E1052" s="546"/>
      <c r="F1052" s="546"/>
      <c r="G1052" s="81">
        <f>K1052</f>
        <v>0</v>
      </c>
      <c r="H1052" s="81"/>
      <c r="I1052" s="81"/>
      <c r="J1052" s="81"/>
      <c r="K1052" s="81">
        <v>0</v>
      </c>
      <c r="L1052" s="81">
        <v>2</v>
      </c>
      <c r="M1052" s="81">
        <v>3</v>
      </c>
      <c r="N1052" s="604"/>
      <c r="O1052" s="933" t="s">
        <v>971</v>
      </c>
    </row>
    <row r="1053" spans="1:61" ht="24.95" customHeight="1">
      <c r="A1053" s="927"/>
      <c r="B1053" s="546" t="s">
        <v>25</v>
      </c>
      <c r="C1053" s="546"/>
      <c r="D1053" s="546"/>
      <c r="E1053" s="546"/>
      <c r="F1053" s="546"/>
      <c r="G1053" s="81">
        <f t="shared" ref="G1053:G1055" si="385">K1053</f>
        <v>0</v>
      </c>
      <c r="H1053" s="81"/>
      <c r="I1053" s="81"/>
      <c r="J1053" s="81"/>
      <c r="K1053" s="81">
        <f>K1054+K1055</f>
        <v>0</v>
      </c>
      <c r="L1053" s="81">
        <f>L1054</f>
        <v>24000</v>
      </c>
      <c r="M1053" s="81">
        <f>M1054+M1055</f>
        <v>45000</v>
      </c>
      <c r="N1053" s="604"/>
      <c r="O1053" s="946"/>
    </row>
    <row r="1054" spans="1:61" ht="24.95" customHeight="1">
      <c r="A1054" s="927"/>
      <c r="B1054" s="546" t="s">
        <v>10</v>
      </c>
      <c r="C1054" s="546"/>
      <c r="D1054" s="546"/>
      <c r="E1054" s="546"/>
      <c r="F1054" s="546"/>
      <c r="G1054" s="81">
        <f t="shared" si="385"/>
        <v>0</v>
      </c>
      <c r="H1054" s="81"/>
      <c r="I1054" s="81"/>
      <c r="J1054" s="81"/>
      <c r="K1054" s="81"/>
      <c r="L1054" s="81">
        <v>24000</v>
      </c>
      <c r="M1054" s="81">
        <v>45000</v>
      </c>
      <c r="N1054" s="604"/>
      <c r="O1054" s="946"/>
    </row>
    <row r="1055" spans="1:61" ht="24.95" customHeight="1">
      <c r="A1055" s="928"/>
      <c r="B1055" s="546" t="s">
        <v>495</v>
      </c>
      <c r="C1055" s="546"/>
      <c r="D1055" s="546"/>
      <c r="E1055" s="546"/>
      <c r="F1055" s="546"/>
      <c r="G1055" s="81">
        <f t="shared" si="385"/>
        <v>0</v>
      </c>
      <c r="H1055" s="81"/>
      <c r="I1055" s="81"/>
      <c r="J1055" s="81"/>
      <c r="K1055" s="81">
        <v>0</v>
      </c>
      <c r="L1055" s="81"/>
      <c r="M1055" s="81"/>
      <c r="N1055" s="604"/>
      <c r="O1055" s="934"/>
    </row>
    <row r="1056" spans="1:61" ht="24.6" customHeight="1">
      <c r="A1056" s="887" t="s">
        <v>161</v>
      </c>
      <c r="B1056" s="57" t="s">
        <v>89</v>
      </c>
      <c r="C1056" s="57"/>
      <c r="D1056" s="57"/>
      <c r="E1056" s="57"/>
      <c r="F1056" s="57"/>
      <c r="G1056" s="80">
        <f>G1060+G1062+G1066</f>
        <v>0</v>
      </c>
      <c r="H1056" s="80">
        <f t="shared" ref="H1056:M1056" si="386">H1060+H1062+H1066</f>
        <v>0</v>
      </c>
      <c r="I1056" s="80">
        <f t="shared" si="386"/>
        <v>0</v>
      </c>
      <c r="J1056" s="80">
        <f t="shared" si="386"/>
        <v>0</v>
      </c>
      <c r="K1056" s="80">
        <f t="shared" si="386"/>
        <v>0</v>
      </c>
      <c r="L1056" s="80">
        <f t="shared" si="386"/>
        <v>7</v>
      </c>
      <c r="M1056" s="80">
        <f t="shared" si="386"/>
        <v>13</v>
      </c>
      <c r="N1056" s="604"/>
      <c r="O1056" s="610"/>
    </row>
    <row r="1057" spans="1:61" s="44" customFormat="1" ht="24.6" customHeight="1">
      <c r="A1057" s="888"/>
      <c r="B1057" s="57" t="s">
        <v>25</v>
      </c>
      <c r="C1057" s="57"/>
      <c r="D1057" s="57"/>
      <c r="E1057" s="57"/>
      <c r="F1057" s="57"/>
      <c r="G1057" s="80">
        <f>G1058+G1059</f>
        <v>0</v>
      </c>
      <c r="H1057" s="80">
        <f t="shared" ref="H1057:M1057" si="387">H1058+H1059</f>
        <v>0</v>
      </c>
      <c r="I1057" s="80">
        <f t="shared" si="387"/>
        <v>0</v>
      </c>
      <c r="J1057" s="80">
        <f t="shared" si="387"/>
        <v>0</v>
      </c>
      <c r="K1057" s="80">
        <f t="shared" si="387"/>
        <v>0</v>
      </c>
      <c r="L1057" s="80">
        <f t="shared" si="387"/>
        <v>77907</v>
      </c>
      <c r="M1057" s="80">
        <f t="shared" si="387"/>
        <v>160000</v>
      </c>
      <c r="N1057" s="604"/>
      <c r="O1057" s="610"/>
      <c r="AJ1057" s="91"/>
      <c r="AK1057" s="91"/>
      <c r="AL1057" s="91"/>
      <c r="AM1057" s="91"/>
      <c r="AN1057" s="91"/>
      <c r="AO1057" s="91"/>
      <c r="AP1057" s="91"/>
      <c r="AQ1057" s="91"/>
      <c r="AR1057" s="91"/>
      <c r="AS1057" s="91"/>
      <c r="AT1057" s="91"/>
      <c r="AU1057" s="91"/>
      <c r="AV1057" s="91"/>
      <c r="AW1057" s="91"/>
      <c r="AX1057" s="91"/>
      <c r="AY1057" s="91"/>
      <c r="AZ1057" s="91"/>
      <c r="BA1057" s="91"/>
      <c r="BB1057" s="91"/>
      <c r="BC1057" s="91"/>
      <c r="BD1057" s="91"/>
      <c r="BE1057" s="91"/>
      <c r="BF1057" s="91"/>
      <c r="BG1057" s="91"/>
      <c r="BH1057" s="91"/>
      <c r="BI1057" s="91"/>
    </row>
    <row r="1058" spans="1:61" s="44" customFormat="1" ht="24.6" customHeight="1">
      <c r="A1058" s="888"/>
      <c r="B1058" s="57" t="s">
        <v>10</v>
      </c>
      <c r="C1058" s="57"/>
      <c r="D1058" s="57"/>
      <c r="E1058" s="57"/>
      <c r="F1058" s="57"/>
      <c r="G1058" s="80">
        <f>G1061+G1064+G1067</f>
        <v>0</v>
      </c>
      <c r="H1058" s="80">
        <f t="shared" ref="H1058:M1058" si="388">H1061+H1064+H1067</f>
        <v>0</v>
      </c>
      <c r="I1058" s="80">
        <f t="shared" si="388"/>
        <v>0</v>
      </c>
      <c r="J1058" s="80">
        <f t="shared" si="388"/>
        <v>0</v>
      </c>
      <c r="K1058" s="80">
        <f t="shared" si="388"/>
        <v>0</v>
      </c>
      <c r="L1058" s="80">
        <f t="shared" si="388"/>
        <v>77907</v>
      </c>
      <c r="M1058" s="80">
        <f t="shared" si="388"/>
        <v>160000</v>
      </c>
      <c r="N1058" s="604"/>
      <c r="O1058" s="610"/>
      <c r="AJ1058" s="91"/>
      <c r="AK1058" s="91"/>
      <c r="AL1058" s="91"/>
      <c r="AM1058" s="91"/>
      <c r="AN1058" s="91"/>
      <c r="AO1058" s="91"/>
      <c r="AP1058" s="91"/>
      <c r="AQ1058" s="91"/>
      <c r="AR1058" s="91"/>
      <c r="AS1058" s="91"/>
      <c r="AT1058" s="91"/>
      <c r="AU1058" s="91"/>
      <c r="AV1058" s="91"/>
      <c r="AW1058" s="91"/>
      <c r="AX1058" s="91"/>
      <c r="AY1058" s="91"/>
      <c r="AZ1058" s="91"/>
      <c r="BA1058" s="91"/>
      <c r="BB1058" s="91"/>
      <c r="BC1058" s="91"/>
      <c r="BD1058" s="91"/>
      <c r="BE1058" s="91"/>
      <c r="BF1058" s="91"/>
      <c r="BG1058" s="91"/>
      <c r="BH1058" s="91"/>
      <c r="BI1058" s="91"/>
    </row>
    <row r="1059" spans="1:61" s="44" customFormat="1" ht="24.6" customHeight="1">
      <c r="A1059" s="889"/>
      <c r="B1059" s="57" t="s">
        <v>495</v>
      </c>
      <c r="C1059" s="57"/>
      <c r="D1059" s="57"/>
      <c r="E1059" s="57"/>
      <c r="F1059" s="57"/>
      <c r="G1059" s="80">
        <f>G1065</f>
        <v>0</v>
      </c>
      <c r="H1059" s="80">
        <f t="shared" ref="H1059:M1059" si="389">H1065</f>
        <v>0</v>
      </c>
      <c r="I1059" s="80">
        <f t="shared" si="389"/>
        <v>0</v>
      </c>
      <c r="J1059" s="80">
        <f t="shared" si="389"/>
        <v>0</v>
      </c>
      <c r="K1059" s="80">
        <f t="shared" si="389"/>
        <v>0</v>
      </c>
      <c r="L1059" s="80">
        <f t="shared" si="389"/>
        <v>0</v>
      </c>
      <c r="M1059" s="80">
        <f t="shared" si="389"/>
        <v>0</v>
      </c>
      <c r="N1059" s="604"/>
      <c r="O1059" s="610"/>
      <c r="AJ1059" s="91"/>
      <c r="AK1059" s="91"/>
      <c r="AL1059" s="91"/>
      <c r="AM1059" s="91"/>
      <c r="AN1059" s="91"/>
      <c r="AO1059" s="91"/>
      <c r="AP1059" s="91"/>
      <c r="AQ1059" s="91"/>
      <c r="AR1059" s="91"/>
      <c r="AS1059" s="91"/>
      <c r="AT1059" s="91"/>
      <c r="AU1059" s="91"/>
      <c r="AV1059" s="91"/>
      <c r="AW1059" s="91"/>
      <c r="AX1059" s="91"/>
      <c r="AY1059" s="91"/>
      <c r="AZ1059" s="91"/>
      <c r="BA1059" s="91"/>
      <c r="BB1059" s="91"/>
      <c r="BC1059" s="91"/>
      <c r="BD1059" s="91"/>
      <c r="BE1059" s="91"/>
      <c r="BF1059" s="91"/>
      <c r="BG1059" s="91"/>
      <c r="BH1059" s="91"/>
      <c r="BI1059" s="91"/>
    </row>
    <row r="1060" spans="1:61" s="44" customFormat="1" ht="24" customHeight="1">
      <c r="A1060" s="932" t="s">
        <v>156</v>
      </c>
      <c r="B1060" s="546" t="s">
        <v>89</v>
      </c>
      <c r="C1060" s="546">
        <v>176</v>
      </c>
      <c r="D1060" s="546" t="s">
        <v>15</v>
      </c>
      <c r="E1060" s="546">
        <v>6100404</v>
      </c>
      <c r="F1060" s="546">
        <v>244</v>
      </c>
      <c r="G1060" s="81">
        <f>J1060</f>
        <v>0</v>
      </c>
      <c r="H1060" s="81"/>
      <c r="I1060" s="81"/>
      <c r="J1060" s="81"/>
      <c r="K1060" s="81"/>
      <c r="L1060" s="81">
        <v>3</v>
      </c>
      <c r="M1060" s="81">
        <v>6</v>
      </c>
      <c r="N1060" s="604"/>
      <c r="O1060" s="944" t="s">
        <v>617</v>
      </c>
      <c r="AJ1060" s="91"/>
      <c r="AK1060" s="91"/>
      <c r="AL1060" s="91"/>
      <c r="AM1060" s="91"/>
      <c r="AN1060" s="91"/>
      <c r="AO1060" s="91"/>
      <c r="AP1060" s="91"/>
      <c r="AQ1060" s="91"/>
      <c r="AR1060" s="91"/>
      <c r="AS1060" s="91"/>
      <c r="AT1060" s="91"/>
      <c r="AU1060" s="91"/>
      <c r="AV1060" s="91"/>
      <c r="AW1060" s="91"/>
      <c r="AX1060" s="91"/>
      <c r="AY1060" s="91"/>
      <c r="AZ1060" s="91"/>
      <c r="BA1060" s="91"/>
      <c r="BB1060" s="91"/>
      <c r="BC1060" s="91"/>
      <c r="BD1060" s="91"/>
      <c r="BE1060" s="91"/>
      <c r="BF1060" s="91"/>
      <c r="BG1060" s="91"/>
      <c r="BH1060" s="91"/>
      <c r="BI1060" s="91"/>
    </row>
    <row r="1061" spans="1:61" ht="24.6" customHeight="1">
      <c r="A1061" s="932"/>
      <c r="B1061" s="546" t="s">
        <v>246</v>
      </c>
      <c r="C1061" s="546"/>
      <c r="D1061" s="546"/>
      <c r="E1061" s="546"/>
      <c r="F1061" s="546"/>
      <c r="G1061" s="81">
        <f>J1061</f>
        <v>0</v>
      </c>
      <c r="H1061" s="81"/>
      <c r="I1061" s="81"/>
      <c r="J1061" s="81"/>
      <c r="K1061" s="81"/>
      <c r="L1061" s="81">
        <v>33907</v>
      </c>
      <c r="M1061" s="81">
        <v>90000</v>
      </c>
      <c r="N1061" s="604"/>
      <c r="O1061" s="944"/>
    </row>
    <row r="1062" spans="1:61" ht="24.6" hidden="1" customHeight="1">
      <c r="A1062" s="926" t="s">
        <v>615</v>
      </c>
      <c r="B1062" s="546" t="s">
        <v>89</v>
      </c>
      <c r="C1062" s="546"/>
      <c r="D1062" s="546"/>
      <c r="E1062" s="546"/>
      <c r="F1062" s="546"/>
      <c r="G1062" s="81">
        <f>K1062</f>
        <v>0</v>
      </c>
      <c r="H1062" s="81"/>
      <c r="I1062" s="81"/>
      <c r="J1062" s="81"/>
      <c r="K1062" s="81">
        <v>0</v>
      </c>
      <c r="L1062" s="81">
        <v>0</v>
      </c>
      <c r="M1062" s="81"/>
      <c r="N1062" s="604"/>
      <c r="O1062" s="933" t="s">
        <v>617</v>
      </c>
    </row>
    <row r="1063" spans="1:61" ht="24.6" hidden="1" customHeight="1">
      <c r="A1063" s="927"/>
      <c r="B1063" s="546" t="s">
        <v>25</v>
      </c>
      <c r="C1063" s="546"/>
      <c r="D1063" s="546"/>
      <c r="E1063" s="546"/>
      <c r="F1063" s="546"/>
      <c r="G1063" s="81">
        <f t="shared" ref="G1063:G1065" si="390">K1063</f>
        <v>0</v>
      </c>
      <c r="H1063" s="81"/>
      <c r="I1063" s="81"/>
      <c r="J1063" s="81"/>
      <c r="K1063" s="81">
        <f>K1064+K1065</f>
        <v>0</v>
      </c>
      <c r="L1063" s="81">
        <f t="shared" ref="L1063:M1063" si="391">L1064+L1065</f>
        <v>0</v>
      </c>
      <c r="M1063" s="81">
        <f t="shared" si="391"/>
        <v>0</v>
      </c>
      <c r="N1063" s="604"/>
      <c r="O1063" s="946"/>
    </row>
    <row r="1064" spans="1:61" ht="24.6" hidden="1" customHeight="1">
      <c r="A1064" s="927"/>
      <c r="B1064" s="546" t="s">
        <v>10</v>
      </c>
      <c r="C1064" s="546"/>
      <c r="D1064" s="546"/>
      <c r="E1064" s="546"/>
      <c r="F1064" s="546"/>
      <c r="G1064" s="81">
        <f t="shared" si="390"/>
        <v>0</v>
      </c>
      <c r="H1064" s="81"/>
      <c r="I1064" s="81"/>
      <c r="J1064" s="81"/>
      <c r="K1064" s="81">
        <v>0</v>
      </c>
      <c r="L1064" s="81">
        <v>0</v>
      </c>
      <c r="M1064" s="81"/>
      <c r="N1064" s="604"/>
      <c r="O1064" s="946"/>
    </row>
    <row r="1065" spans="1:61" ht="24.6" hidden="1" customHeight="1">
      <c r="A1065" s="928"/>
      <c r="B1065" s="546" t="s">
        <v>495</v>
      </c>
      <c r="C1065" s="546"/>
      <c r="D1065" s="546"/>
      <c r="E1065" s="546"/>
      <c r="F1065" s="546"/>
      <c r="G1065" s="81">
        <f t="shared" si="390"/>
        <v>0</v>
      </c>
      <c r="H1065" s="81"/>
      <c r="I1065" s="81"/>
      <c r="J1065" s="81"/>
      <c r="K1065" s="81"/>
      <c r="L1065" s="81">
        <v>0</v>
      </c>
      <c r="M1065" s="81"/>
      <c r="N1065" s="604"/>
      <c r="O1065" s="934"/>
    </row>
    <row r="1066" spans="1:61" ht="24.6" customHeight="1">
      <c r="A1066" s="926" t="s">
        <v>616</v>
      </c>
      <c r="B1066" s="546" t="s">
        <v>89</v>
      </c>
      <c r="C1066" s="546"/>
      <c r="D1066" s="546"/>
      <c r="E1066" s="546"/>
      <c r="F1066" s="546"/>
      <c r="G1066" s="81"/>
      <c r="H1066" s="81"/>
      <c r="I1066" s="81"/>
      <c r="J1066" s="81"/>
      <c r="K1066" s="81"/>
      <c r="L1066" s="81">
        <v>4</v>
      </c>
      <c r="M1066" s="81">
        <v>7</v>
      </c>
      <c r="N1066" s="604"/>
      <c r="O1066" s="933" t="s">
        <v>972</v>
      </c>
    </row>
    <row r="1067" spans="1:61" ht="24.6" customHeight="1">
      <c r="A1067" s="928"/>
      <c r="B1067" s="546" t="s">
        <v>246</v>
      </c>
      <c r="C1067" s="546"/>
      <c r="D1067" s="546"/>
      <c r="E1067" s="546"/>
      <c r="F1067" s="546"/>
      <c r="G1067" s="81"/>
      <c r="H1067" s="81"/>
      <c r="I1067" s="81"/>
      <c r="J1067" s="81"/>
      <c r="K1067" s="81"/>
      <c r="L1067" s="81">
        <v>44000</v>
      </c>
      <c r="M1067" s="81">
        <v>70000</v>
      </c>
      <c r="N1067" s="604"/>
      <c r="O1067" s="934"/>
    </row>
    <row r="1068" spans="1:61" ht="24.6" customHeight="1">
      <c r="A1068" s="945" t="s">
        <v>105</v>
      </c>
      <c r="B1068" s="57" t="s">
        <v>89</v>
      </c>
      <c r="C1068" s="57"/>
      <c r="D1068" s="57"/>
      <c r="E1068" s="57"/>
      <c r="F1068" s="57"/>
      <c r="G1068" s="80">
        <f t="shared" ref="G1068:M1069" si="392">G1070+G1072</f>
        <v>8</v>
      </c>
      <c r="H1068" s="80">
        <f t="shared" si="392"/>
        <v>0</v>
      </c>
      <c r="I1068" s="80">
        <f t="shared" si="392"/>
        <v>0</v>
      </c>
      <c r="J1068" s="80">
        <f t="shared" si="392"/>
        <v>0</v>
      </c>
      <c r="K1068" s="80">
        <f t="shared" si="392"/>
        <v>8</v>
      </c>
      <c r="L1068" s="80">
        <f t="shared" si="392"/>
        <v>7.5</v>
      </c>
      <c r="M1068" s="80">
        <f t="shared" si="392"/>
        <v>8</v>
      </c>
      <c r="N1068" s="604"/>
      <c r="O1068" s="610"/>
    </row>
    <row r="1069" spans="1:61" ht="24.95" customHeight="1">
      <c r="A1069" s="945"/>
      <c r="B1069" s="57" t="s">
        <v>246</v>
      </c>
      <c r="C1069" s="57"/>
      <c r="D1069" s="57"/>
      <c r="E1069" s="57"/>
      <c r="F1069" s="57"/>
      <c r="G1069" s="80">
        <f t="shared" si="392"/>
        <v>136275.20000000001</v>
      </c>
      <c r="H1069" s="80">
        <f t="shared" si="392"/>
        <v>0</v>
      </c>
      <c r="I1069" s="80">
        <f t="shared" si="392"/>
        <v>0</v>
      </c>
      <c r="J1069" s="80">
        <f t="shared" si="392"/>
        <v>0</v>
      </c>
      <c r="K1069" s="80">
        <f t="shared" si="392"/>
        <v>136275.20000000001</v>
      </c>
      <c r="L1069" s="80">
        <f t="shared" si="392"/>
        <v>90000</v>
      </c>
      <c r="M1069" s="80">
        <f t="shared" si="392"/>
        <v>130000</v>
      </c>
      <c r="N1069" s="604"/>
      <c r="O1069" s="610"/>
    </row>
    <row r="1070" spans="1:61" ht="24.95" customHeight="1">
      <c r="A1070" s="932" t="s">
        <v>1106</v>
      </c>
      <c r="B1070" s="546" t="s">
        <v>89</v>
      </c>
      <c r="C1070" s="546">
        <v>176</v>
      </c>
      <c r="D1070" s="546" t="s">
        <v>15</v>
      </c>
      <c r="E1070" s="546">
        <v>6100404</v>
      </c>
      <c r="F1070" s="546">
        <v>244</v>
      </c>
      <c r="G1070" s="81">
        <f>K1070</f>
        <v>8</v>
      </c>
      <c r="H1070" s="81"/>
      <c r="I1070" s="81"/>
      <c r="J1070" s="81"/>
      <c r="K1070" s="81">
        <v>8</v>
      </c>
      <c r="L1070" s="81">
        <v>0</v>
      </c>
      <c r="M1070" s="81">
        <v>8</v>
      </c>
      <c r="N1070" s="604"/>
      <c r="O1070" s="933" t="s">
        <v>973</v>
      </c>
    </row>
    <row r="1071" spans="1:61" s="44" customFormat="1" ht="24.95" customHeight="1">
      <c r="A1071" s="932"/>
      <c r="B1071" s="546" t="s">
        <v>246</v>
      </c>
      <c r="C1071" s="546"/>
      <c r="D1071" s="546"/>
      <c r="E1071" s="546"/>
      <c r="F1071" s="546"/>
      <c r="G1071" s="81">
        <f>K1071</f>
        <v>136275.20000000001</v>
      </c>
      <c r="H1071" s="81"/>
      <c r="I1071" s="81"/>
      <c r="J1071" s="81"/>
      <c r="K1071" s="81">
        <v>136275.20000000001</v>
      </c>
      <c r="L1071" s="81">
        <v>0</v>
      </c>
      <c r="M1071" s="81">
        <v>130000</v>
      </c>
      <c r="N1071" s="604"/>
      <c r="O1071" s="934"/>
      <c r="AJ1071" s="91"/>
      <c r="AK1071" s="91"/>
      <c r="AL1071" s="91"/>
      <c r="AM1071" s="91"/>
      <c r="AN1071" s="91"/>
      <c r="AO1071" s="91"/>
      <c r="AP1071" s="91"/>
      <c r="AQ1071" s="91"/>
      <c r="AR1071" s="91"/>
      <c r="AS1071" s="91"/>
      <c r="AT1071" s="91"/>
      <c r="AU1071" s="91"/>
      <c r="AV1071" s="91"/>
      <c r="AW1071" s="91"/>
      <c r="AX1071" s="91"/>
      <c r="AY1071" s="91"/>
      <c r="AZ1071" s="91"/>
      <c r="BA1071" s="91"/>
      <c r="BB1071" s="91"/>
      <c r="BC1071" s="91"/>
      <c r="BD1071" s="91"/>
      <c r="BE1071" s="91"/>
      <c r="BF1071" s="91"/>
      <c r="BG1071" s="91"/>
      <c r="BH1071" s="91"/>
      <c r="BI1071" s="91"/>
    </row>
    <row r="1072" spans="1:61" s="44" customFormat="1" ht="24.95" customHeight="1">
      <c r="A1072" s="932" t="s">
        <v>618</v>
      </c>
      <c r="B1072" s="546" t="s">
        <v>89</v>
      </c>
      <c r="C1072" s="546">
        <v>176</v>
      </c>
      <c r="D1072" s="546" t="s">
        <v>15</v>
      </c>
      <c r="E1072" s="546">
        <v>6100404</v>
      </c>
      <c r="F1072" s="546">
        <v>244</v>
      </c>
      <c r="G1072" s="81">
        <f>K1072</f>
        <v>0</v>
      </c>
      <c r="H1072" s="81"/>
      <c r="I1072" s="81"/>
      <c r="J1072" s="81"/>
      <c r="K1072" s="81"/>
      <c r="L1072" s="81">
        <v>7.5</v>
      </c>
      <c r="M1072" s="81">
        <v>0</v>
      </c>
      <c r="N1072" s="604"/>
      <c r="O1072" s="944" t="s">
        <v>619</v>
      </c>
      <c r="AJ1072" s="91"/>
      <c r="AK1072" s="91"/>
      <c r="AL1072" s="91"/>
      <c r="AM1072" s="91"/>
      <c r="AN1072" s="91"/>
      <c r="AO1072" s="91"/>
      <c r="AP1072" s="91"/>
      <c r="AQ1072" s="91"/>
      <c r="AR1072" s="91"/>
      <c r="AS1072" s="91"/>
      <c r="AT1072" s="91"/>
      <c r="AU1072" s="91"/>
      <c r="AV1072" s="91"/>
      <c r="AW1072" s="91"/>
      <c r="AX1072" s="91"/>
      <c r="AY1072" s="91"/>
      <c r="AZ1072" s="91"/>
      <c r="BA1072" s="91"/>
      <c r="BB1072" s="91"/>
      <c r="BC1072" s="91"/>
      <c r="BD1072" s="91"/>
      <c r="BE1072" s="91"/>
      <c r="BF1072" s="91"/>
      <c r="BG1072" s="91"/>
      <c r="BH1072" s="91"/>
      <c r="BI1072" s="91"/>
    </row>
    <row r="1073" spans="1:15" ht="24.95" customHeight="1">
      <c r="A1073" s="932"/>
      <c r="B1073" s="546" t="s">
        <v>246</v>
      </c>
      <c r="C1073" s="546"/>
      <c r="D1073" s="546"/>
      <c r="E1073" s="546"/>
      <c r="F1073" s="546"/>
      <c r="G1073" s="81">
        <f>K1073</f>
        <v>0</v>
      </c>
      <c r="H1073" s="81"/>
      <c r="I1073" s="81"/>
      <c r="J1073" s="81"/>
      <c r="K1073" s="81"/>
      <c r="L1073" s="81">
        <v>90000</v>
      </c>
      <c r="M1073" s="81">
        <v>0</v>
      </c>
      <c r="N1073" s="604"/>
      <c r="O1073" s="944"/>
    </row>
    <row r="1074" spans="1:15" ht="24.95" customHeight="1">
      <c r="A1074" s="887" t="s">
        <v>106</v>
      </c>
      <c r="B1074" s="57" t="s">
        <v>89</v>
      </c>
      <c r="C1074" s="546"/>
      <c r="D1074" s="546"/>
      <c r="E1074" s="546"/>
      <c r="F1074" s="546"/>
      <c r="G1074" s="80">
        <f>G1078+G1080+G1084</f>
        <v>6</v>
      </c>
      <c r="H1074" s="80">
        <f t="shared" ref="H1074:M1074" si="393">H1078+H1080+H1084</f>
        <v>0</v>
      </c>
      <c r="I1074" s="80">
        <f t="shared" si="393"/>
        <v>0</v>
      </c>
      <c r="J1074" s="80">
        <f t="shared" si="393"/>
        <v>0</v>
      </c>
      <c r="K1074" s="80">
        <f t="shared" si="393"/>
        <v>6</v>
      </c>
      <c r="L1074" s="80">
        <f t="shared" si="393"/>
        <v>12</v>
      </c>
      <c r="M1074" s="80">
        <f t="shared" si="393"/>
        <v>6</v>
      </c>
      <c r="N1074" s="604"/>
      <c r="O1074" s="604"/>
    </row>
    <row r="1075" spans="1:15" ht="24.95" customHeight="1">
      <c r="A1075" s="888"/>
      <c r="B1075" s="57" t="s">
        <v>25</v>
      </c>
      <c r="C1075" s="546"/>
      <c r="D1075" s="546"/>
      <c r="E1075" s="546"/>
      <c r="F1075" s="546"/>
      <c r="G1075" s="80">
        <f>G1076+G1077</f>
        <v>68323.100000000006</v>
      </c>
      <c r="H1075" s="80">
        <f t="shared" ref="H1075:M1075" si="394">H1076+H1077</f>
        <v>0</v>
      </c>
      <c r="I1075" s="80">
        <f t="shared" si="394"/>
        <v>0</v>
      </c>
      <c r="J1075" s="80">
        <f t="shared" si="394"/>
        <v>0</v>
      </c>
      <c r="K1075" s="80">
        <f t="shared" si="394"/>
        <v>68323.100000000006</v>
      </c>
      <c r="L1075" s="80">
        <f t="shared" si="394"/>
        <v>148000</v>
      </c>
      <c r="M1075" s="80">
        <f t="shared" si="394"/>
        <v>90000</v>
      </c>
      <c r="N1075" s="604"/>
      <c r="O1075" s="604"/>
    </row>
    <row r="1076" spans="1:15" ht="24.95" customHeight="1">
      <c r="A1076" s="888"/>
      <c r="B1076" s="57" t="s">
        <v>10</v>
      </c>
      <c r="C1076" s="546"/>
      <c r="D1076" s="546"/>
      <c r="E1076" s="546"/>
      <c r="F1076" s="546"/>
      <c r="G1076" s="80">
        <f>G1079+G1082+G1085</f>
        <v>68323.100000000006</v>
      </c>
      <c r="H1076" s="80">
        <f t="shared" ref="H1076:M1076" si="395">H1079+H1082+H1085</f>
        <v>0</v>
      </c>
      <c r="I1076" s="80">
        <f t="shared" si="395"/>
        <v>0</v>
      </c>
      <c r="J1076" s="80">
        <f t="shared" si="395"/>
        <v>0</v>
      </c>
      <c r="K1076" s="80">
        <f t="shared" si="395"/>
        <v>68323.100000000006</v>
      </c>
      <c r="L1076" s="80">
        <f t="shared" si="395"/>
        <v>148000</v>
      </c>
      <c r="M1076" s="80">
        <f t="shared" si="395"/>
        <v>90000</v>
      </c>
      <c r="N1076" s="604"/>
      <c r="O1076" s="604"/>
    </row>
    <row r="1077" spans="1:15" ht="24.95" customHeight="1">
      <c r="A1077" s="889"/>
      <c r="B1077" s="57" t="s">
        <v>495</v>
      </c>
      <c r="C1077" s="546"/>
      <c r="D1077" s="546"/>
      <c r="E1077" s="546"/>
      <c r="F1077" s="546"/>
      <c r="G1077" s="80">
        <f>G1083</f>
        <v>0</v>
      </c>
      <c r="H1077" s="80">
        <f t="shared" ref="H1077:M1077" si="396">H1083</f>
        <v>0</v>
      </c>
      <c r="I1077" s="80">
        <f t="shared" si="396"/>
        <v>0</v>
      </c>
      <c r="J1077" s="80">
        <f t="shared" si="396"/>
        <v>0</v>
      </c>
      <c r="K1077" s="80">
        <f t="shared" si="396"/>
        <v>0</v>
      </c>
      <c r="L1077" s="80">
        <f t="shared" si="396"/>
        <v>0</v>
      </c>
      <c r="M1077" s="80">
        <f t="shared" si="396"/>
        <v>0</v>
      </c>
      <c r="N1077" s="604"/>
      <c r="O1077" s="604"/>
    </row>
    <row r="1078" spans="1:15" ht="24.95" customHeight="1">
      <c r="A1078" s="950" t="s">
        <v>1107</v>
      </c>
      <c r="B1078" s="546" t="s">
        <v>89</v>
      </c>
      <c r="C1078" s="546"/>
      <c r="D1078" s="546"/>
      <c r="E1078" s="546"/>
      <c r="F1078" s="546"/>
      <c r="G1078" s="81">
        <f>K1078</f>
        <v>6</v>
      </c>
      <c r="H1078" s="81"/>
      <c r="I1078" s="81"/>
      <c r="J1078" s="81"/>
      <c r="K1078" s="81">
        <v>6</v>
      </c>
      <c r="L1078" s="81">
        <v>8</v>
      </c>
      <c r="M1078" s="81">
        <v>6</v>
      </c>
      <c r="N1078" s="604"/>
      <c r="O1078" s="933" t="s">
        <v>974</v>
      </c>
    </row>
    <row r="1079" spans="1:15" ht="24.95" customHeight="1">
      <c r="A1079" s="950"/>
      <c r="B1079" s="546" t="s">
        <v>246</v>
      </c>
      <c r="C1079" s="546"/>
      <c r="D1079" s="546"/>
      <c r="E1079" s="546"/>
      <c r="F1079" s="546"/>
      <c r="G1079" s="81">
        <f>K1079</f>
        <v>68323.100000000006</v>
      </c>
      <c r="H1079" s="81"/>
      <c r="I1079" s="81"/>
      <c r="J1079" s="81"/>
      <c r="K1079" s="81">
        <v>68323.100000000006</v>
      </c>
      <c r="L1079" s="81">
        <v>100000</v>
      </c>
      <c r="M1079" s="81">
        <v>90000</v>
      </c>
      <c r="N1079" s="604"/>
      <c r="O1079" s="934"/>
    </row>
    <row r="1080" spans="1:15" ht="24.95" hidden="1" customHeight="1">
      <c r="A1080" s="932" t="s">
        <v>620</v>
      </c>
      <c r="B1080" s="546" t="s">
        <v>89</v>
      </c>
      <c r="C1080" s="546"/>
      <c r="D1080" s="546"/>
      <c r="E1080" s="546"/>
      <c r="F1080" s="546"/>
      <c r="G1080" s="81">
        <f>K1080</f>
        <v>0</v>
      </c>
      <c r="H1080" s="81"/>
      <c r="I1080" s="81"/>
      <c r="J1080" s="81"/>
      <c r="K1080" s="81">
        <v>0</v>
      </c>
      <c r="L1080" s="81"/>
      <c r="M1080" s="81"/>
      <c r="N1080" s="604"/>
      <c r="O1080" s="933" t="s">
        <v>623</v>
      </c>
    </row>
    <row r="1081" spans="1:15" ht="24.95" hidden="1" customHeight="1">
      <c r="A1081" s="932"/>
      <c r="B1081" s="546" t="s">
        <v>25</v>
      </c>
      <c r="C1081" s="546"/>
      <c r="D1081" s="546"/>
      <c r="E1081" s="546"/>
      <c r="F1081" s="546"/>
      <c r="G1081" s="81">
        <f t="shared" ref="G1081:G1083" si="397">K1081</f>
        <v>0</v>
      </c>
      <c r="H1081" s="81"/>
      <c r="I1081" s="81"/>
      <c r="J1081" s="81"/>
      <c r="K1081" s="81">
        <f>K1082+K1083</f>
        <v>0</v>
      </c>
      <c r="L1081" s="81"/>
      <c r="M1081" s="81"/>
      <c r="N1081" s="604"/>
      <c r="O1081" s="946"/>
    </row>
    <row r="1082" spans="1:15" ht="24.95" hidden="1" customHeight="1">
      <c r="A1082" s="932"/>
      <c r="B1082" s="546" t="s">
        <v>10</v>
      </c>
      <c r="C1082" s="546"/>
      <c r="D1082" s="546"/>
      <c r="E1082" s="546"/>
      <c r="F1082" s="546"/>
      <c r="G1082" s="81">
        <f t="shared" si="397"/>
        <v>0</v>
      </c>
      <c r="H1082" s="81"/>
      <c r="I1082" s="81"/>
      <c r="J1082" s="81"/>
      <c r="K1082" s="81"/>
      <c r="L1082" s="81"/>
      <c r="M1082" s="81"/>
      <c r="N1082" s="604"/>
      <c r="O1082" s="946"/>
    </row>
    <row r="1083" spans="1:15" ht="24.95" hidden="1" customHeight="1">
      <c r="A1083" s="932"/>
      <c r="B1083" s="546" t="s">
        <v>495</v>
      </c>
      <c r="C1083" s="546"/>
      <c r="D1083" s="546"/>
      <c r="E1083" s="546"/>
      <c r="F1083" s="546"/>
      <c r="G1083" s="81">
        <f t="shared" si="397"/>
        <v>0</v>
      </c>
      <c r="H1083" s="81"/>
      <c r="I1083" s="81"/>
      <c r="J1083" s="81"/>
      <c r="K1083" s="81">
        <v>0</v>
      </c>
      <c r="L1083" s="81"/>
      <c r="M1083" s="81"/>
      <c r="N1083" s="604"/>
      <c r="O1083" s="934"/>
    </row>
    <row r="1084" spans="1:15" ht="24.95" customHeight="1">
      <c r="A1084" s="926" t="s">
        <v>621</v>
      </c>
      <c r="B1084" s="546" t="s">
        <v>89</v>
      </c>
      <c r="C1084" s="546"/>
      <c r="D1084" s="546"/>
      <c r="E1084" s="546"/>
      <c r="F1084" s="546"/>
      <c r="G1084" s="81"/>
      <c r="H1084" s="81"/>
      <c r="I1084" s="81"/>
      <c r="J1084" s="81"/>
      <c r="K1084" s="81"/>
      <c r="L1084" s="81">
        <v>4</v>
      </c>
      <c r="M1084" s="81">
        <v>0</v>
      </c>
      <c r="N1084" s="604"/>
      <c r="O1084" s="933" t="s">
        <v>560</v>
      </c>
    </row>
    <row r="1085" spans="1:15" ht="24.95" customHeight="1">
      <c r="A1085" s="928"/>
      <c r="B1085" s="546" t="s">
        <v>246</v>
      </c>
      <c r="C1085" s="546"/>
      <c r="D1085" s="546"/>
      <c r="E1085" s="546"/>
      <c r="F1085" s="546"/>
      <c r="G1085" s="81"/>
      <c r="H1085" s="81"/>
      <c r="I1085" s="81"/>
      <c r="J1085" s="81"/>
      <c r="K1085" s="81"/>
      <c r="L1085" s="81">
        <v>48000</v>
      </c>
      <c r="M1085" s="81">
        <v>0</v>
      </c>
      <c r="N1085" s="604"/>
      <c r="O1085" s="934"/>
    </row>
    <row r="1086" spans="1:15" ht="24.95" customHeight="1">
      <c r="A1086" s="887" t="s">
        <v>137</v>
      </c>
      <c r="B1086" s="57" t="s">
        <v>89</v>
      </c>
      <c r="C1086" s="57"/>
      <c r="D1086" s="57"/>
      <c r="E1086" s="57"/>
      <c r="F1086" s="57"/>
      <c r="G1086" s="80">
        <f>G1090+G1094+G1098+G1100</f>
        <v>5</v>
      </c>
      <c r="H1086" s="80">
        <f t="shared" ref="H1086:M1086" si="398">H1090+H1094+H1098+H1100</f>
        <v>0</v>
      </c>
      <c r="I1086" s="80">
        <f t="shared" si="398"/>
        <v>0</v>
      </c>
      <c r="J1086" s="80">
        <f t="shared" si="398"/>
        <v>0</v>
      </c>
      <c r="K1086" s="80">
        <f t="shared" si="398"/>
        <v>5</v>
      </c>
      <c r="L1086" s="80">
        <f t="shared" si="398"/>
        <v>14.9</v>
      </c>
      <c r="M1086" s="80">
        <f t="shared" si="398"/>
        <v>11</v>
      </c>
      <c r="N1086" s="604"/>
      <c r="O1086" s="610"/>
    </row>
    <row r="1087" spans="1:15" ht="24.95" customHeight="1">
      <c r="A1087" s="888"/>
      <c r="B1087" s="57" t="s">
        <v>25</v>
      </c>
      <c r="C1087" s="57"/>
      <c r="D1087" s="57"/>
      <c r="E1087" s="57"/>
      <c r="F1087" s="57"/>
      <c r="G1087" s="80">
        <f>G1088+G1089</f>
        <v>64837.8</v>
      </c>
      <c r="H1087" s="80">
        <f t="shared" ref="H1087:K1087" si="399">H1088+H1089</f>
        <v>0</v>
      </c>
      <c r="I1087" s="80">
        <f t="shared" si="399"/>
        <v>0</v>
      </c>
      <c r="J1087" s="80">
        <f t="shared" si="399"/>
        <v>0</v>
      </c>
      <c r="K1087" s="80">
        <f t="shared" si="399"/>
        <v>64837.8</v>
      </c>
      <c r="L1087" s="80">
        <f t="shared" ref="L1087:M1087" si="400">L1088+L1089</f>
        <v>189128</v>
      </c>
      <c r="M1087" s="80">
        <f t="shared" si="400"/>
        <v>175000</v>
      </c>
      <c r="N1087" s="604"/>
      <c r="O1087" s="610"/>
    </row>
    <row r="1088" spans="1:15" ht="24.95" customHeight="1">
      <c r="A1088" s="888"/>
      <c r="B1088" s="57" t="s">
        <v>10</v>
      </c>
      <c r="C1088" s="57"/>
      <c r="D1088" s="57"/>
      <c r="E1088" s="57"/>
      <c r="F1088" s="57"/>
      <c r="G1088" s="80">
        <f>G1092+G1096+G1099+G1101</f>
        <v>64837.8</v>
      </c>
      <c r="H1088" s="80">
        <f t="shared" ref="H1088:M1088" si="401">H1092+H1096+H1099+H1101</f>
        <v>0</v>
      </c>
      <c r="I1088" s="80">
        <f t="shared" si="401"/>
        <v>0</v>
      </c>
      <c r="J1088" s="80">
        <f t="shared" si="401"/>
        <v>0</v>
      </c>
      <c r="K1088" s="80">
        <f t="shared" si="401"/>
        <v>64837.8</v>
      </c>
      <c r="L1088" s="80">
        <f t="shared" si="401"/>
        <v>189128</v>
      </c>
      <c r="M1088" s="80">
        <f t="shared" si="401"/>
        <v>175000</v>
      </c>
      <c r="N1088" s="604"/>
      <c r="O1088" s="610"/>
    </row>
    <row r="1089" spans="1:51" ht="24.95" customHeight="1">
      <c r="A1089" s="889"/>
      <c r="B1089" s="57" t="s">
        <v>495</v>
      </c>
      <c r="C1089" s="57"/>
      <c r="D1089" s="57"/>
      <c r="E1089" s="57"/>
      <c r="F1089" s="57"/>
      <c r="G1089" s="80">
        <f>G1093+G1097</f>
        <v>0</v>
      </c>
      <c r="H1089" s="80">
        <f t="shared" ref="H1089:M1089" si="402">H1093+H1097</f>
        <v>0</v>
      </c>
      <c r="I1089" s="80">
        <f t="shared" si="402"/>
        <v>0</v>
      </c>
      <c r="J1089" s="80">
        <f t="shared" si="402"/>
        <v>0</v>
      </c>
      <c r="K1089" s="80">
        <f t="shared" si="402"/>
        <v>0</v>
      </c>
      <c r="L1089" s="80">
        <f t="shared" si="402"/>
        <v>0</v>
      </c>
      <c r="M1089" s="80">
        <f t="shared" si="402"/>
        <v>0</v>
      </c>
      <c r="N1089" s="604"/>
      <c r="O1089" s="610"/>
    </row>
    <row r="1090" spans="1:51" ht="24.95" customHeight="1">
      <c r="A1090" s="926" t="s">
        <v>624</v>
      </c>
      <c r="B1090" s="546" t="s">
        <v>89</v>
      </c>
      <c r="C1090" s="57"/>
      <c r="D1090" s="57"/>
      <c r="E1090" s="57"/>
      <c r="F1090" s="57"/>
      <c r="G1090" s="81">
        <f>K1090</f>
        <v>5</v>
      </c>
      <c r="H1090" s="81"/>
      <c r="I1090" s="81"/>
      <c r="J1090" s="81"/>
      <c r="K1090" s="81">
        <v>5</v>
      </c>
      <c r="L1090" s="81">
        <v>5</v>
      </c>
      <c r="M1090" s="81">
        <v>8</v>
      </c>
      <c r="N1090" s="604"/>
      <c r="O1090" s="933" t="s">
        <v>975</v>
      </c>
    </row>
    <row r="1091" spans="1:51" ht="24.95" customHeight="1">
      <c r="A1091" s="927"/>
      <c r="B1091" s="546" t="s">
        <v>25</v>
      </c>
      <c r="C1091" s="57"/>
      <c r="D1091" s="57"/>
      <c r="E1091" s="57"/>
      <c r="F1091" s="57"/>
      <c r="G1091" s="81">
        <f t="shared" ref="G1091:G1093" si="403">K1091</f>
        <v>64837.8</v>
      </c>
      <c r="H1091" s="81"/>
      <c r="I1091" s="81"/>
      <c r="J1091" s="81"/>
      <c r="K1091" s="81">
        <f>K1092+K1093</f>
        <v>64837.8</v>
      </c>
      <c r="L1091" s="81">
        <f t="shared" ref="L1091:M1091" si="404">L1092+L1093</f>
        <v>65000</v>
      </c>
      <c r="M1091" s="81">
        <f t="shared" si="404"/>
        <v>130000</v>
      </c>
      <c r="N1091" s="604"/>
      <c r="O1091" s="946"/>
    </row>
    <row r="1092" spans="1:51" ht="24.95" customHeight="1">
      <c r="A1092" s="927"/>
      <c r="B1092" s="546" t="s">
        <v>10</v>
      </c>
      <c r="C1092" s="57"/>
      <c r="D1092" s="57"/>
      <c r="E1092" s="57"/>
      <c r="F1092" s="57"/>
      <c r="G1092" s="81">
        <f t="shared" si="403"/>
        <v>64837.8</v>
      </c>
      <c r="H1092" s="81"/>
      <c r="I1092" s="81"/>
      <c r="J1092" s="81"/>
      <c r="K1092" s="81">
        <v>64837.8</v>
      </c>
      <c r="L1092" s="81">
        <v>65000</v>
      </c>
      <c r="M1092" s="81">
        <v>130000</v>
      </c>
      <c r="N1092" s="604"/>
      <c r="O1092" s="946"/>
    </row>
    <row r="1093" spans="1:51" ht="24.95" customHeight="1">
      <c r="A1093" s="928"/>
      <c r="B1093" s="546" t="s">
        <v>495</v>
      </c>
      <c r="C1093" s="57"/>
      <c r="D1093" s="57"/>
      <c r="E1093" s="57"/>
      <c r="F1093" s="57"/>
      <c r="G1093" s="81">
        <f t="shared" si="403"/>
        <v>0</v>
      </c>
      <c r="H1093" s="81"/>
      <c r="I1093" s="81"/>
      <c r="J1093" s="81"/>
      <c r="K1093" s="81">
        <v>0</v>
      </c>
      <c r="L1093" s="81"/>
      <c r="M1093" s="81"/>
      <c r="N1093" s="604"/>
      <c r="O1093" s="934"/>
    </row>
    <row r="1094" spans="1:51" ht="24.95" customHeight="1">
      <c r="A1094" s="926" t="s">
        <v>1108</v>
      </c>
      <c r="B1094" s="546" t="s">
        <v>89</v>
      </c>
      <c r="C1094" s="57"/>
      <c r="D1094" s="57"/>
      <c r="E1094" s="57"/>
      <c r="F1094" s="57"/>
      <c r="G1094" s="81">
        <f>K1094</f>
        <v>0</v>
      </c>
      <c r="H1094" s="81"/>
      <c r="I1094" s="81"/>
      <c r="J1094" s="81"/>
      <c r="K1094" s="81">
        <v>0</v>
      </c>
      <c r="L1094" s="81">
        <v>2</v>
      </c>
      <c r="M1094" s="81">
        <v>0</v>
      </c>
      <c r="N1094" s="604"/>
      <c r="O1094" s="933" t="s">
        <v>614</v>
      </c>
    </row>
    <row r="1095" spans="1:51" ht="24.95" customHeight="1">
      <c r="A1095" s="927"/>
      <c r="B1095" s="546" t="s">
        <v>25</v>
      </c>
      <c r="C1095" s="57"/>
      <c r="D1095" s="57"/>
      <c r="E1095" s="57"/>
      <c r="F1095" s="57"/>
      <c r="G1095" s="81">
        <f t="shared" ref="G1095:G1097" si="405">K1095</f>
        <v>0</v>
      </c>
      <c r="H1095" s="81"/>
      <c r="I1095" s="81"/>
      <c r="J1095" s="81"/>
      <c r="K1095" s="81">
        <f>K1096+K1097</f>
        <v>0</v>
      </c>
      <c r="L1095" s="81">
        <f t="shared" ref="L1095:M1095" si="406">L1096+L1097</f>
        <v>27000</v>
      </c>
      <c r="M1095" s="81">
        <f t="shared" si="406"/>
        <v>0</v>
      </c>
      <c r="N1095" s="604"/>
      <c r="O1095" s="946"/>
    </row>
    <row r="1096" spans="1:51" ht="24.95" customHeight="1">
      <c r="A1096" s="927"/>
      <c r="B1096" s="546" t="s">
        <v>10</v>
      </c>
      <c r="C1096" s="57"/>
      <c r="D1096" s="57"/>
      <c r="E1096" s="57"/>
      <c r="F1096" s="57"/>
      <c r="G1096" s="81">
        <f t="shared" si="405"/>
        <v>0</v>
      </c>
      <c r="H1096" s="81"/>
      <c r="I1096" s="81"/>
      <c r="J1096" s="81"/>
      <c r="K1096" s="81">
        <v>0</v>
      </c>
      <c r="L1096" s="81">
        <v>27000</v>
      </c>
      <c r="M1096" s="81">
        <v>0</v>
      </c>
      <c r="N1096" s="604"/>
      <c r="O1096" s="946"/>
    </row>
    <row r="1097" spans="1:51" ht="24.95" customHeight="1">
      <c r="A1097" s="928"/>
      <c r="B1097" s="546" t="s">
        <v>495</v>
      </c>
      <c r="C1097" s="57"/>
      <c r="D1097" s="57"/>
      <c r="E1097" s="57"/>
      <c r="F1097" s="57"/>
      <c r="G1097" s="81">
        <f t="shared" si="405"/>
        <v>0</v>
      </c>
      <c r="H1097" s="81"/>
      <c r="I1097" s="81"/>
      <c r="J1097" s="81"/>
      <c r="K1097" s="81">
        <v>0</v>
      </c>
      <c r="L1097" s="81"/>
      <c r="M1097" s="81"/>
      <c r="N1097" s="604"/>
      <c r="O1097" s="934"/>
    </row>
    <row r="1098" spans="1:51" ht="31.15" customHeight="1">
      <c r="A1098" s="949" t="s">
        <v>479</v>
      </c>
      <c r="B1098" s="546" t="s">
        <v>89</v>
      </c>
      <c r="C1098" s="546">
        <v>176</v>
      </c>
      <c r="D1098" s="546" t="s">
        <v>15</v>
      </c>
      <c r="E1098" s="546">
        <v>6100404</v>
      </c>
      <c r="F1098" s="546">
        <v>244</v>
      </c>
      <c r="G1098" s="81">
        <f>J1098</f>
        <v>0</v>
      </c>
      <c r="H1098" s="81"/>
      <c r="I1098" s="81"/>
      <c r="J1098" s="81"/>
      <c r="K1098" s="81"/>
      <c r="L1098" s="81">
        <v>2.9</v>
      </c>
      <c r="M1098" s="81">
        <v>0</v>
      </c>
      <c r="N1098" s="604"/>
      <c r="O1098" s="944" t="s">
        <v>532</v>
      </c>
    </row>
    <row r="1099" spans="1:51" ht="27" customHeight="1">
      <c r="A1099" s="949"/>
      <c r="B1099" s="546" t="s">
        <v>246</v>
      </c>
      <c r="C1099" s="546"/>
      <c r="D1099" s="546"/>
      <c r="E1099" s="546"/>
      <c r="F1099" s="546"/>
      <c r="G1099" s="81">
        <f>J1099</f>
        <v>0</v>
      </c>
      <c r="H1099" s="81"/>
      <c r="I1099" s="81"/>
      <c r="J1099" s="81"/>
      <c r="K1099" s="81"/>
      <c r="L1099" s="81">
        <v>37128</v>
      </c>
      <c r="M1099" s="81">
        <v>0</v>
      </c>
      <c r="N1099" s="604"/>
      <c r="O1099" s="944"/>
    </row>
    <row r="1100" spans="1:51" ht="22.9" customHeight="1">
      <c r="A1100" s="949" t="s">
        <v>1109</v>
      </c>
      <c r="B1100" s="546" t="s">
        <v>89</v>
      </c>
      <c r="C1100" s="546">
        <v>176</v>
      </c>
      <c r="D1100" s="546" t="s">
        <v>15</v>
      </c>
      <c r="E1100" s="546">
        <v>6100404</v>
      </c>
      <c r="F1100" s="546">
        <v>244</v>
      </c>
      <c r="G1100" s="81">
        <f>J1100</f>
        <v>0</v>
      </c>
      <c r="H1100" s="81"/>
      <c r="I1100" s="81"/>
      <c r="J1100" s="81"/>
      <c r="K1100" s="81"/>
      <c r="L1100" s="81">
        <v>5</v>
      </c>
      <c r="M1100" s="81">
        <v>3</v>
      </c>
      <c r="N1100" s="604"/>
      <c r="O1100" s="944" t="s">
        <v>976</v>
      </c>
    </row>
    <row r="1101" spans="1:51" ht="24.6" customHeight="1">
      <c r="A1101" s="949"/>
      <c r="B1101" s="546" t="s">
        <v>246</v>
      </c>
      <c r="C1101" s="546"/>
      <c r="D1101" s="546"/>
      <c r="E1101" s="546"/>
      <c r="F1101" s="546"/>
      <c r="G1101" s="81">
        <f>J1101</f>
        <v>0</v>
      </c>
      <c r="H1101" s="81"/>
      <c r="I1101" s="81"/>
      <c r="J1101" s="81"/>
      <c r="K1101" s="81"/>
      <c r="L1101" s="81">
        <v>60000</v>
      </c>
      <c r="M1101" s="81">
        <v>45000</v>
      </c>
      <c r="N1101" s="604"/>
      <c r="O1101" s="944"/>
    </row>
    <row r="1102" spans="1:51" ht="24.6" customHeight="1">
      <c r="A1102" s="1025" t="s">
        <v>138</v>
      </c>
      <c r="B1102" s="57" t="s">
        <v>89</v>
      </c>
      <c r="C1102" s="546"/>
      <c r="D1102" s="546"/>
      <c r="E1102" s="546"/>
      <c r="F1102" s="546"/>
      <c r="G1102" s="80">
        <f>G1104+G1106</f>
        <v>5</v>
      </c>
      <c r="H1102" s="80">
        <f t="shared" ref="H1102:M1102" si="407">H1104+H1106</f>
        <v>0</v>
      </c>
      <c r="I1102" s="80">
        <f t="shared" si="407"/>
        <v>0</v>
      </c>
      <c r="J1102" s="80">
        <f t="shared" si="407"/>
        <v>0</v>
      </c>
      <c r="K1102" s="80">
        <f t="shared" si="407"/>
        <v>5</v>
      </c>
      <c r="L1102" s="80">
        <f t="shared" si="407"/>
        <v>8</v>
      </c>
      <c r="M1102" s="80">
        <f t="shared" si="407"/>
        <v>9</v>
      </c>
      <c r="N1102" s="604"/>
      <c r="O1102" s="604"/>
    </row>
    <row r="1103" spans="1:51" ht="24.6" customHeight="1">
      <c r="A1103" s="1026"/>
      <c r="B1103" s="561" t="s">
        <v>246</v>
      </c>
      <c r="C1103" s="542"/>
      <c r="D1103" s="542"/>
      <c r="E1103" s="542"/>
      <c r="F1103" s="542"/>
      <c r="G1103" s="263">
        <f>G1105+G1107</f>
        <v>48362.7</v>
      </c>
      <c r="H1103" s="263">
        <f t="shared" ref="H1103:M1103" si="408">H1105+H1107</f>
        <v>0</v>
      </c>
      <c r="I1103" s="263">
        <f t="shared" si="408"/>
        <v>0</v>
      </c>
      <c r="J1103" s="263">
        <f t="shared" si="408"/>
        <v>0</v>
      </c>
      <c r="K1103" s="263">
        <f t="shared" si="408"/>
        <v>48362.7</v>
      </c>
      <c r="L1103" s="263">
        <f t="shared" si="408"/>
        <v>84323</v>
      </c>
      <c r="M1103" s="263">
        <f t="shared" si="408"/>
        <v>90000</v>
      </c>
      <c r="N1103" s="601"/>
      <c r="O1103" s="604"/>
      <c r="P1103" s="267"/>
      <c r="Q1103" s="267"/>
      <c r="R1103" s="267"/>
      <c r="S1103" s="267"/>
      <c r="T1103" s="267"/>
      <c r="U1103" s="267"/>
      <c r="V1103" s="267"/>
      <c r="W1103" s="267"/>
      <c r="X1103" s="267"/>
      <c r="Y1103" s="267"/>
      <c r="Z1103" s="267"/>
      <c r="AA1103" s="267"/>
      <c r="AB1103" s="267"/>
      <c r="AC1103" s="267"/>
      <c r="AD1103" s="267"/>
      <c r="AE1103" s="267"/>
      <c r="AF1103" s="267"/>
      <c r="AG1103" s="267"/>
      <c r="AH1103" s="267"/>
      <c r="AI1103" s="267"/>
    </row>
    <row r="1104" spans="1:51" s="50" customFormat="1" ht="24.6" customHeight="1">
      <c r="A1104" s="1028" t="s">
        <v>1116</v>
      </c>
      <c r="B1104" s="546" t="s">
        <v>89</v>
      </c>
      <c r="C1104" s="546"/>
      <c r="D1104" s="546"/>
      <c r="E1104" s="546"/>
      <c r="F1104" s="546"/>
      <c r="G1104" s="81">
        <f>K1104</f>
        <v>3</v>
      </c>
      <c r="H1104" s="81"/>
      <c r="I1104" s="81"/>
      <c r="J1104" s="81"/>
      <c r="K1104" s="81">
        <v>3</v>
      </c>
      <c r="L1104" s="81">
        <v>3</v>
      </c>
      <c r="M1104" s="81">
        <v>9</v>
      </c>
      <c r="N1104" s="604"/>
      <c r="O1104" s="944" t="s">
        <v>977</v>
      </c>
      <c r="P1104" s="267"/>
      <c r="Q1104" s="267"/>
      <c r="R1104" s="267"/>
      <c r="S1104" s="267"/>
      <c r="T1104" s="267"/>
      <c r="U1104" s="267"/>
      <c r="V1104" s="267"/>
      <c r="W1104" s="267"/>
      <c r="X1104" s="267"/>
      <c r="Y1104" s="267"/>
      <c r="Z1104" s="267"/>
      <c r="AA1104" s="267"/>
      <c r="AB1104" s="267"/>
      <c r="AC1104" s="267"/>
      <c r="AD1104" s="267"/>
      <c r="AE1104" s="267"/>
      <c r="AF1104" s="267"/>
      <c r="AG1104" s="267"/>
      <c r="AH1104" s="267"/>
      <c r="AI1104" s="267"/>
      <c r="AJ1104" s="267"/>
      <c r="AK1104" s="267"/>
      <c r="AL1104" s="267"/>
      <c r="AM1104" s="267"/>
      <c r="AN1104" s="267"/>
      <c r="AO1104" s="267"/>
      <c r="AP1104" s="267"/>
      <c r="AQ1104" s="267"/>
      <c r="AR1104" s="267"/>
      <c r="AS1104" s="267"/>
      <c r="AT1104" s="267"/>
      <c r="AU1104" s="267"/>
      <c r="AV1104" s="267"/>
      <c r="AW1104" s="267"/>
      <c r="AX1104" s="267"/>
      <c r="AY1104" s="266"/>
    </row>
    <row r="1105" spans="1:61" s="50" customFormat="1" ht="24.6" customHeight="1">
      <c r="A1105" s="1029"/>
      <c r="B1105" s="546" t="s">
        <v>246</v>
      </c>
      <c r="C1105" s="546"/>
      <c r="D1105" s="546"/>
      <c r="E1105" s="546"/>
      <c r="F1105" s="546"/>
      <c r="G1105" s="81">
        <f>K1105</f>
        <v>28043.9</v>
      </c>
      <c r="H1105" s="81"/>
      <c r="I1105" s="81"/>
      <c r="J1105" s="81"/>
      <c r="K1105" s="81">
        <v>28043.9</v>
      </c>
      <c r="L1105" s="81">
        <v>24323</v>
      </c>
      <c r="M1105" s="81">
        <v>90000</v>
      </c>
      <c r="N1105" s="604"/>
      <c r="O1105" s="944"/>
      <c r="P1105" s="267"/>
      <c r="Q1105" s="267"/>
      <c r="R1105" s="267"/>
      <c r="S1105" s="267"/>
      <c r="T1105" s="267"/>
      <c r="U1105" s="267"/>
      <c r="V1105" s="267"/>
      <c r="W1105" s="267"/>
      <c r="X1105" s="267"/>
      <c r="Y1105" s="267"/>
      <c r="Z1105" s="267"/>
      <c r="AA1105" s="267"/>
      <c r="AB1105" s="267"/>
      <c r="AC1105" s="267"/>
      <c r="AD1105" s="267"/>
      <c r="AE1105" s="267"/>
      <c r="AF1105" s="267"/>
      <c r="AG1105" s="267"/>
      <c r="AH1105" s="267"/>
      <c r="AI1105" s="267"/>
      <c r="AJ1105" s="267"/>
      <c r="AK1105" s="267"/>
      <c r="AL1105" s="267"/>
      <c r="AM1105" s="267"/>
      <c r="AN1105" s="267"/>
      <c r="AO1105" s="267"/>
      <c r="AP1105" s="267"/>
      <c r="AQ1105" s="267"/>
      <c r="AR1105" s="267"/>
      <c r="AS1105" s="267"/>
      <c r="AT1105" s="267"/>
      <c r="AU1105" s="267"/>
      <c r="AV1105" s="267"/>
      <c r="AW1105" s="267"/>
      <c r="AX1105" s="267"/>
      <c r="AY1105" s="266"/>
    </row>
    <row r="1106" spans="1:61" s="50" customFormat="1" ht="24.6" customHeight="1">
      <c r="A1106" s="1028" t="s">
        <v>1110</v>
      </c>
      <c r="B1106" s="546" t="s">
        <v>89</v>
      </c>
      <c r="C1106" s="546"/>
      <c r="D1106" s="546"/>
      <c r="E1106" s="546"/>
      <c r="F1106" s="546"/>
      <c r="G1106" s="81">
        <f>K1106</f>
        <v>2</v>
      </c>
      <c r="H1106" s="81"/>
      <c r="I1106" s="81"/>
      <c r="J1106" s="81"/>
      <c r="K1106" s="81">
        <v>2</v>
      </c>
      <c r="L1106" s="81">
        <v>5</v>
      </c>
      <c r="M1106" s="81">
        <v>0</v>
      </c>
      <c r="N1106" s="604"/>
      <c r="O1106" s="944" t="s">
        <v>626</v>
      </c>
      <c r="P1106" s="267"/>
      <c r="Q1106" s="267"/>
      <c r="R1106" s="267"/>
      <c r="S1106" s="267"/>
      <c r="T1106" s="267"/>
      <c r="U1106" s="267"/>
      <c r="V1106" s="267"/>
      <c r="W1106" s="267"/>
      <c r="X1106" s="267"/>
      <c r="Y1106" s="267"/>
      <c r="Z1106" s="267"/>
      <c r="AA1106" s="267"/>
      <c r="AB1106" s="267"/>
      <c r="AC1106" s="267"/>
      <c r="AD1106" s="267"/>
      <c r="AE1106" s="267"/>
      <c r="AF1106" s="267"/>
      <c r="AG1106" s="267"/>
      <c r="AH1106" s="267"/>
      <c r="AI1106" s="267"/>
      <c r="AJ1106" s="267"/>
      <c r="AK1106" s="267"/>
      <c r="AL1106" s="267"/>
      <c r="AM1106" s="267"/>
      <c r="AN1106" s="267"/>
      <c r="AO1106" s="267"/>
      <c r="AP1106" s="267"/>
      <c r="AQ1106" s="267"/>
      <c r="AR1106" s="267"/>
      <c r="AS1106" s="267"/>
      <c r="AT1106" s="267"/>
      <c r="AU1106" s="267"/>
      <c r="AV1106" s="267"/>
      <c r="AW1106" s="267"/>
      <c r="AX1106" s="267"/>
      <c r="AY1106" s="266"/>
    </row>
    <row r="1107" spans="1:61" s="50" customFormat="1" ht="27.75" customHeight="1">
      <c r="A1107" s="1029"/>
      <c r="B1107" s="546" t="s">
        <v>246</v>
      </c>
      <c r="C1107" s="57"/>
      <c r="D1107" s="57"/>
      <c r="E1107" s="57"/>
      <c r="F1107" s="57"/>
      <c r="G1107" s="81">
        <f>K1107</f>
        <v>20318.8</v>
      </c>
      <c r="H1107" s="81"/>
      <c r="I1107" s="81"/>
      <c r="J1107" s="81"/>
      <c r="K1107" s="81">
        <v>20318.8</v>
      </c>
      <c r="L1107" s="81">
        <v>60000</v>
      </c>
      <c r="M1107" s="81">
        <v>0</v>
      </c>
      <c r="N1107" s="604"/>
      <c r="O1107" s="944"/>
      <c r="P1107" s="267"/>
      <c r="Q1107" s="267"/>
      <c r="R1107" s="267"/>
      <c r="S1107" s="267"/>
      <c r="T1107" s="267"/>
      <c r="U1107" s="267"/>
      <c r="V1107" s="267"/>
      <c r="W1107" s="267"/>
      <c r="X1107" s="267"/>
      <c r="Y1107" s="267"/>
      <c r="Z1107" s="267"/>
      <c r="AA1107" s="267"/>
      <c r="AB1107" s="267"/>
      <c r="AC1107" s="267"/>
      <c r="AD1107" s="267"/>
      <c r="AE1107" s="267"/>
      <c r="AF1107" s="267"/>
      <c r="AG1107" s="267"/>
      <c r="AH1107" s="267"/>
      <c r="AI1107" s="267"/>
      <c r="AJ1107" s="267"/>
      <c r="AK1107" s="267"/>
      <c r="AL1107" s="267"/>
      <c r="AM1107" s="267"/>
      <c r="AN1107" s="267"/>
      <c r="AO1107" s="267"/>
      <c r="AP1107" s="267"/>
      <c r="AQ1107" s="267"/>
      <c r="AR1107" s="267"/>
      <c r="AS1107" s="267"/>
      <c r="AT1107" s="267"/>
      <c r="AU1107" s="267"/>
      <c r="AV1107" s="267"/>
      <c r="AW1107" s="267"/>
      <c r="AX1107" s="267"/>
      <c r="AY1107" s="266"/>
    </row>
    <row r="1108" spans="1:61" ht="27" customHeight="1">
      <c r="A1108" s="1025" t="s">
        <v>794</v>
      </c>
      <c r="B1108" s="57" t="s">
        <v>89</v>
      </c>
      <c r="C1108" s="563"/>
      <c r="D1108" s="563"/>
      <c r="E1108" s="563"/>
      <c r="F1108" s="563"/>
      <c r="G1108" s="86">
        <f>G1112</f>
        <v>0</v>
      </c>
      <c r="H1108" s="86">
        <f t="shared" ref="H1108:M1108" si="409">H1112</f>
        <v>0</v>
      </c>
      <c r="I1108" s="86">
        <f t="shared" si="409"/>
        <v>0</v>
      </c>
      <c r="J1108" s="86">
        <f t="shared" si="409"/>
        <v>0</v>
      </c>
      <c r="K1108" s="86">
        <f t="shared" si="409"/>
        <v>0</v>
      </c>
      <c r="L1108" s="86">
        <f t="shared" si="409"/>
        <v>12</v>
      </c>
      <c r="M1108" s="86">
        <f t="shared" si="409"/>
        <v>8</v>
      </c>
      <c r="N1108" s="603"/>
      <c r="O1108" s="609"/>
    </row>
    <row r="1109" spans="1:61" ht="27" customHeight="1">
      <c r="A1109" s="1026"/>
      <c r="B1109" s="57" t="s">
        <v>25</v>
      </c>
      <c r="C1109" s="563"/>
      <c r="D1109" s="563"/>
      <c r="E1109" s="563"/>
      <c r="F1109" s="563"/>
      <c r="G1109" s="86">
        <f>G1110+G1111</f>
        <v>0</v>
      </c>
      <c r="H1109" s="86">
        <f t="shared" ref="H1109:M1109" si="410">H1110+H1111</f>
        <v>0</v>
      </c>
      <c r="I1109" s="86">
        <f t="shared" si="410"/>
        <v>0</v>
      </c>
      <c r="J1109" s="86">
        <f t="shared" si="410"/>
        <v>0</v>
      </c>
      <c r="K1109" s="86">
        <f t="shared" si="410"/>
        <v>0</v>
      </c>
      <c r="L1109" s="86">
        <f t="shared" si="410"/>
        <v>150104.4</v>
      </c>
      <c r="M1109" s="86">
        <f t="shared" si="410"/>
        <v>130000</v>
      </c>
      <c r="N1109" s="603"/>
      <c r="O1109" s="609"/>
    </row>
    <row r="1110" spans="1:61" ht="27" customHeight="1">
      <c r="A1110" s="1026"/>
      <c r="B1110" s="57" t="s">
        <v>10</v>
      </c>
      <c r="C1110" s="563"/>
      <c r="D1110" s="563"/>
      <c r="E1110" s="563"/>
      <c r="F1110" s="563"/>
      <c r="G1110" s="86">
        <f>G1114</f>
        <v>0</v>
      </c>
      <c r="H1110" s="86">
        <f t="shared" ref="H1110:M1110" si="411">H1114</f>
        <v>0</v>
      </c>
      <c r="I1110" s="86">
        <f t="shared" si="411"/>
        <v>0</v>
      </c>
      <c r="J1110" s="86">
        <f t="shared" si="411"/>
        <v>0</v>
      </c>
      <c r="K1110" s="86">
        <f t="shared" si="411"/>
        <v>0</v>
      </c>
      <c r="L1110" s="86">
        <f t="shared" si="411"/>
        <v>150104.4</v>
      </c>
      <c r="M1110" s="86">
        <f t="shared" si="411"/>
        <v>130000</v>
      </c>
      <c r="N1110" s="603"/>
      <c r="O1110" s="609"/>
    </row>
    <row r="1111" spans="1:61" s="44" customFormat="1" ht="27.6" customHeight="1">
      <c r="A1111" s="1027"/>
      <c r="B1111" s="57" t="s">
        <v>495</v>
      </c>
      <c r="C1111" s="57"/>
      <c r="D1111" s="57"/>
      <c r="E1111" s="57"/>
      <c r="F1111" s="57"/>
      <c r="G1111" s="80">
        <f>G1115</f>
        <v>0</v>
      </c>
      <c r="H1111" s="80">
        <f t="shared" ref="H1111:M1111" si="412">H1115</f>
        <v>0</v>
      </c>
      <c r="I1111" s="80">
        <f t="shared" si="412"/>
        <v>0</v>
      </c>
      <c r="J1111" s="80">
        <f t="shared" si="412"/>
        <v>0</v>
      </c>
      <c r="K1111" s="80">
        <f t="shared" si="412"/>
        <v>0</v>
      </c>
      <c r="L1111" s="80">
        <f t="shared" si="412"/>
        <v>0</v>
      </c>
      <c r="M1111" s="80">
        <f t="shared" si="412"/>
        <v>0</v>
      </c>
      <c r="N1111" s="604"/>
      <c r="O1111" s="610"/>
      <c r="AJ1111" s="91"/>
      <c r="AK1111" s="91"/>
      <c r="AL1111" s="91"/>
      <c r="AM1111" s="91"/>
      <c r="AN1111" s="91"/>
      <c r="AO1111" s="91"/>
      <c r="AP1111" s="91"/>
      <c r="AQ1111" s="91"/>
      <c r="AR1111" s="91"/>
      <c r="AS1111" s="91"/>
      <c r="AT1111" s="91"/>
      <c r="AU1111" s="91"/>
      <c r="AV1111" s="91"/>
      <c r="AW1111" s="91"/>
      <c r="AX1111" s="91"/>
      <c r="AY1111" s="91"/>
      <c r="AZ1111" s="91"/>
      <c r="BA1111" s="91"/>
      <c r="BB1111" s="91"/>
      <c r="BC1111" s="91"/>
      <c r="BD1111" s="91"/>
      <c r="BE1111" s="91"/>
      <c r="BF1111" s="91"/>
      <c r="BG1111" s="91"/>
      <c r="BH1111" s="91"/>
      <c r="BI1111" s="91"/>
    </row>
    <row r="1112" spans="1:61" s="44" customFormat="1" ht="24.6" customHeight="1">
      <c r="A1112" s="932" t="s">
        <v>225</v>
      </c>
      <c r="B1112" s="546" t="s">
        <v>89</v>
      </c>
      <c r="C1112" s="546">
        <v>176</v>
      </c>
      <c r="D1112" s="546" t="s">
        <v>15</v>
      </c>
      <c r="E1112" s="546">
        <v>6100404</v>
      </c>
      <c r="F1112" s="546">
        <v>244</v>
      </c>
      <c r="G1112" s="81">
        <f>K1112</f>
        <v>0</v>
      </c>
      <c r="H1112" s="81"/>
      <c r="I1112" s="81"/>
      <c r="J1112" s="81"/>
      <c r="K1112" s="81">
        <v>0</v>
      </c>
      <c r="L1112" s="81">
        <v>12</v>
      </c>
      <c r="M1112" s="81">
        <v>8</v>
      </c>
      <c r="N1112" s="604"/>
      <c r="O1112" s="944" t="s">
        <v>974</v>
      </c>
      <c r="AJ1112" s="91"/>
      <c r="AK1112" s="91"/>
      <c r="AL1112" s="91"/>
      <c r="AM1112" s="91"/>
      <c r="AN1112" s="91"/>
      <c r="AO1112" s="91"/>
      <c r="AP1112" s="91"/>
      <c r="AQ1112" s="91"/>
      <c r="AR1112" s="91"/>
      <c r="AS1112" s="91"/>
      <c r="AT1112" s="91"/>
      <c r="AU1112" s="91"/>
      <c r="AV1112" s="91"/>
      <c r="AW1112" s="91"/>
      <c r="AX1112" s="91"/>
      <c r="AY1112" s="91"/>
      <c r="AZ1112" s="91"/>
      <c r="BA1112" s="91"/>
      <c r="BB1112" s="91"/>
      <c r="BC1112" s="91"/>
      <c r="BD1112" s="91"/>
      <c r="BE1112" s="91"/>
      <c r="BF1112" s="91"/>
      <c r="BG1112" s="91"/>
      <c r="BH1112" s="91"/>
      <c r="BI1112" s="91"/>
    </row>
    <row r="1113" spans="1:61" s="44" customFormat="1" ht="24.6" customHeight="1">
      <c r="A1113" s="932"/>
      <c r="B1113" s="546" t="s">
        <v>25</v>
      </c>
      <c r="C1113" s="546"/>
      <c r="D1113" s="546"/>
      <c r="E1113" s="546"/>
      <c r="F1113" s="546"/>
      <c r="G1113" s="81">
        <f t="shared" ref="G1113:G1115" si="413">K1113</f>
        <v>0</v>
      </c>
      <c r="H1113" s="81"/>
      <c r="I1113" s="81"/>
      <c r="J1113" s="81"/>
      <c r="K1113" s="81">
        <f>K1114+K1115</f>
        <v>0</v>
      </c>
      <c r="L1113" s="81">
        <f t="shared" ref="L1113:M1113" si="414">L1114+L1115</f>
        <v>150104.4</v>
      </c>
      <c r="M1113" s="81">
        <f t="shared" si="414"/>
        <v>130000</v>
      </c>
      <c r="N1113" s="604"/>
      <c r="O1113" s="944"/>
      <c r="AJ1113" s="91"/>
      <c r="AK1113" s="91"/>
      <c r="AL1113" s="91"/>
      <c r="AM1113" s="91"/>
      <c r="AN1113" s="91"/>
      <c r="AO1113" s="91"/>
      <c r="AP1113" s="91"/>
      <c r="AQ1113" s="91"/>
      <c r="AR1113" s="91"/>
      <c r="AS1113" s="91"/>
      <c r="AT1113" s="91"/>
      <c r="AU1113" s="91"/>
      <c r="AV1113" s="91"/>
      <c r="AW1113" s="91"/>
      <c r="AX1113" s="91"/>
      <c r="AY1113" s="91"/>
      <c r="AZ1113" s="91"/>
      <c r="BA1113" s="91"/>
      <c r="BB1113" s="91"/>
      <c r="BC1113" s="91"/>
      <c r="BD1113" s="91"/>
      <c r="BE1113" s="91"/>
      <c r="BF1113" s="91"/>
      <c r="BG1113" s="91"/>
      <c r="BH1113" s="91"/>
      <c r="BI1113" s="91"/>
    </row>
    <row r="1114" spans="1:61" s="44" customFormat="1" ht="24.6" customHeight="1">
      <c r="A1114" s="932"/>
      <c r="B1114" s="546" t="s">
        <v>10</v>
      </c>
      <c r="C1114" s="546"/>
      <c r="D1114" s="546"/>
      <c r="E1114" s="546"/>
      <c r="F1114" s="546"/>
      <c r="G1114" s="81">
        <f t="shared" si="413"/>
        <v>0</v>
      </c>
      <c r="H1114" s="81"/>
      <c r="I1114" s="81"/>
      <c r="J1114" s="81"/>
      <c r="K1114" s="81">
        <v>0</v>
      </c>
      <c r="L1114" s="81">
        <v>150104.4</v>
      </c>
      <c r="M1114" s="81">
        <v>130000</v>
      </c>
      <c r="N1114" s="604"/>
      <c r="O1114" s="944"/>
      <c r="AJ1114" s="91"/>
      <c r="AK1114" s="91"/>
      <c r="AL1114" s="91"/>
      <c r="AM1114" s="91"/>
      <c r="AN1114" s="91"/>
      <c r="AO1114" s="91"/>
      <c r="AP1114" s="91"/>
      <c r="AQ1114" s="91"/>
      <c r="AR1114" s="91"/>
      <c r="AS1114" s="91"/>
      <c r="AT1114" s="91"/>
      <c r="AU1114" s="91"/>
      <c r="AV1114" s="91"/>
      <c r="AW1114" s="91"/>
      <c r="AX1114" s="91"/>
      <c r="AY1114" s="91"/>
      <c r="AZ1114" s="91"/>
      <c r="BA1114" s="91"/>
      <c r="BB1114" s="91"/>
      <c r="BC1114" s="91"/>
      <c r="BD1114" s="91"/>
      <c r="BE1114" s="91"/>
      <c r="BF1114" s="91"/>
      <c r="BG1114" s="91"/>
      <c r="BH1114" s="91"/>
      <c r="BI1114" s="91"/>
    </row>
    <row r="1115" spans="1:61" ht="24.6" customHeight="1">
      <c r="A1115" s="932"/>
      <c r="B1115" s="546" t="s">
        <v>495</v>
      </c>
      <c r="C1115" s="546"/>
      <c r="D1115" s="546"/>
      <c r="E1115" s="546"/>
      <c r="F1115" s="546"/>
      <c r="G1115" s="81">
        <f t="shared" si="413"/>
        <v>0</v>
      </c>
      <c r="H1115" s="81"/>
      <c r="I1115" s="81"/>
      <c r="J1115" s="81"/>
      <c r="K1115" s="81"/>
      <c r="L1115" s="81"/>
      <c r="M1115" s="81"/>
      <c r="N1115" s="604"/>
      <c r="O1115" s="944"/>
    </row>
    <row r="1116" spans="1:61" ht="24.6" customHeight="1">
      <c r="A1116" s="945" t="s">
        <v>140</v>
      </c>
      <c r="B1116" s="57" t="s">
        <v>89</v>
      </c>
      <c r="C1116" s="57"/>
      <c r="D1116" s="57"/>
      <c r="E1116" s="57"/>
      <c r="F1116" s="57"/>
      <c r="G1116" s="80">
        <f>G1120+G1124</f>
        <v>0</v>
      </c>
      <c r="H1116" s="80">
        <f t="shared" ref="H1116:M1116" si="415">H1120+H1124</f>
        <v>0</v>
      </c>
      <c r="I1116" s="80">
        <f t="shared" si="415"/>
        <v>0</v>
      </c>
      <c r="J1116" s="80">
        <f t="shared" si="415"/>
        <v>0</v>
      </c>
      <c r="K1116" s="80">
        <f t="shared" si="415"/>
        <v>0</v>
      </c>
      <c r="L1116" s="80">
        <f t="shared" si="415"/>
        <v>11.3</v>
      </c>
      <c r="M1116" s="80">
        <f t="shared" si="415"/>
        <v>7.8</v>
      </c>
      <c r="N1116" s="604"/>
      <c r="O1116" s="610"/>
    </row>
    <row r="1117" spans="1:61" ht="24.6" customHeight="1">
      <c r="A1117" s="945"/>
      <c r="B1117" s="57" t="s">
        <v>25</v>
      </c>
      <c r="C1117" s="57"/>
      <c r="D1117" s="57"/>
      <c r="E1117" s="57"/>
      <c r="F1117" s="57"/>
      <c r="G1117" s="80">
        <f>G1118+G1119</f>
        <v>0</v>
      </c>
      <c r="H1117" s="80">
        <f t="shared" ref="H1117:M1117" si="416">H1118+H1119</f>
        <v>0</v>
      </c>
      <c r="I1117" s="80">
        <f t="shared" si="416"/>
        <v>0</v>
      </c>
      <c r="J1117" s="80">
        <f t="shared" si="416"/>
        <v>0</v>
      </c>
      <c r="K1117" s="80">
        <f t="shared" si="416"/>
        <v>0</v>
      </c>
      <c r="L1117" s="80">
        <f t="shared" si="416"/>
        <v>145000</v>
      </c>
      <c r="M1117" s="80">
        <f t="shared" si="416"/>
        <v>124920</v>
      </c>
      <c r="N1117" s="604"/>
      <c r="O1117" s="610"/>
    </row>
    <row r="1118" spans="1:61" ht="24.6" customHeight="1">
      <c r="A1118" s="945"/>
      <c r="B1118" s="57" t="s">
        <v>10</v>
      </c>
      <c r="C1118" s="57"/>
      <c r="D1118" s="57"/>
      <c r="E1118" s="57"/>
      <c r="F1118" s="57"/>
      <c r="G1118" s="80">
        <f>G1122+G1126</f>
        <v>0</v>
      </c>
      <c r="H1118" s="80">
        <f t="shared" ref="H1118:M1118" si="417">H1122+H1126</f>
        <v>0</v>
      </c>
      <c r="I1118" s="80">
        <f t="shared" si="417"/>
        <v>0</v>
      </c>
      <c r="J1118" s="80">
        <f t="shared" si="417"/>
        <v>0</v>
      </c>
      <c r="K1118" s="80">
        <f t="shared" si="417"/>
        <v>0</v>
      </c>
      <c r="L1118" s="80">
        <f t="shared" si="417"/>
        <v>145000</v>
      </c>
      <c r="M1118" s="80">
        <f t="shared" si="417"/>
        <v>124920</v>
      </c>
      <c r="N1118" s="604"/>
      <c r="O1118" s="610"/>
    </row>
    <row r="1119" spans="1:61" ht="24.95" customHeight="1">
      <c r="A1119" s="945"/>
      <c r="B1119" s="57" t="s">
        <v>495</v>
      </c>
      <c r="C1119" s="57"/>
      <c r="D1119" s="57"/>
      <c r="E1119" s="57"/>
      <c r="F1119" s="57"/>
      <c r="G1119" s="80">
        <f>G1123+G1127</f>
        <v>0</v>
      </c>
      <c r="H1119" s="80">
        <f t="shared" ref="H1119:M1119" si="418">H1123+H1127</f>
        <v>0</v>
      </c>
      <c r="I1119" s="80">
        <f t="shared" si="418"/>
        <v>0</v>
      </c>
      <c r="J1119" s="80">
        <f t="shared" si="418"/>
        <v>0</v>
      </c>
      <c r="K1119" s="80">
        <f t="shared" si="418"/>
        <v>0</v>
      </c>
      <c r="L1119" s="80">
        <f t="shared" si="418"/>
        <v>0</v>
      </c>
      <c r="M1119" s="80">
        <f t="shared" si="418"/>
        <v>0</v>
      </c>
      <c r="N1119" s="604"/>
      <c r="O1119" s="610"/>
    </row>
    <row r="1120" spans="1:61" ht="24.95" hidden="1" customHeight="1">
      <c r="A1120" s="926" t="s">
        <v>533</v>
      </c>
      <c r="B1120" s="546" t="s">
        <v>89</v>
      </c>
      <c r="C1120" s="546">
        <v>176</v>
      </c>
      <c r="D1120" s="546" t="s">
        <v>15</v>
      </c>
      <c r="E1120" s="546">
        <v>6100404</v>
      </c>
      <c r="F1120" s="546">
        <v>244</v>
      </c>
      <c r="G1120" s="81">
        <f>K1120</f>
        <v>0</v>
      </c>
      <c r="H1120" s="81"/>
      <c r="I1120" s="81"/>
      <c r="J1120" s="81"/>
      <c r="K1120" s="81">
        <v>0</v>
      </c>
      <c r="L1120" s="81">
        <v>0</v>
      </c>
      <c r="M1120" s="81"/>
      <c r="N1120" s="604"/>
      <c r="O1120" s="933" t="s">
        <v>534</v>
      </c>
    </row>
    <row r="1121" spans="1:67" ht="24.95" hidden="1" customHeight="1">
      <c r="A1121" s="927"/>
      <c r="B1121" s="546" t="s">
        <v>25</v>
      </c>
      <c r="C1121" s="546"/>
      <c r="D1121" s="546"/>
      <c r="E1121" s="546"/>
      <c r="F1121" s="546"/>
      <c r="G1121" s="81">
        <f t="shared" ref="G1121:G1123" si="419">K1121</f>
        <v>0</v>
      </c>
      <c r="H1121" s="81"/>
      <c r="I1121" s="81"/>
      <c r="J1121" s="81"/>
      <c r="K1121" s="81">
        <f>K1122+K1123</f>
        <v>0</v>
      </c>
      <c r="L1121" s="81">
        <f t="shared" ref="L1121:M1121" si="420">L1122+L1123</f>
        <v>0</v>
      </c>
      <c r="M1121" s="81">
        <f t="shared" si="420"/>
        <v>0</v>
      </c>
      <c r="N1121" s="604"/>
      <c r="O1121" s="946"/>
    </row>
    <row r="1122" spans="1:67" ht="24.95" hidden="1" customHeight="1">
      <c r="A1122" s="927"/>
      <c r="B1122" s="546" t="s">
        <v>10</v>
      </c>
      <c r="C1122" s="546"/>
      <c r="D1122" s="546"/>
      <c r="E1122" s="546"/>
      <c r="F1122" s="546"/>
      <c r="G1122" s="81">
        <f t="shared" si="419"/>
        <v>0</v>
      </c>
      <c r="H1122" s="81"/>
      <c r="I1122" s="81"/>
      <c r="J1122" s="81"/>
      <c r="K1122" s="81">
        <v>0</v>
      </c>
      <c r="L1122" s="81">
        <v>0</v>
      </c>
      <c r="M1122" s="81"/>
      <c r="N1122" s="604"/>
      <c r="O1122" s="946"/>
    </row>
    <row r="1123" spans="1:67" ht="24.95" hidden="1" customHeight="1">
      <c r="A1123" s="928"/>
      <c r="B1123" s="546" t="s">
        <v>495</v>
      </c>
      <c r="C1123" s="546"/>
      <c r="D1123" s="546"/>
      <c r="E1123" s="546"/>
      <c r="F1123" s="546"/>
      <c r="G1123" s="81">
        <f t="shared" si="419"/>
        <v>0</v>
      </c>
      <c r="H1123" s="81"/>
      <c r="I1123" s="81"/>
      <c r="J1123" s="81"/>
      <c r="K1123" s="81">
        <v>0</v>
      </c>
      <c r="L1123" s="81"/>
      <c r="M1123" s="81"/>
      <c r="N1123" s="604"/>
      <c r="O1123" s="934"/>
    </row>
    <row r="1124" spans="1:67" ht="24.95" customHeight="1">
      <c r="A1124" s="926" t="s">
        <v>602</v>
      </c>
      <c r="B1124" s="546" t="s">
        <v>89</v>
      </c>
      <c r="C1124" s="546"/>
      <c r="D1124" s="546"/>
      <c r="E1124" s="546"/>
      <c r="F1124" s="546"/>
      <c r="G1124" s="81">
        <f>K1124</f>
        <v>0</v>
      </c>
      <c r="H1124" s="81"/>
      <c r="I1124" s="81"/>
      <c r="J1124" s="81"/>
      <c r="K1124" s="81">
        <v>0</v>
      </c>
      <c r="L1124" s="81">
        <v>11.3</v>
      </c>
      <c r="M1124" s="81">
        <v>7.8</v>
      </c>
      <c r="N1124" s="604"/>
      <c r="O1124" s="933" t="s">
        <v>978</v>
      </c>
    </row>
    <row r="1125" spans="1:67" ht="24.95" customHeight="1">
      <c r="A1125" s="927"/>
      <c r="B1125" s="546" t="s">
        <v>25</v>
      </c>
      <c r="C1125" s="546"/>
      <c r="D1125" s="546"/>
      <c r="E1125" s="546"/>
      <c r="F1125" s="546"/>
      <c r="G1125" s="81">
        <f t="shared" ref="G1125:G1127" si="421">K1125</f>
        <v>0</v>
      </c>
      <c r="H1125" s="81"/>
      <c r="I1125" s="81"/>
      <c r="J1125" s="81"/>
      <c r="K1125" s="81">
        <f>K1126+K1127</f>
        <v>0</v>
      </c>
      <c r="L1125" s="81">
        <f t="shared" ref="L1125:M1125" si="422">L1126+L1127</f>
        <v>145000</v>
      </c>
      <c r="M1125" s="81">
        <f t="shared" si="422"/>
        <v>124920</v>
      </c>
      <c r="N1125" s="604"/>
      <c r="O1125" s="946"/>
    </row>
    <row r="1126" spans="1:67" ht="24.95" customHeight="1">
      <c r="A1126" s="927"/>
      <c r="B1126" s="546" t="s">
        <v>10</v>
      </c>
      <c r="C1126" s="546"/>
      <c r="D1126" s="546"/>
      <c r="E1126" s="546"/>
      <c r="F1126" s="546"/>
      <c r="G1126" s="81">
        <f t="shared" si="421"/>
        <v>0</v>
      </c>
      <c r="H1126" s="81"/>
      <c r="I1126" s="81"/>
      <c r="J1126" s="81"/>
      <c r="K1126" s="81">
        <v>0</v>
      </c>
      <c r="L1126" s="81">
        <v>145000</v>
      </c>
      <c r="M1126" s="81">
        <v>124920</v>
      </c>
      <c r="N1126" s="604"/>
      <c r="O1126" s="946"/>
    </row>
    <row r="1127" spans="1:67" ht="24.75" customHeight="1">
      <c r="A1127" s="928"/>
      <c r="B1127" s="546" t="s">
        <v>495</v>
      </c>
      <c r="C1127" s="546"/>
      <c r="D1127" s="546"/>
      <c r="E1127" s="546"/>
      <c r="F1127" s="546"/>
      <c r="G1127" s="81">
        <f t="shared" si="421"/>
        <v>0</v>
      </c>
      <c r="H1127" s="81"/>
      <c r="I1127" s="81"/>
      <c r="J1127" s="81"/>
      <c r="K1127" s="81">
        <v>0</v>
      </c>
      <c r="L1127" s="81"/>
      <c r="M1127" s="81"/>
      <c r="N1127" s="604"/>
      <c r="O1127" s="934"/>
    </row>
    <row r="1128" spans="1:67" ht="23.45" customHeight="1">
      <c r="A1128" s="887" t="s">
        <v>141</v>
      </c>
      <c r="B1128" s="57" t="s">
        <v>89</v>
      </c>
      <c r="C1128" s="57"/>
      <c r="D1128" s="57"/>
      <c r="E1128" s="57"/>
      <c r="F1128" s="57"/>
      <c r="G1128" s="80">
        <f>G1130+G1132+G1134</f>
        <v>4.8</v>
      </c>
      <c r="H1128" s="80">
        <f t="shared" ref="H1128:M1128" si="423">H1130+H1132+H1134</f>
        <v>0</v>
      </c>
      <c r="I1128" s="80">
        <f t="shared" si="423"/>
        <v>0</v>
      </c>
      <c r="J1128" s="80">
        <f t="shared" si="423"/>
        <v>0</v>
      </c>
      <c r="K1128" s="80">
        <f t="shared" si="423"/>
        <v>4.8</v>
      </c>
      <c r="L1128" s="80">
        <f t="shared" si="423"/>
        <v>3</v>
      </c>
      <c r="M1128" s="80">
        <f t="shared" si="423"/>
        <v>13</v>
      </c>
      <c r="N1128" s="604"/>
      <c r="O1128" s="604"/>
    </row>
    <row r="1129" spans="1:67" ht="24">
      <c r="A1129" s="888"/>
      <c r="B1129" s="561" t="s">
        <v>246</v>
      </c>
      <c r="C1129" s="561"/>
      <c r="D1129" s="561"/>
      <c r="E1129" s="561"/>
      <c r="F1129" s="561"/>
      <c r="G1129" s="263">
        <f>G1131+G1133+G1135</f>
        <v>29357.599999999999</v>
      </c>
      <c r="H1129" s="263">
        <f t="shared" ref="H1129:M1129" si="424">H1131+H1133+H1135</f>
        <v>0</v>
      </c>
      <c r="I1129" s="263">
        <f t="shared" si="424"/>
        <v>0</v>
      </c>
      <c r="J1129" s="263">
        <f t="shared" si="424"/>
        <v>0</v>
      </c>
      <c r="K1129" s="263">
        <f t="shared" si="424"/>
        <v>29357.599999999999</v>
      </c>
      <c r="L1129" s="263">
        <f t="shared" si="424"/>
        <v>40000</v>
      </c>
      <c r="M1129" s="263">
        <f t="shared" si="424"/>
        <v>190000</v>
      </c>
      <c r="N1129" s="601"/>
      <c r="O1129" s="604"/>
      <c r="P1129" s="267"/>
      <c r="Q1129" s="267"/>
      <c r="R1129" s="267"/>
      <c r="S1129" s="267"/>
      <c r="T1129" s="267"/>
      <c r="U1129" s="267"/>
      <c r="V1129" s="267"/>
      <c r="W1129" s="267"/>
      <c r="X1129" s="267"/>
      <c r="Y1129" s="267"/>
      <c r="Z1129" s="267"/>
      <c r="AA1129" s="267"/>
      <c r="AB1129" s="267"/>
      <c r="AC1129" s="267"/>
      <c r="AD1129" s="267"/>
      <c r="AE1129" s="267"/>
      <c r="AF1129" s="267"/>
      <c r="AG1129" s="267"/>
      <c r="AH1129" s="267"/>
      <c r="AI1129" s="267"/>
      <c r="BJ1129" s="267"/>
      <c r="BK1129" s="267"/>
      <c r="BL1129" s="267"/>
      <c r="BM1129" s="267"/>
      <c r="BN1129" s="267"/>
    </row>
    <row r="1130" spans="1:67" s="50" customFormat="1" ht="26.45" customHeight="1">
      <c r="A1130" s="932" t="s">
        <v>1117</v>
      </c>
      <c r="B1130" s="797" t="s">
        <v>89</v>
      </c>
      <c r="C1130" s="797"/>
      <c r="D1130" s="797"/>
      <c r="E1130" s="797"/>
      <c r="F1130" s="797"/>
      <c r="G1130" s="81">
        <f>K1130</f>
        <v>0</v>
      </c>
      <c r="H1130" s="81"/>
      <c r="I1130" s="81"/>
      <c r="J1130" s="81"/>
      <c r="K1130" s="81"/>
      <c r="L1130" s="81"/>
      <c r="M1130" s="81">
        <v>3</v>
      </c>
      <c r="N1130" s="797"/>
      <c r="O1130" s="933" t="s">
        <v>529</v>
      </c>
      <c r="P1130" s="267"/>
      <c r="Q1130" s="267"/>
      <c r="R1130" s="267"/>
      <c r="S1130" s="267"/>
      <c r="T1130" s="267"/>
      <c r="U1130" s="267"/>
      <c r="V1130" s="267"/>
      <c r="W1130" s="267"/>
      <c r="X1130" s="267"/>
      <c r="Y1130" s="267"/>
      <c r="Z1130" s="267"/>
      <c r="AA1130" s="267"/>
      <c r="AB1130" s="267"/>
      <c r="AC1130" s="267"/>
      <c r="AD1130" s="267"/>
      <c r="AE1130" s="267"/>
      <c r="AF1130" s="267"/>
      <c r="AG1130" s="267"/>
      <c r="AH1130" s="266"/>
      <c r="AI1130" s="300"/>
      <c r="AJ1130" s="267"/>
      <c r="AK1130" s="267"/>
      <c r="AL1130" s="267"/>
      <c r="AM1130" s="267"/>
      <c r="AN1130" s="267"/>
      <c r="AO1130" s="267"/>
      <c r="AP1130" s="267"/>
      <c r="AQ1130" s="267"/>
      <c r="AR1130" s="267"/>
      <c r="AS1130" s="267"/>
      <c r="AT1130" s="267"/>
      <c r="AU1130" s="267"/>
      <c r="AV1130" s="267"/>
      <c r="AW1130" s="267"/>
      <c r="AX1130" s="267"/>
      <c r="AY1130" s="267"/>
      <c r="AZ1130" s="267"/>
      <c r="BA1130" s="267"/>
      <c r="BB1130" s="267"/>
      <c r="BC1130" s="267"/>
      <c r="BD1130" s="267"/>
      <c r="BE1130" s="267"/>
      <c r="BF1130" s="267"/>
      <c r="BG1130" s="267"/>
      <c r="BH1130" s="267"/>
      <c r="BI1130" s="267"/>
      <c r="BJ1130" s="267"/>
      <c r="BK1130" s="267"/>
      <c r="BL1130" s="267"/>
      <c r="BM1130" s="267"/>
      <c r="BN1130" s="267"/>
      <c r="BO1130" s="266"/>
    </row>
    <row r="1131" spans="1:67" s="50" customFormat="1" ht="26.45" customHeight="1">
      <c r="A1131" s="932"/>
      <c r="B1131" s="796" t="s">
        <v>246</v>
      </c>
      <c r="C1131" s="797"/>
      <c r="D1131" s="797"/>
      <c r="E1131" s="797"/>
      <c r="F1131" s="797"/>
      <c r="G1131" s="81">
        <f>K1131</f>
        <v>0</v>
      </c>
      <c r="H1131" s="81"/>
      <c r="I1131" s="81"/>
      <c r="J1131" s="81"/>
      <c r="K1131" s="81"/>
      <c r="L1131" s="81"/>
      <c r="M1131" s="81">
        <v>30000</v>
      </c>
      <c r="N1131" s="797"/>
      <c r="O1131" s="934"/>
      <c r="P1131" s="267"/>
      <c r="Q1131" s="267"/>
      <c r="R1131" s="267"/>
      <c r="S1131" s="267"/>
      <c r="T1131" s="267"/>
      <c r="U1131" s="267"/>
      <c r="V1131" s="267"/>
      <c r="W1131" s="267"/>
      <c r="X1131" s="267"/>
      <c r="Y1131" s="267"/>
      <c r="Z1131" s="267"/>
      <c r="AA1131" s="267"/>
      <c r="AB1131" s="267"/>
      <c r="AC1131" s="267"/>
      <c r="AD1131" s="267"/>
      <c r="AE1131" s="267"/>
      <c r="AF1131" s="267"/>
      <c r="AG1131" s="267"/>
      <c r="AH1131" s="266"/>
      <c r="AI1131" s="300"/>
      <c r="AJ1131" s="267"/>
      <c r="AK1131" s="267"/>
      <c r="AL1131" s="267"/>
      <c r="AM1131" s="267"/>
      <c r="AN1131" s="267"/>
      <c r="AO1131" s="267"/>
      <c r="AP1131" s="267"/>
      <c r="AQ1131" s="267"/>
      <c r="AR1131" s="267"/>
      <c r="AS1131" s="267"/>
      <c r="AT1131" s="267"/>
      <c r="AU1131" s="267"/>
      <c r="AV1131" s="267"/>
      <c r="AW1131" s="267"/>
      <c r="AX1131" s="267"/>
      <c r="AY1131" s="267"/>
      <c r="AZ1131" s="267"/>
      <c r="BA1131" s="267"/>
      <c r="BB1131" s="267"/>
      <c r="BC1131" s="267"/>
      <c r="BD1131" s="267"/>
      <c r="BE1131" s="267"/>
      <c r="BF1131" s="267"/>
      <c r="BG1131" s="267"/>
      <c r="BH1131" s="267"/>
      <c r="BI1131" s="267"/>
      <c r="BJ1131" s="267"/>
      <c r="BK1131" s="267"/>
      <c r="BL1131" s="267"/>
      <c r="BM1131" s="267"/>
      <c r="BN1131" s="267"/>
      <c r="BO1131" s="266"/>
    </row>
    <row r="1132" spans="1:67" s="50" customFormat="1" ht="26.45" customHeight="1">
      <c r="A1132" s="932" t="s">
        <v>627</v>
      </c>
      <c r="B1132" s="546" t="s">
        <v>89</v>
      </c>
      <c r="C1132" s="546"/>
      <c r="D1132" s="546"/>
      <c r="E1132" s="546"/>
      <c r="F1132" s="546"/>
      <c r="G1132" s="81">
        <f>K1132</f>
        <v>4.8</v>
      </c>
      <c r="H1132" s="81"/>
      <c r="I1132" s="81"/>
      <c r="J1132" s="81"/>
      <c r="K1132" s="81">
        <v>4.8</v>
      </c>
      <c r="L1132" s="81">
        <v>0</v>
      </c>
      <c r="M1132" s="81"/>
      <c r="N1132" s="604"/>
      <c r="O1132" s="933" t="s">
        <v>628</v>
      </c>
      <c r="P1132" s="267"/>
      <c r="Q1132" s="267"/>
      <c r="R1132" s="267"/>
      <c r="S1132" s="267"/>
      <c r="T1132" s="267"/>
      <c r="U1132" s="267"/>
      <c r="V1132" s="267"/>
      <c r="W1132" s="267"/>
      <c r="X1132" s="267"/>
      <c r="Y1132" s="267"/>
      <c r="Z1132" s="267"/>
      <c r="AA1132" s="267"/>
      <c r="AB1132" s="267"/>
      <c r="AC1132" s="267"/>
      <c r="AD1132" s="267"/>
      <c r="AE1132" s="267"/>
      <c r="AF1132" s="267"/>
      <c r="AG1132" s="267"/>
      <c r="AH1132" s="266"/>
      <c r="AI1132" s="300"/>
      <c r="AJ1132" s="267"/>
      <c r="AK1132" s="267"/>
      <c r="AL1132" s="267"/>
      <c r="AM1132" s="267"/>
      <c r="AN1132" s="267"/>
      <c r="AO1132" s="267"/>
      <c r="AP1132" s="267"/>
      <c r="AQ1132" s="267"/>
      <c r="AR1132" s="267"/>
      <c r="AS1132" s="267"/>
      <c r="AT1132" s="267"/>
      <c r="AU1132" s="267"/>
      <c r="AV1132" s="267"/>
      <c r="AW1132" s="267"/>
      <c r="AX1132" s="267"/>
      <c r="AY1132" s="267"/>
      <c r="AZ1132" s="267"/>
      <c r="BA1132" s="267"/>
      <c r="BB1132" s="267"/>
      <c r="BC1132" s="267"/>
      <c r="BD1132" s="267"/>
      <c r="BE1132" s="267"/>
      <c r="BF1132" s="267"/>
      <c r="BG1132" s="267"/>
      <c r="BH1132" s="267"/>
      <c r="BI1132" s="267"/>
      <c r="BJ1132" s="267"/>
      <c r="BK1132" s="267"/>
      <c r="BL1132" s="267"/>
      <c r="BM1132" s="267"/>
      <c r="BN1132" s="267"/>
      <c r="BO1132" s="266"/>
    </row>
    <row r="1133" spans="1:67" s="50" customFormat="1" ht="26.45" customHeight="1">
      <c r="A1133" s="932"/>
      <c r="B1133" s="542" t="s">
        <v>246</v>
      </c>
      <c r="C1133" s="546"/>
      <c r="D1133" s="546"/>
      <c r="E1133" s="546"/>
      <c r="F1133" s="546"/>
      <c r="G1133" s="81">
        <f>K1133</f>
        <v>29357.599999999999</v>
      </c>
      <c r="H1133" s="81"/>
      <c r="I1133" s="81"/>
      <c r="J1133" s="81"/>
      <c r="K1133" s="81">
        <v>29357.599999999999</v>
      </c>
      <c r="L1133" s="81">
        <v>0</v>
      </c>
      <c r="M1133" s="81"/>
      <c r="N1133" s="604"/>
      <c r="O1133" s="934"/>
      <c r="P1133" s="267"/>
      <c r="Q1133" s="267"/>
      <c r="R1133" s="267"/>
      <c r="S1133" s="267"/>
      <c r="T1133" s="267"/>
      <c r="U1133" s="267"/>
      <c r="V1133" s="267"/>
      <c r="W1133" s="267"/>
      <c r="X1133" s="267"/>
      <c r="Y1133" s="267"/>
      <c r="Z1133" s="267"/>
      <c r="AA1133" s="267"/>
      <c r="AB1133" s="267"/>
      <c r="AC1133" s="267"/>
      <c r="AD1133" s="267"/>
      <c r="AE1133" s="267"/>
      <c r="AF1133" s="267"/>
      <c r="AG1133" s="267"/>
      <c r="AH1133" s="266"/>
      <c r="AI1133" s="300"/>
      <c r="AJ1133" s="267"/>
      <c r="AK1133" s="267"/>
      <c r="AL1133" s="267"/>
      <c r="AM1133" s="267"/>
      <c r="AN1133" s="267"/>
      <c r="AO1133" s="267"/>
      <c r="AP1133" s="267"/>
      <c r="AQ1133" s="267"/>
      <c r="AR1133" s="267"/>
      <c r="AS1133" s="267"/>
      <c r="AT1133" s="267"/>
      <c r="AU1133" s="267"/>
      <c r="AV1133" s="267"/>
      <c r="AW1133" s="267"/>
      <c r="AX1133" s="267"/>
      <c r="AY1133" s="267"/>
      <c r="AZ1133" s="267"/>
      <c r="BA1133" s="267"/>
      <c r="BB1133" s="267"/>
      <c r="BC1133" s="267"/>
      <c r="BD1133" s="267"/>
      <c r="BE1133" s="267"/>
      <c r="BF1133" s="267"/>
      <c r="BG1133" s="267"/>
      <c r="BH1133" s="267"/>
      <c r="BI1133" s="267"/>
      <c r="BJ1133" s="267"/>
      <c r="BK1133" s="267"/>
      <c r="BL1133" s="267"/>
      <c r="BM1133" s="267"/>
      <c r="BN1133" s="267"/>
      <c r="BO1133" s="266"/>
    </row>
    <row r="1134" spans="1:67" s="50" customFormat="1" ht="26.45" customHeight="1">
      <c r="A1134" s="926" t="s">
        <v>1111</v>
      </c>
      <c r="B1134" s="546" t="s">
        <v>89</v>
      </c>
      <c r="C1134" s="546"/>
      <c r="D1134" s="546"/>
      <c r="E1134" s="546"/>
      <c r="F1134" s="546"/>
      <c r="G1134" s="81"/>
      <c r="H1134" s="81"/>
      <c r="I1134" s="81"/>
      <c r="J1134" s="81"/>
      <c r="K1134" s="81"/>
      <c r="L1134" s="81">
        <v>3</v>
      </c>
      <c r="M1134" s="81">
        <v>10</v>
      </c>
      <c r="N1134" s="604"/>
      <c r="O1134" s="933" t="s">
        <v>979</v>
      </c>
      <c r="P1134" s="267"/>
      <c r="Q1134" s="267"/>
      <c r="R1134" s="267"/>
      <c r="S1134" s="267"/>
      <c r="T1134" s="267"/>
      <c r="U1134" s="267"/>
      <c r="V1134" s="267"/>
      <c r="W1134" s="267"/>
      <c r="X1134" s="267"/>
      <c r="Y1134" s="267"/>
      <c r="Z1134" s="267"/>
      <c r="AA1134" s="267"/>
      <c r="AB1134" s="267"/>
      <c r="AC1134" s="267"/>
      <c r="AD1134" s="267"/>
      <c r="AE1134" s="267"/>
      <c r="AF1134" s="267"/>
      <c r="AG1134" s="267"/>
      <c r="AH1134" s="266"/>
      <c r="AI1134" s="300"/>
      <c r="AJ1134" s="267"/>
      <c r="AK1134" s="267"/>
      <c r="AL1134" s="267"/>
      <c r="AM1134" s="267"/>
      <c r="AN1134" s="267"/>
      <c r="AO1134" s="267"/>
      <c r="AP1134" s="267"/>
      <c r="AQ1134" s="267"/>
      <c r="AR1134" s="267"/>
      <c r="AS1134" s="267"/>
      <c r="AT1134" s="267"/>
      <c r="AU1134" s="267"/>
      <c r="AV1134" s="267"/>
      <c r="AW1134" s="267"/>
      <c r="AX1134" s="267"/>
      <c r="AY1134" s="267"/>
      <c r="AZ1134" s="267"/>
      <c r="BA1134" s="267"/>
      <c r="BB1134" s="267"/>
      <c r="BC1134" s="267"/>
      <c r="BD1134" s="267"/>
      <c r="BE1134" s="267"/>
      <c r="BF1134" s="267"/>
      <c r="BG1134" s="267"/>
      <c r="BH1134" s="267"/>
      <c r="BI1134" s="267"/>
      <c r="BJ1134" s="267"/>
      <c r="BK1134" s="267"/>
      <c r="BL1134" s="267"/>
      <c r="BM1134" s="267"/>
      <c r="BN1134" s="267"/>
      <c r="BO1134" s="266"/>
    </row>
    <row r="1135" spans="1:67" s="50" customFormat="1" ht="24.75" customHeight="1">
      <c r="A1135" s="928"/>
      <c r="B1135" s="546" t="s">
        <v>246</v>
      </c>
      <c r="C1135" s="546"/>
      <c r="D1135" s="546"/>
      <c r="E1135" s="546"/>
      <c r="F1135" s="546"/>
      <c r="G1135" s="81"/>
      <c r="H1135" s="81"/>
      <c r="I1135" s="81"/>
      <c r="J1135" s="81"/>
      <c r="K1135" s="81"/>
      <c r="L1135" s="81">
        <v>40000</v>
      </c>
      <c r="M1135" s="81">
        <v>160000</v>
      </c>
      <c r="N1135" s="604"/>
      <c r="O1135" s="934"/>
      <c r="P1135" s="267"/>
      <c r="Q1135" s="267"/>
      <c r="R1135" s="267"/>
      <c r="S1135" s="267"/>
      <c r="T1135" s="267"/>
      <c r="U1135" s="267"/>
      <c r="V1135" s="267"/>
      <c r="W1135" s="267"/>
      <c r="X1135" s="267"/>
      <c r="Y1135" s="267"/>
      <c r="Z1135" s="267"/>
      <c r="AA1135" s="267"/>
      <c r="AB1135" s="267"/>
      <c r="AC1135" s="267"/>
      <c r="AD1135" s="267"/>
      <c r="AE1135" s="267"/>
      <c r="AF1135" s="267"/>
      <c r="AG1135" s="267"/>
      <c r="AH1135" s="266"/>
      <c r="AI1135" s="300"/>
      <c r="AJ1135" s="267"/>
      <c r="AK1135" s="267"/>
      <c r="AL1135" s="267"/>
      <c r="AM1135" s="267"/>
      <c r="AN1135" s="267"/>
      <c r="AO1135" s="267"/>
      <c r="AP1135" s="267"/>
      <c r="AQ1135" s="267"/>
      <c r="AR1135" s="267"/>
      <c r="AS1135" s="267"/>
      <c r="AT1135" s="267"/>
      <c r="AU1135" s="267"/>
      <c r="AV1135" s="267"/>
      <c r="AW1135" s="267"/>
      <c r="AX1135" s="267"/>
      <c r="AY1135" s="267"/>
      <c r="AZ1135" s="267"/>
      <c r="BA1135" s="267"/>
      <c r="BB1135" s="267"/>
      <c r="BC1135" s="267"/>
      <c r="BD1135" s="267"/>
      <c r="BE1135" s="267"/>
      <c r="BF1135" s="267"/>
      <c r="BG1135" s="267"/>
      <c r="BH1135" s="267"/>
      <c r="BI1135" s="267"/>
      <c r="BJ1135" s="267"/>
      <c r="BK1135" s="267"/>
      <c r="BL1135" s="267"/>
      <c r="BM1135" s="267"/>
      <c r="BN1135" s="267"/>
      <c r="BO1135" s="266"/>
    </row>
    <row r="1136" spans="1:67" s="267" customFormat="1" ht="24.75" customHeight="1">
      <c r="A1136" s="887" t="s">
        <v>107</v>
      </c>
      <c r="B1136" s="57" t="s">
        <v>89</v>
      </c>
      <c r="C1136" s="544"/>
      <c r="D1136" s="544"/>
      <c r="E1136" s="544"/>
      <c r="F1136" s="544"/>
      <c r="G1136" s="86">
        <f>G1138+G1140+G1142</f>
        <v>0</v>
      </c>
      <c r="H1136" s="86">
        <f t="shared" ref="H1136:M1136" si="425">H1138+H1140+H1142</f>
        <v>0</v>
      </c>
      <c r="I1136" s="86">
        <f t="shared" si="425"/>
        <v>0</v>
      </c>
      <c r="J1136" s="86">
        <f t="shared" si="425"/>
        <v>0</v>
      </c>
      <c r="K1136" s="86">
        <f t="shared" si="425"/>
        <v>0</v>
      </c>
      <c r="L1136" s="86">
        <f t="shared" si="425"/>
        <v>2.7</v>
      </c>
      <c r="M1136" s="86">
        <f t="shared" si="425"/>
        <v>6.3</v>
      </c>
      <c r="N1136" s="603"/>
      <c r="O1136" s="603"/>
    </row>
    <row r="1137" spans="1:15" s="267" customFormat="1" ht="24.75" customHeight="1">
      <c r="A1137" s="889"/>
      <c r="B1137" s="561" t="s">
        <v>246</v>
      </c>
      <c r="C1137" s="544"/>
      <c r="D1137" s="544"/>
      <c r="E1137" s="544"/>
      <c r="F1137" s="544"/>
      <c r="G1137" s="86">
        <f>G1139+G1141+G1143</f>
        <v>0</v>
      </c>
      <c r="H1137" s="86">
        <f t="shared" ref="H1137:M1137" si="426">H1139+H1141+H1143</f>
        <v>0</v>
      </c>
      <c r="I1137" s="86">
        <f t="shared" si="426"/>
        <v>0</v>
      </c>
      <c r="J1137" s="86">
        <f t="shared" si="426"/>
        <v>0</v>
      </c>
      <c r="K1137" s="86">
        <f t="shared" si="426"/>
        <v>0</v>
      </c>
      <c r="L1137" s="86">
        <f t="shared" si="426"/>
        <v>32520</v>
      </c>
      <c r="M1137" s="86">
        <f t="shared" si="426"/>
        <v>93366.5</v>
      </c>
      <c r="N1137" s="603"/>
      <c r="O1137" s="603"/>
    </row>
    <row r="1138" spans="1:15" s="267" customFormat="1" ht="24.75" customHeight="1">
      <c r="A1138" s="926" t="s">
        <v>1104</v>
      </c>
      <c r="B1138" s="661" t="s">
        <v>89</v>
      </c>
      <c r="C1138" s="660"/>
      <c r="D1138" s="660"/>
      <c r="E1138" s="660"/>
      <c r="F1138" s="660"/>
      <c r="G1138" s="264"/>
      <c r="H1138" s="264"/>
      <c r="I1138" s="264"/>
      <c r="J1138" s="264"/>
      <c r="K1138" s="264"/>
      <c r="L1138" s="264">
        <v>2.7</v>
      </c>
      <c r="M1138" s="264">
        <v>3</v>
      </c>
      <c r="N1138" s="660"/>
      <c r="O1138" s="933" t="s">
        <v>980</v>
      </c>
    </row>
    <row r="1139" spans="1:15" s="267" customFormat="1" ht="24.75" customHeight="1">
      <c r="A1139" s="928"/>
      <c r="B1139" s="661" t="s">
        <v>246</v>
      </c>
      <c r="C1139" s="660"/>
      <c r="D1139" s="660"/>
      <c r="E1139" s="660"/>
      <c r="F1139" s="660"/>
      <c r="G1139" s="264"/>
      <c r="H1139" s="264"/>
      <c r="I1139" s="264"/>
      <c r="J1139" s="264"/>
      <c r="K1139" s="264"/>
      <c r="L1139" s="264">
        <v>32520</v>
      </c>
      <c r="M1139" s="264">
        <v>45000</v>
      </c>
      <c r="N1139" s="660"/>
      <c r="O1139" s="934"/>
    </row>
    <row r="1140" spans="1:15" s="267" customFormat="1" ht="24.75" customHeight="1">
      <c r="A1140" s="926" t="s">
        <v>981</v>
      </c>
      <c r="B1140" s="661" t="s">
        <v>89</v>
      </c>
      <c r="C1140" s="660"/>
      <c r="D1140" s="660"/>
      <c r="E1140" s="660"/>
      <c r="F1140" s="660"/>
      <c r="G1140" s="264"/>
      <c r="H1140" s="264"/>
      <c r="I1140" s="264"/>
      <c r="J1140" s="264"/>
      <c r="K1140" s="264"/>
      <c r="L1140" s="264">
        <v>0</v>
      </c>
      <c r="M1140" s="264">
        <v>2.2999999999999998</v>
      </c>
      <c r="N1140" s="660"/>
      <c r="O1140" s="933" t="s">
        <v>982</v>
      </c>
    </row>
    <row r="1141" spans="1:15" s="267" customFormat="1" ht="24.75" customHeight="1">
      <c r="A1141" s="928"/>
      <c r="B1141" s="661" t="s">
        <v>246</v>
      </c>
      <c r="C1141" s="660"/>
      <c r="D1141" s="660"/>
      <c r="E1141" s="660"/>
      <c r="F1141" s="660"/>
      <c r="G1141" s="264"/>
      <c r="H1141" s="264"/>
      <c r="I1141" s="264"/>
      <c r="J1141" s="264"/>
      <c r="K1141" s="264"/>
      <c r="L1141" s="264">
        <v>0</v>
      </c>
      <c r="M1141" s="264">
        <f>28986.5+3000</f>
        <v>31986.5</v>
      </c>
      <c r="N1141" s="660"/>
      <c r="O1141" s="934"/>
    </row>
    <row r="1142" spans="1:15" s="267" customFormat="1" ht="24.75" customHeight="1">
      <c r="A1142" s="926" t="s">
        <v>983</v>
      </c>
      <c r="B1142" s="546" t="s">
        <v>89</v>
      </c>
      <c r="C1142" s="544"/>
      <c r="D1142" s="544"/>
      <c r="E1142" s="544"/>
      <c r="F1142" s="544"/>
      <c r="G1142" s="264"/>
      <c r="H1142" s="264"/>
      <c r="I1142" s="264"/>
      <c r="J1142" s="264"/>
      <c r="K1142" s="264"/>
      <c r="L1142" s="264">
        <v>0</v>
      </c>
      <c r="M1142" s="264">
        <v>1</v>
      </c>
      <c r="N1142" s="603"/>
      <c r="O1142" s="933" t="s">
        <v>583</v>
      </c>
    </row>
    <row r="1143" spans="1:15" s="267" customFormat="1" ht="24.75" customHeight="1">
      <c r="A1143" s="928"/>
      <c r="B1143" s="546" t="s">
        <v>246</v>
      </c>
      <c r="C1143" s="544"/>
      <c r="D1143" s="544"/>
      <c r="E1143" s="544"/>
      <c r="F1143" s="544"/>
      <c r="G1143" s="264"/>
      <c r="H1143" s="264"/>
      <c r="I1143" s="264"/>
      <c r="J1143" s="264"/>
      <c r="K1143" s="264"/>
      <c r="L1143" s="264">
        <v>0</v>
      </c>
      <c r="M1143" s="264">
        <f>19380-3000</f>
        <v>16380</v>
      </c>
      <c r="N1143" s="603"/>
      <c r="O1143" s="934"/>
    </row>
    <row r="1144" spans="1:15" s="267" customFormat="1" ht="24.75" customHeight="1">
      <c r="A1144" s="887" t="s">
        <v>162</v>
      </c>
      <c r="B1144" s="57" t="s">
        <v>89</v>
      </c>
      <c r="C1144" s="544"/>
      <c r="D1144" s="544"/>
      <c r="E1144" s="544"/>
      <c r="F1144" s="544"/>
      <c r="G1144" s="86">
        <f>G1148+G1150+G1154+G1156</f>
        <v>3.3</v>
      </c>
      <c r="H1144" s="86">
        <f t="shared" ref="H1144:M1144" si="427">H1148+H1150+H1154+H1156</f>
        <v>0</v>
      </c>
      <c r="I1144" s="86">
        <f t="shared" si="427"/>
        <v>0</v>
      </c>
      <c r="J1144" s="86">
        <f t="shared" si="427"/>
        <v>0</v>
      </c>
      <c r="K1144" s="86">
        <f t="shared" si="427"/>
        <v>3.3</v>
      </c>
      <c r="L1144" s="86">
        <f t="shared" si="427"/>
        <v>11</v>
      </c>
      <c r="M1144" s="86">
        <f t="shared" si="427"/>
        <v>10.5</v>
      </c>
      <c r="N1144" s="603"/>
      <c r="O1144" s="603"/>
    </row>
    <row r="1145" spans="1:15" s="267" customFormat="1" ht="24.75" customHeight="1">
      <c r="A1145" s="888"/>
      <c r="B1145" s="57" t="s">
        <v>25</v>
      </c>
      <c r="C1145" s="544"/>
      <c r="D1145" s="544"/>
      <c r="E1145" s="544"/>
      <c r="F1145" s="544"/>
      <c r="G1145" s="86">
        <f>G1146+G1147</f>
        <v>61598.8</v>
      </c>
      <c r="H1145" s="86">
        <f t="shared" ref="H1145:M1145" si="428">H1146+H1147</f>
        <v>0</v>
      </c>
      <c r="I1145" s="86">
        <f t="shared" si="428"/>
        <v>0</v>
      </c>
      <c r="J1145" s="86">
        <f t="shared" si="428"/>
        <v>0</v>
      </c>
      <c r="K1145" s="86">
        <f t="shared" si="428"/>
        <v>61598.8</v>
      </c>
      <c r="L1145" s="86">
        <f t="shared" si="428"/>
        <v>145211</v>
      </c>
      <c r="M1145" s="86">
        <f t="shared" si="428"/>
        <v>154800</v>
      </c>
      <c r="N1145" s="603"/>
      <c r="O1145" s="603"/>
    </row>
    <row r="1146" spans="1:15" s="267" customFormat="1" ht="24.75" customHeight="1">
      <c r="A1146" s="888"/>
      <c r="B1146" s="57" t="s">
        <v>10</v>
      </c>
      <c r="C1146" s="544"/>
      <c r="D1146" s="544"/>
      <c r="E1146" s="544"/>
      <c r="F1146" s="544"/>
      <c r="G1146" s="86">
        <f>G1149+G1152+G1155+G1157</f>
        <v>61598.8</v>
      </c>
      <c r="H1146" s="86">
        <f t="shared" ref="H1146:M1146" si="429">H1149+H1152+H1155+H1157</f>
        <v>0</v>
      </c>
      <c r="I1146" s="86">
        <f t="shared" si="429"/>
        <v>0</v>
      </c>
      <c r="J1146" s="86">
        <f t="shared" si="429"/>
        <v>0</v>
      </c>
      <c r="K1146" s="86">
        <f t="shared" si="429"/>
        <v>61598.8</v>
      </c>
      <c r="L1146" s="86">
        <f t="shared" si="429"/>
        <v>145211</v>
      </c>
      <c r="M1146" s="86">
        <f t="shared" si="429"/>
        <v>154800</v>
      </c>
      <c r="N1146" s="603"/>
      <c r="O1146" s="603"/>
    </row>
    <row r="1147" spans="1:15" s="267" customFormat="1" ht="24.75" customHeight="1">
      <c r="A1147" s="889"/>
      <c r="B1147" s="57" t="s">
        <v>495</v>
      </c>
      <c r="C1147" s="544"/>
      <c r="D1147" s="544"/>
      <c r="E1147" s="544"/>
      <c r="F1147" s="544"/>
      <c r="G1147" s="86">
        <f>G1153</f>
        <v>0</v>
      </c>
      <c r="H1147" s="86">
        <f t="shared" ref="H1147:M1147" si="430">H1153</f>
        <v>0</v>
      </c>
      <c r="I1147" s="86">
        <f t="shared" si="430"/>
        <v>0</v>
      </c>
      <c r="J1147" s="86">
        <f t="shared" si="430"/>
        <v>0</v>
      </c>
      <c r="K1147" s="86">
        <f t="shared" si="430"/>
        <v>0</v>
      </c>
      <c r="L1147" s="86">
        <f t="shared" si="430"/>
        <v>0</v>
      </c>
      <c r="M1147" s="86">
        <f t="shared" si="430"/>
        <v>0</v>
      </c>
      <c r="N1147" s="603"/>
      <c r="O1147" s="603"/>
    </row>
    <row r="1148" spans="1:15" s="267" customFormat="1" ht="24.75" customHeight="1">
      <c r="A1148" s="926" t="s">
        <v>630</v>
      </c>
      <c r="B1148" s="546" t="s">
        <v>89</v>
      </c>
      <c r="C1148" s="544"/>
      <c r="D1148" s="544"/>
      <c r="E1148" s="544"/>
      <c r="F1148" s="544"/>
      <c r="G1148" s="264"/>
      <c r="H1148" s="264"/>
      <c r="I1148" s="264"/>
      <c r="J1148" s="264"/>
      <c r="K1148" s="264"/>
      <c r="L1148" s="264">
        <v>3</v>
      </c>
      <c r="M1148" s="264">
        <v>2.5</v>
      </c>
      <c r="N1148" s="603"/>
      <c r="O1148" s="933" t="s">
        <v>984</v>
      </c>
    </row>
    <row r="1149" spans="1:15" s="267" customFormat="1" ht="24.75" customHeight="1">
      <c r="A1149" s="928"/>
      <c r="B1149" s="546" t="s">
        <v>246</v>
      </c>
      <c r="C1149" s="544"/>
      <c r="D1149" s="544"/>
      <c r="E1149" s="544"/>
      <c r="F1149" s="544"/>
      <c r="G1149" s="264"/>
      <c r="H1149" s="264"/>
      <c r="I1149" s="264"/>
      <c r="J1149" s="264"/>
      <c r="K1149" s="264"/>
      <c r="L1149" s="264">
        <v>33000</v>
      </c>
      <c r="M1149" s="264">
        <v>39800</v>
      </c>
      <c r="N1149" s="603"/>
      <c r="O1149" s="934"/>
    </row>
    <row r="1150" spans="1:15" s="267" customFormat="1" ht="24.75" customHeight="1">
      <c r="A1150" s="926" t="s">
        <v>631</v>
      </c>
      <c r="B1150" s="546" t="s">
        <v>89</v>
      </c>
      <c r="C1150" s="544"/>
      <c r="D1150" s="544"/>
      <c r="E1150" s="544"/>
      <c r="F1150" s="544"/>
      <c r="G1150" s="264">
        <f>K1150</f>
        <v>0</v>
      </c>
      <c r="H1150" s="264"/>
      <c r="I1150" s="264"/>
      <c r="J1150" s="264"/>
      <c r="K1150" s="264">
        <v>0</v>
      </c>
      <c r="L1150" s="264">
        <f>2.9</f>
        <v>2.9</v>
      </c>
      <c r="M1150" s="264">
        <v>8</v>
      </c>
      <c r="N1150" s="603"/>
      <c r="O1150" s="933" t="s">
        <v>985</v>
      </c>
    </row>
    <row r="1151" spans="1:15" s="267" customFormat="1" ht="24.75" customHeight="1">
      <c r="A1151" s="927"/>
      <c r="B1151" s="546" t="s">
        <v>25</v>
      </c>
      <c r="C1151" s="544"/>
      <c r="D1151" s="544"/>
      <c r="E1151" s="544"/>
      <c r="F1151" s="544"/>
      <c r="G1151" s="264">
        <f t="shared" ref="G1151:G1153" si="431">K1151</f>
        <v>0</v>
      </c>
      <c r="H1151" s="264"/>
      <c r="I1151" s="264"/>
      <c r="J1151" s="264"/>
      <c r="K1151" s="264">
        <f>K1152+K1153</f>
        <v>0</v>
      </c>
      <c r="L1151" s="264">
        <f t="shared" ref="L1151:M1151" si="432">L1152+L1153</f>
        <v>33971</v>
      </c>
      <c r="M1151" s="264">
        <f t="shared" si="432"/>
        <v>115000</v>
      </c>
      <c r="N1151" s="603"/>
      <c r="O1151" s="946"/>
    </row>
    <row r="1152" spans="1:15" s="267" customFormat="1" ht="24.75" customHeight="1">
      <c r="A1152" s="927"/>
      <c r="B1152" s="546" t="s">
        <v>10</v>
      </c>
      <c r="C1152" s="544"/>
      <c r="D1152" s="544"/>
      <c r="E1152" s="544"/>
      <c r="F1152" s="544"/>
      <c r="G1152" s="264">
        <f t="shared" si="431"/>
        <v>0</v>
      </c>
      <c r="H1152" s="264"/>
      <c r="I1152" s="264"/>
      <c r="J1152" s="264"/>
      <c r="K1152" s="264"/>
      <c r="L1152" s="264">
        <v>33971</v>
      </c>
      <c r="M1152" s="264">
        <v>115000</v>
      </c>
      <c r="N1152" s="603"/>
      <c r="O1152" s="946"/>
    </row>
    <row r="1153" spans="1:66" s="267" customFormat="1" ht="24.75" customHeight="1">
      <c r="A1153" s="928"/>
      <c r="B1153" s="546" t="s">
        <v>495</v>
      </c>
      <c r="C1153" s="544"/>
      <c r="D1153" s="544"/>
      <c r="E1153" s="544"/>
      <c r="F1153" s="544"/>
      <c r="G1153" s="264">
        <f t="shared" si="431"/>
        <v>0</v>
      </c>
      <c r="H1153" s="264"/>
      <c r="I1153" s="264"/>
      <c r="J1153" s="264"/>
      <c r="K1153" s="264">
        <v>0</v>
      </c>
      <c r="L1153" s="264"/>
      <c r="M1153" s="264"/>
      <c r="N1153" s="603"/>
      <c r="O1153" s="934"/>
    </row>
    <row r="1154" spans="1:66" s="267" customFormat="1" ht="24.75" customHeight="1">
      <c r="A1154" s="926" t="s">
        <v>632</v>
      </c>
      <c r="B1154" s="546" t="s">
        <v>89</v>
      </c>
      <c r="C1154" s="544"/>
      <c r="D1154" s="544"/>
      <c r="E1154" s="544"/>
      <c r="F1154" s="544"/>
      <c r="G1154" s="264">
        <f>K1154</f>
        <v>3.3</v>
      </c>
      <c r="H1154" s="264"/>
      <c r="I1154" s="264"/>
      <c r="J1154" s="264"/>
      <c r="K1154" s="264">
        <v>3.3</v>
      </c>
      <c r="L1154" s="264">
        <v>3.3</v>
      </c>
      <c r="M1154" s="264">
        <v>0</v>
      </c>
      <c r="N1154" s="603"/>
      <c r="O1154" s="933" t="s">
        <v>633</v>
      </c>
    </row>
    <row r="1155" spans="1:66" s="267" customFormat="1" ht="24.75" customHeight="1">
      <c r="A1155" s="928"/>
      <c r="B1155" s="546" t="s">
        <v>246</v>
      </c>
      <c r="C1155" s="544"/>
      <c r="D1155" s="544"/>
      <c r="E1155" s="544"/>
      <c r="F1155" s="544"/>
      <c r="G1155" s="264">
        <f>K1155</f>
        <v>61598.8</v>
      </c>
      <c r="H1155" s="264"/>
      <c r="I1155" s="264"/>
      <c r="J1155" s="264"/>
      <c r="K1155" s="264">
        <v>61598.8</v>
      </c>
      <c r="L1155" s="264">
        <f>41000+16000</f>
        <v>57000</v>
      </c>
      <c r="M1155" s="264">
        <v>0</v>
      </c>
      <c r="N1155" s="603"/>
      <c r="O1155" s="934"/>
    </row>
    <row r="1156" spans="1:66" s="267" customFormat="1" ht="24.75" customHeight="1">
      <c r="A1156" s="926" t="s">
        <v>634</v>
      </c>
      <c r="B1156" s="546" t="s">
        <v>89</v>
      </c>
      <c r="C1156" s="544"/>
      <c r="D1156" s="544"/>
      <c r="E1156" s="544"/>
      <c r="F1156" s="544"/>
      <c r="G1156" s="264"/>
      <c r="H1156" s="264"/>
      <c r="I1156" s="264"/>
      <c r="J1156" s="264"/>
      <c r="K1156" s="264"/>
      <c r="L1156" s="264">
        <v>1.8</v>
      </c>
      <c r="M1156" s="264">
        <v>0</v>
      </c>
      <c r="N1156" s="603"/>
      <c r="O1156" s="933" t="s">
        <v>635</v>
      </c>
    </row>
    <row r="1157" spans="1:66" s="267" customFormat="1" ht="24.75" customHeight="1">
      <c r="A1157" s="928"/>
      <c r="B1157" s="546" t="s">
        <v>246</v>
      </c>
      <c r="C1157" s="544"/>
      <c r="D1157" s="544"/>
      <c r="E1157" s="544"/>
      <c r="F1157" s="544"/>
      <c r="G1157" s="264"/>
      <c r="H1157" s="264"/>
      <c r="I1157" s="264"/>
      <c r="J1157" s="264"/>
      <c r="K1157" s="264"/>
      <c r="L1157" s="264">
        <f>21240</f>
        <v>21240</v>
      </c>
      <c r="M1157" s="264">
        <v>0</v>
      </c>
      <c r="N1157" s="603"/>
      <c r="O1157" s="934"/>
    </row>
    <row r="1158" spans="1:66" ht="69.75" hidden="1" customHeight="1">
      <c r="A1158" s="72" t="s">
        <v>32</v>
      </c>
      <c r="B1158" s="544" t="s">
        <v>246</v>
      </c>
      <c r="C1158" s="544">
        <v>176</v>
      </c>
      <c r="D1158" s="544" t="s">
        <v>15</v>
      </c>
      <c r="E1158" s="544">
        <v>6100404</v>
      </c>
      <c r="F1158" s="544">
        <v>244</v>
      </c>
      <c r="G1158" s="86">
        <f>J1158</f>
        <v>0</v>
      </c>
      <c r="H1158" s="86"/>
      <c r="I1158" s="86"/>
      <c r="J1158" s="264">
        <v>0</v>
      </c>
      <c r="K1158" s="86"/>
      <c r="L1158" s="86">
        <v>0</v>
      </c>
      <c r="M1158" s="86">
        <v>0</v>
      </c>
      <c r="N1158" s="603"/>
      <c r="O1158" s="605" t="s">
        <v>472</v>
      </c>
      <c r="P1158" s="267"/>
      <c r="Q1158" s="267"/>
      <c r="R1158" s="267"/>
      <c r="S1158" s="267"/>
      <c r="T1158" s="267"/>
      <c r="U1158" s="267"/>
      <c r="V1158" s="267"/>
      <c r="W1158" s="267"/>
      <c r="X1158" s="267"/>
      <c r="Y1158" s="267"/>
      <c r="Z1158" s="267"/>
      <c r="AA1158" s="267"/>
      <c r="AB1158" s="267"/>
      <c r="AC1158" s="267"/>
      <c r="AD1158" s="267"/>
      <c r="AE1158" s="267"/>
      <c r="AF1158" s="267"/>
      <c r="AG1158" s="267"/>
      <c r="AH1158" s="267"/>
      <c r="AI1158" s="267"/>
      <c r="BJ1158" s="267"/>
      <c r="BK1158" s="267"/>
      <c r="BL1158" s="267"/>
      <c r="BM1158" s="267"/>
      <c r="BN1158" s="267"/>
    </row>
    <row r="1159" spans="1:66" ht="69.75" hidden="1" customHeight="1">
      <c r="A1159" s="554" t="s">
        <v>206</v>
      </c>
      <c r="B1159" s="546" t="s">
        <v>246</v>
      </c>
      <c r="C1159" s="546"/>
      <c r="D1159" s="546"/>
      <c r="E1159" s="546"/>
      <c r="F1159" s="546"/>
      <c r="G1159" s="80"/>
      <c r="H1159" s="81"/>
      <c r="I1159" s="80"/>
      <c r="J1159" s="80"/>
      <c r="K1159" s="80"/>
      <c r="L1159" s="80"/>
      <c r="M1159" s="80"/>
      <c r="N1159" s="604"/>
      <c r="O1159" s="604" t="s">
        <v>345</v>
      </c>
      <c r="P1159" s="267"/>
      <c r="Q1159" s="267"/>
      <c r="R1159" s="267"/>
      <c r="S1159" s="267"/>
      <c r="T1159" s="267"/>
      <c r="U1159" s="267"/>
      <c r="V1159" s="267"/>
      <c r="W1159" s="267"/>
      <c r="X1159" s="267"/>
      <c r="Y1159" s="267"/>
      <c r="Z1159" s="267"/>
      <c r="AA1159" s="267"/>
      <c r="AB1159" s="267"/>
      <c r="AC1159" s="267"/>
      <c r="AD1159" s="267"/>
      <c r="AE1159" s="267"/>
      <c r="AF1159" s="267"/>
      <c r="AG1159" s="267"/>
      <c r="AH1159" s="267"/>
      <c r="AI1159" s="267"/>
      <c r="BJ1159" s="267"/>
      <c r="BK1159" s="267"/>
      <c r="BL1159" s="267"/>
      <c r="BM1159" s="267"/>
      <c r="BN1159" s="267"/>
    </row>
    <row r="1160" spans="1:66" ht="44.25" customHeight="1">
      <c r="A1160" s="887" t="s">
        <v>787</v>
      </c>
      <c r="B1160" s="541" t="s">
        <v>74</v>
      </c>
      <c r="C1160" s="546"/>
      <c r="D1160" s="546"/>
      <c r="E1160" s="546"/>
      <c r="F1160" s="546"/>
      <c r="G1160" s="80">
        <v>5</v>
      </c>
      <c r="H1160" s="81"/>
      <c r="I1160" s="80"/>
      <c r="J1160" s="80"/>
      <c r="K1160" s="80">
        <v>5</v>
      </c>
      <c r="L1160" s="80">
        <v>5</v>
      </c>
      <c r="M1160" s="80">
        <v>5</v>
      </c>
      <c r="N1160" s="933" t="s">
        <v>791</v>
      </c>
      <c r="O1160" s="933"/>
      <c r="P1160" s="267"/>
      <c r="Q1160" s="267"/>
      <c r="R1160" s="267"/>
      <c r="S1160" s="267"/>
      <c r="T1160" s="267"/>
      <c r="U1160" s="267"/>
      <c r="V1160" s="267"/>
      <c r="W1160" s="267"/>
      <c r="X1160" s="267"/>
      <c r="Y1160" s="267"/>
      <c r="Z1160" s="267"/>
      <c r="AA1160" s="267"/>
      <c r="AB1160" s="267"/>
      <c r="AC1160" s="267"/>
      <c r="AD1160" s="267"/>
      <c r="AE1160" s="267"/>
      <c r="AF1160" s="267"/>
      <c r="AG1160" s="267"/>
      <c r="AH1160" s="267"/>
      <c r="AI1160" s="267"/>
      <c r="BJ1160" s="267"/>
      <c r="BK1160" s="267"/>
      <c r="BL1160" s="267"/>
      <c r="BM1160" s="267"/>
      <c r="BN1160" s="267"/>
    </row>
    <row r="1161" spans="1:66" ht="23.25" customHeight="1">
      <c r="A1161" s="888"/>
      <c r="B1161" s="541" t="s">
        <v>24</v>
      </c>
      <c r="C1161" s="546"/>
      <c r="D1161" s="546"/>
      <c r="E1161" s="546"/>
      <c r="F1161" s="546"/>
      <c r="G1161" s="80">
        <f>G1162/G1160</f>
        <v>388764.6</v>
      </c>
      <c r="H1161" s="80"/>
      <c r="I1161" s="80"/>
      <c r="J1161" s="80"/>
      <c r="K1161" s="80">
        <f t="shared" ref="K1161:M1161" si="433">K1162/K1160</f>
        <v>388764.6</v>
      </c>
      <c r="L1161" s="80">
        <f t="shared" si="433"/>
        <v>281406.2</v>
      </c>
      <c r="M1161" s="80">
        <f t="shared" si="433"/>
        <v>260869.18</v>
      </c>
      <c r="N1161" s="946"/>
      <c r="O1161" s="946"/>
      <c r="P1161" s="267"/>
      <c r="Q1161" s="267"/>
      <c r="R1161" s="267"/>
      <c r="S1161" s="267"/>
      <c r="T1161" s="267"/>
      <c r="U1161" s="267"/>
      <c r="V1161" s="267"/>
      <c r="W1161" s="267"/>
      <c r="X1161" s="267"/>
      <c r="Y1161" s="267"/>
      <c r="Z1161" s="267"/>
      <c r="AA1161" s="267"/>
      <c r="AB1161" s="267"/>
      <c r="AC1161" s="267"/>
      <c r="AD1161" s="267"/>
      <c r="AE1161" s="267"/>
      <c r="AF1161" s="267"/>
      <c r="AG1161" s="267"/>
      <c r="AH1161" s="267"/>
      <c r="AI1161" s="267"/>
      <c r="BJ1161" s="267"/>
      <c r="BK1161" s="267"/>
      <c r="BL1161" s="267"/>
      <c r="BM1161" s="267"/>
      <c r="BN1161" s="267"/>
    </row>
    <row r="1162" spans="1:66" ht="27" customHeight="1">
      <c r="A1162" s="888"/>
      <c r="B1162" s="541" t="s">
        <v>25</v>
      </c>
      <c r="C1162" s="546"/>
      <c r="D1162" s="546"/>
      <c r="E1162" s="546"/>
      <c r="F1162" s="546"/>
      <c r="G1162" s="80">
        <f>G1164+G1165+G1166</f>
        <v>1943823</v>
      </c>
      <c r="H1162" s="80">
        <f t="shared" ref="H1162:M1162" si="434">H1164+H1165+H1166</f>
        <v>0</v>
      </c>
      <c r="I1162" s="80">
        <f t="shared" si="434"/>
        <v>0</v>
      </c>
      <c r="J1162" s="80">
        <f t="shared" si="434"/>
        <v>0</v>
      </c>
      <c r="K1162" s="80">
        <f t="shared" si="434"/>
        <v>1943823</v>
      </c>
      <c r="L1162" s="80">
        <f t="shared" si="434"/>
        <v>1407031</v>
      </c>
      <c r="M1162" s="80">
        <f t="shared" si="434"/>
        <v>1304345.8999999999</v>
      </c>
      <c r="N1162" s="946"/>
      <c r="O1162" s="946"/>
      <c r="P1162" s="267"/>
      <c r="Q1162" s="267"/>
      <c r="R1162" s="267"/>
      <c r="S1162" s="267"/>
      <c r="T1162" s="267"/>
      <c r="U1162" s="267"/>
      <c r="V1162" s="267"/>
      <c r="W1162" s="267"/>
      <c r="X1162" s="267"/>
      <c r="Y1162" s="267"/>
      <c r="Z1162" s="267"/>
      <c r="AA1162" s="267"/>
      <c r="AB1162" s="267"/>
      <c r="AC1162" s="267"/>
      <c r="AD1162" s="267"/>
      <c r="AE1162" s="267"/>
      <c r="AF1162" s="267"/>
      <c r="AG1162" s="267"/>
      <c r="AH1162" s="267"/>
      <c r="AI1162" s="267"/>
      <c r="BJ1162" s="267"/>
      <c r="BK1162" s="267"/>
      <c r="BL1162" s="267"/>
      <c r="BM1162" s="267"/>
      <c r="BN1162" s="267"/>
    </row>
    <row r="1163" spans="1:66" ht="15" customHeight="1">
      <c r="A1163" s="888"/>
      <c r="B1163" s="541" t="s">
        <v>9</v>
      </c>
      <c r="C1163" s="546"/>
      <c r="D1163" s="546"/>
      <c r="E1163" s="546"/>
      <c r="F1163" s="546"/>
      <c r="G1163" s="80"/>
      <c r="H1163" s="81"/>
      <c r="I1163" s="80"/>
      <c r="J1163" s="80"/>
      <c r="K1163" s="80"/>
      <c r="L1163" s="80"/>
      <c r="M1163" s="80"/>
      <c r="N1163" s="946"/>
      <c r="O1163" s="946"/>
      <c r="P1163" s="267"/>
      <c r="Q1163" s="267"/>
      <c r="R1163" s="267"/>
      <c r="S1163" s="267"/>
      <c r="T1163" s="267"/>
      <c r="U1163" s="267"/>
      <c r="V1163" s="267"/>
      <c r="W1163" s="267"/>
      <c r="X1163" s="267"/>
      <c r="Y1163" s="267"/>
      <c r="Z1163" s="267"/>
      <c r="AA1163" s="267"/>
      <c r="AB1163" s="267"/>
      <c r="AC1163" s="267"/>
      <c r="AD1163" s="267"/>
      <c r="AE1163" s="267"/>
      <c r="AF1163" s="267"/>
      <c r="AG1163" s="267"/>
      <c r="AH1163" s="267"/>
      <c r="AI1163" s="267"/>
      <c r="BJ1163" s="267"/>
      <c r="BK1163" s="267"/>
      <c r="BL1163" s="267"/>
      <c r="BM1163" s="267"/>
      <c r="BN1163" s="267"/>
    </row>
    <row r="1164" spans="1:66" ht="19.5" customHeight="1">
      <c r="A1164" s="888"/>
      <c r="B1164" s="541" t="s">
        <v>10</v>
      </c>
      <c r="C1164" s="546"/>
      <c r="D1164" s="546"/>
      <c r="E1164" s="546"/>
      <c r="F1164" s="546"/>
      <c r="G1164" s="80">
        <f>G1169+G1173+G1177+G1181+G1185</f>
        <v>675529</v>
      </c>
      <c r="H1164" s="80">
        <f t="shared" ref="H1164:M1164" si="435">H1169+H1173+H1177+H1181+H1185</f>
        <v>0</v>
      </c>
      <c r="I1164" s="80">
        <f t="shared" si="435"/>
        <v>0</v>
      </c>
      <c r="J1164" s="80">
        <f t="shared" si="435"/>
        <v>0</v>
      </c>
      <c r="K1164" s="80">
        <f>K1169+K1173+K1177+K1181+K1185</f>
        <v>675529</v>
      </c>
      <c r="L1164" s="80">
        <f t="shared" si="435"/>
        <v>1035150</v>
      </c>
      <c r="M1164" s="80">
        <f t="shared" si="435"/>
        <v>1035150</v>
      </c>
      <c r="N1164" s="946"/>
      <c r="O1164" s="946"/>
      <c r="P1164" s="267"/>
      <c r="Q1164" s="267"/>
      <c r="R1164" s="267"/>
      <c r="S1164" s="267"/>
      <c r="T1164" s="267"/>
      <c r="U1164" s="267"/>
      <c r="V1164" s="267"/>
      <c r="W1164" s="267"/>
      <c r="X1164" s="267"/>
      <c r="Y1164" s="267"/>
      <c r="Z1164" s="267"/>
      <c r="AA1164" s="267"/>
      <c r="AB1164" s="267"/>
      <c r="AC1164" s="267"/>
      <c r="AD1164" s="267"/>
      <c r="AE1164" s="267"/>
      <c r="AF1164" s="267"/>
      <c r="AG1164" s="267"/>
      <c r="AH1164" s="267"/>
      <c r="AI1164" s="267"/>
      <c r="BJ1164" s="267"/>
      <c r="BK1164" s="267"/>
      <c r="BL1164" s="267"/>
      <c r="BM1164" s="267"/>
      <c r="BN1164" s="267"/>
    </row>
    <row r="1165" spans="1:66" ht="21.75" customHeight="1">
      <c r="A1165" s="888"/>
      <c r="B1165" s="541" t="s">
        <v>436</v>
      </c>
      <c r="C1165" s="546"/>
      <c r="D1165" s="546"/>
      <c r="E1165" s="546"/>
      <c r="F1165" s="546"/>
      <c r="G1165" s="80">
        <f>G1170+G1174+G1178+G1182+G1186</f>
        <v>490000</v>
      </c>
      <c r="H1165" s="80">
        <f t="shared" ref="H1165:M1165" si="436">H1170+H1174+H1178+H1182+H1186</f>
        <v>0</v>
      </c>
      <c r="I1165" s="80">
        <f t="shared" si="436"/>
        <v>0</v>
      </c>
      <c r="J1165" s="80">
        <f t="shared" si="436"/>
        <v>0</v>
      </c>
      <c r="K1165" s="80">
        <f t="shared" si="436"/>
        <v>490000</v>
      </c>
      <c r="L1165" s="80">
        <f t="shared" si="436"/>
        <v>0</v>
      </c>
      <c r="M1165" s="80">
        <f t="shared" si="436"/>
        <v>0</v>
      </c>
      <c r="N1165" s="946"/>
      <c r="O1165" s="946"/>
      <c r="P1165" s="267"/>
      <c r="Q1165" s="267"/>
      <c r="R1165" s="267"/>
      <c r="S1165" s="267"/>
      <c r="T1165" s="267"/>
      <c r="U1165" s="267"/>
      <c r="V1165" s="267"/>
      <c r="W1165" s="267"/>
      <c r="X1165" s="267"/>
      <c r="Y1165" s="267"/>
      <c r="Z1165" s="267"/>
      <c r="AA1165" s="267"/>
      <c r="AB1165" s="267"/>
      <c r="AC1165" s="267"/>
      <c r="AD1165" s="267"/>
      <c r="AE1165" s="267"/>
      <c r="AF1165" s="267"/>
      <c r="AG1165" s="267"/>
      <c r="AH1165" s="267"/>
      <c r="AI1165" s="267"/>
      <c r="BJ1165" s="267"/>
      <c r="BK1165" s="267"/>
      <c r="BL1165" s="267"/>
      <c r="BM1165" s="267"/>
      <c r="BN1165" s="267"/>
    </row>
    <row r="1166" spans="1:66" ht="21" customHeight="1">
      <c r="A1166" s="888"/>
      <c r="B1166" s="541" t="s">
        <v>11</v>
      </c>
      <c r="C1166" s="546"/>
      <c r="D1166" s="546"/>
      <c r="E1166" s="546"/>
      <c r="F1166" s="546"/>
      <c r="G1166" s="80">
        <f>K1166</f>
        <v>778294</v>
      </c>
      <c r="H1166" s="80">
        <f t="shared" ref="H1166:M1166" si="437">H1171+H1175+H1179+H1183+H1187</f>
        <v>0</v>
      </c>
      <c r="I1166" s="80">
        <f t="shared" si="437"/>
        <v>0</v>
      </c>
      <c r="J1166" s="80">
        <f t="shared" si="437"/>
        <v>0</v>
      </c>
      <c r="K1166" s="80">
        <f t="shared" si="437"/>
        <v>778294</v>
      </c>
      <c r="L1166" s="80">
        <f t="shared" si="437"/>
        <v>371881</v>
      </c>
      <c r="M1166" s="80">
        <f t="shared" si="437"/>
        <v>269195.90000000002</v>
      </c>
      <c r="N1166" s="946"/>
      <c r="O1166" s="946"/>
      <c r="P1166" s="267"/>
      <c r="Q1166" s="267"/>
      <c r="R1166" s="267"/>
      <c r="S1166" s="267"/>
      <c r="T1166" s="267"/>
      <c r="U1166" s="267"/>
      <c r="V1166" s="267"/>
      <c r="W1166" s="267"/>
      <c r="X1166" s="267"/>
      <c r="Y1166" s="267"/>
      <c r="Z1166" s="267"/>
      <c r="AA1166" s="267"/>
      <c r="AB1166" s="267"/>
      <c r="AC1166" s="267"/>
      <c r="AD1166" s="267"/>
      <c r="AE1166" s="267"/>
      <c r="AF1166" s="267"/>
      <c r="AG1166" s="267"/>
      <c r="AH1166" s="267"/>
      <c r="AI1166" s="267"/>
      <c r="BJ1166" s="267"/>
      <c r="BK1166" s="267"/>
      <c r="BL1166" s="267"/>
      <c r="BM1166" s="267"/>
      <c r="BN1166" s="267"/>
    </row>
    <row r="1167" spans="1:66" ht="23.25" customHeight="1">
      <c r="A1167" s="889"/>
      <c r="B1167" s="541" t="s">
        <v>447</v>
      </c>
      <c r="C1167" s="546"/>
      <c r="D1167" s="546"/>
      <c r="E1167" s="546"/>
      <c r="F1167" s="546"/>
      <c r="G1167" s="80">
        <f t="shared" ref="G1167:G1187" si="438">K1167</f>
        <v>0</v>
      </c>
      <c r="H1167" s="81"/>
      <c r="I1167" s="80"/>
      <c r="J1167" s="80"/>
      <c r="K1167" s="80"/>
      <c r="L1167" s="80"/>
      <c r="M1167" s="80"/>
      <c r="N1167" s="934"/>
      <c r="O1167" s="934"/>
      <c r="P1167" s="267"/>
      <c r="Q1167" s="267"/>
      <c r="R1167" s="267"/>
      <c r="S1167" s="267"/>
      <c r="T1167" s="267"/>
      <c r="U1167" s="267"/>
      <c r="V1167" s="267"/>
      <c r="W1167" s="267"/>
      <c r="X1167" s="267"/>
      <c r="Y1167" s="267"/>
      <c r="Z1167" s="267"/>
      <c r="AA1167" s="267"/>
      <c r="AB1167" s="267"/>
      <c r="AC1167" s="267"/>
      <c r="AD1167" s="267"/>
      <c r="AE1167" s="267"/>
      <c r="AF1167" s="267"/>
      <c r="AG1167" s="267"/>
      <c r="AH1167" s="267"/>
      <c r="AI1167" s="267"/>
      <c r="BJ1167" s="267"/>
      <c r="BK1167" s="267"/>
      <c r="BL1167" s="267"/>
      <c r="BM1167" s="267"/>
      <c r="BN1167" s="267"/>
    </row>
    <row r="1168" spans="1:66" ht="27.75" customHeight="1">
      <c r="A1168" s="887" t="s">
        <v>75</v>
      </c>
      <c r="B1168" s="103" t="s">
        <v>25</v>
      </c>
      <c r="C1168" s="546"/>
      <c r="D1168" s="546"/>
      <c r="E1168" s="546"/>
      <c r="F1168" s="546"/>
      <c r="G1168" s="80">
        <f t="shared" si="438"/>
        <v>0</v>
      </c>
      <c r="H1168" s="80">
        <f t="shared" ref="H1168:M1168" si="439">H1169+H1170+H1171</f>
        <v>0</v>
      </c>
      <c r="I1168" s="80">
        <f t="shared" si="439"/>
        <v>0</v>
      </c>
      <c r="J1168" s="80">
        <f t="shared" si="439"/>
        <v>0</v>
      </c>
      <c r="K1168" s="80">
        <f t="shared" si="439"/>
        <v>0</v>
      </c>
      <c r="L1168" s="80">
        <f t="shared" si="439"/>
        <v>143770</v>
      </c>
      <c r="M1168" s="80">
        <f t="shared" si="439"/>
        <v>143110</v>
      </c>
      <c r="N1168" s="604"/>
      <c r="O1168" s="933"/>
      <c r="P1168" s="267"/>
      <c r="Q1168" s="267"/>
      <c r="R1168" s="267"/>
      <c r="S1168" s="267"/>
      <c r="T1168" s="267"/>
      <c r="U1168" s="267"/>
      <c r="V1168" s="267"/>
      <c r="W1168" s="267"/>
      <c r="X1168" s="267"/>
      <c r="Y1168" s="267"/>
      <c r="Z1168" s="267"/>
      <c r="AA1168" s="267"/>
      <c r="AB1168" s="267"/>
      <c r="AC1168" s="267"/>
      <c r="AD1168" s="267"/>
      <c r="AE1168" s="267"/>
      <c r="AF1168" s="267"/>
      <c r="AG1168" s="267"/>
      <c r="AH1168" s="267"/>
      <c r="AI1168" s="267"/>
      <c r="BJ1168" s="267"/>
      <c r="BK1168" s="267"/>
      <c r="BL1168" s="267"/>
      <c r="BM1168" s="267"/>
      <c r="BN1168" s="267"/>
    </row>
    <row r="1169" spans="1:66" ht="26.25" customHeight="1">
      <c r="A1169" s="888"/>
      <c r="B1169" s="539" t="s">
        <v>10</v>
      </c>
      <c r="C1169" s="546"/>
      <c r="D1169" s="546"/>
      <c r="E1169" s="546"/>
      <c r="F1169" s="546"/>
      <c r="G1169" s="80">
        <f t="shared" si="438"/>
        <v>0</v>
      </c>
      <c r="H1169" s="81"/>
      <c r="I1169" s="80"/>
      <c r="J1169" s="80"/>
      <c r="K1169" s="80"/>
      <c r="L1169" s="80">
        <v>140300</v>
      </c>
      <c r="M1169" s="80">
        <v>140300</v>
      </c>
      <c r="N1169" s="604"/>
      <c r="O1169" s="946"/>
      <c r="P1169" s="267"/>
      <c r="Q1169" s="267"/>
      <c r="R1169" s="267"/>
      <c r="S1169" s="267"/>
      <c r="T1169" s="267"/>
      <c r="U1169" s="267"/>
      <c r="V1169" s="267"/>
      <c r="W1169" s="267"/>
      <c r="X1169" s="267"/>
      <c r="Y1169" s="267"/>
      <c r="Z1169" s="267"/>
      <c r="AA1169" s="267"/>
      <c r="AB1169" s="267"/>
      <c r="AC1169" s="267"/>
      <c r="AD1169" s="267"/>
      <c r="AE1169" s="267"/>
      <c r="AF1169" s="267"/>
      <c r="AG1169" s="267"/>
      <c r="AH1169" s="267"/>
      <c r="AI1169" s="267"/>
      <c r="BJ1169" s="267"/>
      <c r="BK1169" s="267"/>
      <c r="BL1169" s="267"/>
      <c r="BM1169" s="267"/>
      <c r="BN1169" s="267"/>
    </row>
    <row r="1170" spans="1:66" ht="26.25" customHeight="1">
      <c r="A1170" s="888"/>
      <c r="B1170" s="539" t="s">
        <v>436</v>
      </c>
      <c r="C1170" s="546"/>
      <c r="D1170" s="546"/>
      <c r="E1170" s="546"/>
      <c r="F1170" s="546"/>
      <c r="G1170" s="80">
        <f t="shared" si="438"/>
        <v>0</v>
      </c>
      <c r="H1170" s="81"/>
      <c r="I1170" s="80"/>
      <c r="J1170" s="80"/>
      <c r="K1170" s="80"/>
      <c r="L1170" s="80">
        <v>0</v>
      </c>
      <c r="M1170" s="80">
        <v>0</v>
      </c>
      <c r="N1170" s="604"/>
      <c r="O1170" s="946"/>
      <c r="P1170" s="267"/>
      <c r="Q1170" s="267"/>
      <c r="R1170" s="267"/>
      <c r="S1170" s="267"/>
      <c r="T1170" s="267"/>
      <c r="U1170" s="267"/>
      <c r="V1170" s="267"/>
      <c r="W1170" s="267"/>
      <c r="X1170" s="267"/>
      <c r="Y1170" s="267"/>
      <c r="Z1170" s="267"/>
      <c r="AA1170" s="267"/>
      <c r="AB1170" s="267"/>
      <c r="AC1170" s="267"/>
      <c r="AD1170" s="267"/>
      <c r="AE1170" s="267"/>
      <c r="AF1170" s="267"/>
      <c r="AG1170" s="267"/>
      <c r="AH1170" s="267"/>
      <c r="AI1170" s="267"/>
      <c r="BJ1170" s="267"/>
      <c r="BK1170" s="267"/>
      <c r="BL1170" s="267"/>
      <c r="BM1170" s="267"/>
      <c r="BN1170" s="267"/>
    </row>
    <row r="1171" spans="1:66" ht="26.25" customHeight="1">
      <c r="A1171" s="889"/>
      <c r="B1171" s="539" t="s">
        <v>469</v>
      </c>
      <c r="C1171" s="546"/>
      <c r="D1171" s="546"/>
      <c r="E1171" s="546"/>
      <c r="F1171" s="546"/>
      <c r="G1171" s="80">
        <f t="shared" si="438"/>
        <v>0</v>
      </c>
      <c r="H1171" s="81"/>
      <c r="I1171" s="80"/>
      <c r="J1171" s="80"/>
      <c r="K1171" s="80">
        <v>0</v>
      </c>
      <c r="L1171" s="80">
        <v>3470</v>
      </c>
      <c r="M1171" s="80">
        <v>2810</v>
      </c>
      <c r="N1171" s="604"/>
      <c r="O1171" s="934"/>
      <c r="P1171" s="267"/>
      <c r="Q1171" s="267"/>
      <c r="R1171" s="267"/>
      <c r="S1171" s="267"/>
      <c r="T1171" s="267"/>
      <c r="U1171" s="267"/>
      <c r="V1171" s="267"/>
      <c r="W1171" s="267"/>
      <c r="X1171" s="267"/>
      <c r="Y1171" s="267"/>
      <c r="Z1171" s="267"/>
      <c r="AA1171" s="267"/>
      <c r="AB1171" s="267"/>
      <c r="AC1171" s="267"/>
      <c r="AD1171" s="267"/>
      <c r="AE1171" s="267"/>
      <c r="AF1171" s="267"/>
      <c r="AG1171" s="267"/>
      <c r="AH1171" s="267"/>
      <c r="AI1171" s="267"/>
      <c r="BJ1171" s="267"/>
      <c r="BK1171" s="267"/>
      <c r="BL1171" s="267"/>
      <c r="BM1171" s="267"/>
      <c r="BN1171" s="267"/>
    </row>
    <row r="1172" spans="1:66" ht="26.25" customHeight="1">
      <c r="A1172" s="887" t="s">
        <v>76</v>
      </c>
      <c r="B1172" s="103" t="s">
        <v>25</v>
      </c>
      <c r="C1172" s="546"/>
      <c r="D1172" s="546"/>
      <c r="E1172" s="546"/>
      <c r="F1172" s="546"/>
      <c r="G1172" s="80">
        <f t="shared" si="438"/>
        <v>0</v>
      </c>
      <c r="H1172" s="80">
        <f t="shared" ref="H1172:M1172" si="440">H1173+H1174+H1175</f>
        <v>0</v>
      </c>
      <c r="I1172" s="80">
        <f t="shared" si="440"/>
        <v>0</v>
      </c>
      <c r="J1172" s="80">
        <f t="shared" si="440"/>
        <v>0</v>
      </c>
      <c r="K1172" s="80">
        <f t="shared" si="440"/>
        <v>0</v>
      </c>
      <c r="L1172" s="80">
        <f t="shared" si="440"/>
        <v>99330</v>
      </c>
      <c r="M1172" s="80">
        <f t="shared" si="440"/>
        <v>99827.9</v>
      </c>
      <c r="N1172" s="604"/>
      <c r="O1172" s="933"/>
      <c r="P1172" s="267"/>
      <c r="Q1172" s="267"/>
      <c r="R1172" s="267"/>
      <c r="S1172" s="267"/>
      <c r="T1172" s="267"/>
      <c r="U1172" s="267"/>
      <c r="V1172" s="267"/>
      <c r="W1172" s="267"/>
      <c r="X1172" s="267"/>
      <c r="Y1172" s="267"/>
      <c r="Z1172" s="267"/>
      <c r="AA1172" s="267"/>
      <c r="AB1172" s="267"/>
      <c r="AC1172" s="267"/>
      <c r="AD1172" s="267"/>
      <c r="AE1172" s="267"/>
      <c r="AF1172" s="267"/>
      <c r="AG1172" s="267"/>
      <c r="AH1172" s="267"/>
      <c r="AI1172" s="267"/>
      <c r="BJ1172" s="267"/>
      <c r="BK1172" s="267"/>
      <c r="BL1172" s="267"/>
      <c r="BM1172" s="267"/>
      <c r="BN1172" s="267"/>
    </row>
    <row r="1173" spans="1:66" ht="26.25" customHeight="1">
      <c r="A1173" s="888"/>
      <c r="B1173" s="539" t="s">
        <v>10</v>
      </c>
      <c r="C1173" s="546"/>
      <c r="D1173" s="546"/>
      <c r="E1173" s="546"/>
      <c r="F1173" s="546"/>
      <c r="G1173" s="80">
        <f t="shared" si="438"/>
        <v>0</v>
      </c>
      <c r="H1173" s="81"/>
      <c r="I1173" s="80"/>
      <c r="J1173" s="80"/>
      <c r="K1173" s="80"/>
      <c r="L1173" s="80">
        <v>94850</v>
      </c>
      <c r="M1173" s="80">
        <v>94850</v>
      </c>
      <c r="N1173" s="604"/>
      <c r="O1173" s="946"/>
      <c r="P1173" s="267"/>
      <c r="Q1173" s="267"/>
      <c r="R1173" s="267"/>
      <c r="S1173" s="267"/>
      <c r="T1173" s="267"/>
      <c r="U1173" s="267"/>
      <c r="V1173" s="267"/>
      <c r="W1173" s="267"/>
      <c r="X1173" s="267"/>
      <c r="Y1173" s="267"/>
      <c r="Z1173" s="267"/>
      <c r="AA1173" s="267"/>
      <c r="AB1173" s="267"/>
      <c r="AC1173" s="267"/>
      <c r="AD1173" s="267"/>
      <c r="AE1173" s="267"/>
      <c r="AF1173" s="267"/>
      <c r="AG1173" s="267"/>
      <c r="AH1173" s="267"/>
      <c r="AI1173" s="267"/>
      <c r="BJ1173" s="267"/>
      <c r="BK1173" s="267"/>
      <c r="BL1173" s="267"/>
      <c r="BM1173" s="267"/>
      <c r="BN1173" s="267"/>
    </row>
    <row r="1174" spans="1:66" ht="21.75" customHeight="1">
      <c r="A1174" s="888"/>
      <c r="B1174" s="539" t="s">
        <v>436</v>
      </c>
      <c r="C1174" s="546"/>
      <c r="D1174" s="546"/>
      <c r="E1174" s="546"/>
      <c r="F1174" s="546"/>
      <c r="G1174" s="80">
        <f t="shared" si="438"/>
        <v>0</v>
      </c>
      <c r="H1174" s="81"/>
      <c r="I1174" s="80"/>
      <c r="J1174" s="80"/>
      <c r="K1174" s="80"/>
      <c r="L1174" s="80">
        <v>0</v>
      </c>
      <c r="M1174" s="80">
        <v>0</v>
      </c>
      <c r="N1174" s="604"/>
      <c r="O1174" s="946"/>
      <c r="P1174" s="267"/>
      <c r="Q1174" s="267"/>
      <c r="R1174" s="267"/>
      <c r="S1174" s="267"/>
      <c r="T1174" s="267"/>
      <c r="U1174" s="267"/>
      <c r="V1174" s="267"/>
      <c r="W1174" s="267"/>
      <c r="X1174" s="267"/>
      <c r="Y1174" s="267"/>
      <c r="Z1174" s="267"/>
      <c r="AA1174" s="267"/>
      <c r="AB1174" s="267"/>
      <c r="AC1174" s="267"/>
      <c r="AD1174" s="267"/>
      <c r="AE1174" s="267"/>
      <c r="AF1174" s="267"/>
      <c r="AG1174" s="267"/>
      <c r="AH1174" s="267"/>
      <c r="AI1174" s="267"/>
      <c r="BJ1174" s="267"/>
      <c r="BK1174" s="267"/>
      <c r="BL1174" s="267"/>
      <c r="BM1174" s="267"/>
      <c r="BN1174" s="267"/>
    </row>
    <row r="1175" spans="1:66" ht="21.75" customHeight="1">
      <c r="A1175" s="889"/>
      <c r="B1175" s="539" t="s">
        <v>469</v>
      </c>
      <c r="C1175" s="546"/>
      <c r="D1175" s="546"/>
      <c r="E1175" s="546"/>
      <c r="F1175" s="546"/>
      <c r="G1175" s="80">
        <f t="shared" si="438"/>
        <v>0</v>
      </c>
      <c r="H1175" s="81"/>
      <c r="I1175" s="80"/>
      <c r="J1175" s="80"/>
      <c r="K1175" s="80">
        <v>0</v>
      </c>
      <c r="L1175" s="80">
        <v>4480</v>
      </c>
      <c r="M1175" s="80">
        <v>4977.8999999999996</v>
      </c>
      <c r="N1175" s="604"/>
      <c r="O1175" s="934"/>
      <c r="P1175" s="267"/>
      <c r="Q1175" s="267"/>
      <c r="R1175" s="267"/>
      <c r="S1175" s="267"/>
      <c r="T1175" s="267"/>
      <c r="U1175" s="267"/>
      <c r="V1175" s="267"/>
      <c r="W1175" s="267"/>
      <c r="X1175" s="267"/>
      <c r="Y1175" s="267"/>
      <c r="Z1175" s="267"/>
      <c r="AA1175" s="267"/>
      <c r="AB1175" s="267"/>
      <c r="AC1175" s="267"/>
      <c r="AD1175" s="267"/>
      <c r="AE1175" s="267"/>
      <c r="AF1175" s="267"/>
      <c r="AG1175" s="267"/>
      <c r="AH1175" s="267"/>
      <c r="AI1175" s="267"/>
      <c r="BJ1175" s="267"/>
      <c r="BK1175" s="267"/>
      <c r="BL1175" s="267"/>
      <c r="BM1175" s="267"/>
      <c r="BN1175" s="267"/>
    </row>
    <row r="1176" spans="1:66" ht="21.75" hidden="1" customHeight="1">
      <c r="A1176" s="887" t="s">
        <v>77</v>
      </c>
      <c r="B1176" s="103" t="s">
        <v>25</v>
      </c>
      <c r="C1176" s="546"/>
      <c r="D1176" s="546"/>
      <c r="E1176" s="546"/>
      <c r="F1176" s="546"/>
      <c r="G1176" s="80">
        <f t="shared" si="438"/>
        <v>0</v>
      </c>
      <c r="H1176" s="80">
        <f t="shared" ref="H1176:K1176" si="441">H1177+H1178+H1179</f>
        <v>0</v>
      </c>
      <c r="I1176" s="80">
        <f t="shared" si="441"/>
        <v>0</v>
      </c>
      <c r="J1176" s="80">
        <f t="shared" si="441"/>
        <v>0</v>
      </c>
      <c r="K1176" s="80">
        <f t="shared" si="441"/>
        <v>0</v>
      </c>
      <c r="L1176" s="80"/>
      <c r="M1176" s="80"/>
      <c r="N1176" s="604"/>
      <c r="O1176" s="933"/>
      <c r="P1176" s="267"/>
      <c r="Q1176" s="267"/>
      <c r="R1176" s="267"/>
      <c r="S1176" s="267"/>
      <c r="T1176" s="267"/>
      <c r="U1176" s="267"/>
      <c r="V1176" s="267"/>
      <c r="W1176" s="267"/>
      <c r="X1176" s="267"/>
      <c r="Y1176" s="267"/>
      <c r="Z1176" s="267"/>
      <c r="AA1176" s="267"/>
      <c r="AB1176" s="267"/>
      <c r="AC1176" s="267"/>
      <c r="AD1176" s="267"/>
      <c r="AE1176" s="267"/>
      <c r="AF1176" s="267"/>
      <c r="AG1176" s="267"/>
      <c r="AH1176" s="267"/>
      <c r="AI1176" s="267"/>
      <c r="BJ1176" s="267"/>
      <c r="BK1176" s="267"/>
      <c r="BL1176" s="267"/>
      <c r="BM1176" s="267"/>
      <c r="BN1176" s="267"/>
    </row>
    <row r="1177" spans="1:66" ht="21.75" hidden="1" customHeight="1">
      <c r="A1177" s="888"/>
      <c r="B1177" s="539" t="s">
        <v>10</v>
      </c>
      <c r="C1177" s="546"/>
      <c r="D1177" s="546"/>
      <c r="E1177" s="546"/>
      <c r="F1177" s="546"/>
      <c r="G1177" s="80">
        <f t="shared" si="438"/>
        <v>0</v>
      </c>
      <c r="H1177" s="81"/>
      <c r="I1177" s="80"/>
      <c r="J1177" s="80"/>
      <c r="K1177" s="80"/>
      <c r="L1177" s="80"/>
      <c r="M1177" s="80"/>
      <c r="N1177" s="604"/>
      <c r="O1177" s="946"/>
      <c r="P1177" s="267"/>
      <c r="Q1177" s="267"/>
      <c r="R1177" s="267"/>
      <c r="S1177" s="267"/>
      <c r="T1177" s="267"/>
      <c r="U1177" s="267"/>
      <c r="V1177" s="267"/>
      <c r="W1177" s="267"/>
      <c r="X1177" s="267"/>
      <c r="Y1177" s="267"/>
      <c r="Z1177" s="267"/>
      <c r="AA1177" s="267"/>
      <c r="AB1177" s="267"/>
      <c r="AC1177" s="267"/>
      <c r="AD1177" s="267"/>
      <c r="AE1177" s="267"/>
      <c r="AF1177" s="267"/>
      <c r="AG1177" s="267"/>
      <c r="AH1177" s="267"/>
      <c r="AI1177" s="267"/>
      <c r="BJ1177" s="267"/>
      <c r="BK1177" s="267"/>
      <c r="BL1177" s="267"/>
      <c r="BM1177" s="267"/>
      <c r="BN1177" s="267"/>
    </row>
    <row r="1178" spans="1:66" ht="21.75" hidden="1" customHeight="1">
      <c r="A1178" s="888"/>
      <c r="B1178" s="539" t="s">
        <v>436</v>
      </c>
      <c r="C1178" s="546"/>
      <c r="D1178" s="546"/>
      <c r="E1178" s="546"/>
      <c r="F1178" s="546"/>
      <c r="G1178" s="80">
        <f t="shared" si="438"/>
        <v>0</v>
      </c>
      <c r="H1178" s="81"/>
      <c r="I1178" s="80"/>
      <c r="J1178" s="80"/>
      <c r="K1178" s="80">
        <v>0</v>
      </c>
      <c r="L1178" s="80"/>
      <c r="M1178" s="80"/>
      <c r="N1178" s="604"/>
      <c r="O1178" s="946"/>
      <c r="P1178" s="267"/>
      <c r="Q1178" s="267"/>
      <c r="R1178" s="267"/>
      <c r="S1178" s="267"/>
      <c r="T1178" s="267"/>
      <c r="U1178" s="267"/>
      <c r="V1178" s="267"/>
      <c r="W1178" s="267"/>
      <c r="X1178" s="267"/>
      <c r="Y1178" s="267"/>
      <c r="Z1178" s="267"/>
      <c r="AA1178" s="267"/>
      <c r="AB1178" s="267"/>
      <c r="AC1178" s="267"/>
      <c r="AD1178" s="267"/>
      <c r="AE1178" s="267"/>
      <c r="AF1178" s="267"/>
      <c r="AG1178" s="267"/>
      <c r="AH1178" s="267"/>
      <c r="AI1178" s="267"/>
      <c r="BJ1178" s="267"/>
      <c r="BK1178" s="267"/>
      <c r="BL1178" s="267"/>
      <c r="BM1178" s="267"/>
      <c r="BN1178" s="267"/>
    </row>
    <row r="1179" spans="1:66" ht="21.75" hidden="1" customHeight="1">
      <c r="A1179" s="889"/>
      <c r="B1179" s="539" t="s">
        <v>469</v>
      </c>
      <c r="C1179" s="546"/>
      <c r="D1179" s="546"/>
      <c r="E1179" s="546"/>
      <c r="F1179" s="546"/>
      <c r="G1179" s="80">
        <f t="shared" si="438"/>
        <v>0</v>
      </c>
      <c r="H1179" s="81"/>
      <c r="I1179" s="80"/>
      <c r="J1179" s="80"/>
      <c r="K1179" s="80"/>
      <c r="L1179" s="80"/>
      <c r="M1179" s="80"/>
      <c r="N1179" s="604"/>
      <c r="O1179" s="934"/>
      <c r="P1179" s="267"/>
      <c r="Q1179" s="267"/>
      <c r="R1179" s="267"/>
      <c r="S1179" s="267"/>
      <c r="T1179" s="267"/>
      <c r="U1179" s="267"/>
      <c r="V1179" s="267"/>
      <c r="W1179" s="267"/>
      <c r="X1179" s="267"/>
      <c r="Y1179" s="267"/>
      <c r="Z1179" s="267"/>
      <c r="AA1179" s="267"/>
      <c r="AB1179" s="267"/>
      <c r="AC1179" s="267"/>
      <c r="AD1179" s="267"/>
      <c r="AE1179" s="267"/>
      <c r="AF1179" s="267"/>
      <c r="AG1179" s="267"/>
      <c r="AH1179" s="267"/>
      <c r="AI1179" s="267"/>
      <c r="BJ1179" s="267"/>
      <c r="BK1179" s="267"/>
      <c r="BL1179" s="267"/>
      <c r="BM1179" s="267"/>
      <c r="BN1179" s="267"/>
    </row>
    <row r="1180" spans="1:66" ht="21.75" hidden="1" customHeight="1">
      <c r="A1180" s="887" t="s">
        <v>78</v>
      </c>
      <c r="B1180" s="103" t="s">
        <v>25</v>
      </c>
      <c r="C1180" s="546"/>
      <c r="D1180" s="546"/>
      <c r="E1180" s="546"/>
      <c r="F1180" s="546"/>
      <c r="G1180" s="80">
        <f t="shared" si="438"/>
        <v>0</v>
      </c>
      <c r="H1180" s="80">
        <f t="shared" ref="H1180:K1180" si="442">H1181+H1182+H1183</f>
        <v>0</v>
      </c>
      <c r="I1180" s="80">
        <f t="shared" si="442"/>
        <v>0</v>
      </c>
      <c r="J1180" s="80">
        <f t="shared" si="442"/>
        <v>0</v>
      </c>
      <c r="K1180" s="80">
        <f t="shared" si="442"/>
        <v>0</v>
      </c>
      <c r="L1180" s="80"/>
      <c r="M1180" s="80"/>
      <c r="N1180" s="604"/>
      <c r="O1180" s="933"/>
      <c r="P1180" s="267"/>
      <c r="Q1180" s="267"/>
      <c r="R1180" s="267"/>
      <c r="S1180" s="267"/>
      <c r="T1180" s="267"/>
      <c r="U1180" s="267"/>
      <c r="V1180" s="267"/>
      <c r="W1180" s="267"/>
      <c r="X1180" s="267"/>
      <c r="Y1180" s="267"/>
      <c r="Z1180" s="267"/>
      <c r="AA1180" s="267"/>
      <c r="AB1180" s="267"/>
      <c r="AC1180" s="267"/>
      <c r="AD1180" s="267"/>
      <c r="AE1180" s="267"/>
      <c r="AF1180" s="267"/>
      <c r="AG1180" s="267"/>
      <c r="AH1180" s="267"/>
      <c r="AI1180" s="267"/>
      <c r="BJ1180" s="267"/>
      <c r="BK1180" s="267"/>
      <c r="BL1180" s="267"/>
      <c r="BM1180" s="267"/>
      <c r="BN1180" s="267"/>
    </row>
    <row r="1181" spans="1:66" ht="21.75" hidden="1" customHeight="1">
      <c r="A1181" s="888"/>
      <c r="B1181" s="539" t="s">
        <v>10</v>
      </c>
      <c r="C1181" s="546"/>
      <c r="D1181" s="546"/>
      <c r="E1181" s="546"/>
      <c r="F1181" s="546"/>
      <c r="G1181" s="80">
        <f t="shared" si="438"/>
        <v>0</v>
      </c>
      <c r="H1181" s="81"/>
      <c r="I1181" s="80"/>
      <c r="J1181" s="80"/>
      <c r="K1181" s="80"/>
      <c r="L1181" s="80"/>
      <c r="M1181" s="80"/>
      <c r="N1181" s="604"/>
      <c r="O1181" s="946"/>
      <c r="P1181" s="267"/>
      <c r="Q1181" s="267"/>
      <c r="R1181" s="267"/>
      <c r="S1181" s="267"/>
      <c r="T1181" s="267"/>
      <c r="U1181" s="267"/>
      <c r="V1181" s="267"/>
      <c r="W1181" s="267"/>
      <c r="X1181" s="267"/>
      <c r="Y1181" s="267"/>
      <c r="Z1181" s="267"/>
      <c r="AA1181" s="267"/>
      <c r="AB1181" s="267"/>
      <c r="AC1181" s="267"/>
      <c r="AD1181" s="267"/>
      <c r="AE1181" s="267"/>
      <c r="AF1181" s="267"/>
      <c r="AG1181" s="267"/>
      <c r="AH1181" s="267"/>
      <c r="AI1181" s="267"/>
      <c r="BJ1181" s="267"/>
      <c r="BK1181" s="267"/>
      <c r="BL1181" s="267"/>
      <c r="BM1181" s="267"/>
      <c r="BN1181" s="267"/>
    </row>
    <row r="1182" spans="1:66" ht="21.75" hidden="1" customHeight="1">
      <c r="A1182" s="888"/>
      <c r="B1182" s="539" t="s">
        <v>436</v>
      </c>
      <c r="C1182" s="546"/>
      <c r="D1182" s="546"/>
      <c r="E1182" s="546"/>
      <c r="F1182" s="546"/>
      <c r="G1182" s="80">
        <f t="shared" si="438"/>
        <v>0</v>
      </c>
      <c r="H1182" s="81"/>
      <c r="I1182" s="80"/>
      <c r="J1182" s="80"/>
      <c r="K1182" s="80">
        <v>0</v>
      </c>
      <c r="L1182" s="80"/>
      <c r="M1182" s="80"/>
      <c r="N1182" s="604"/>
      <c r="O1182" s="946"/>
      <c r="P1182" s="267"/>
      <c r="Q1182" s="267"/>
      <c r="R1182" s="267"/>
      <c r="S1182" s="267"/>
      <c r="T1182" s="267"/>
      <c r="U1182" s="267"/>
      <c r="V1182" s="267"/>
      <c r="W1182" s="267"/>
      <c r="X1182" s="267"/>
      <c r="Y1182" s="267"/>
      <c r="Z1182" s="267"/>
      <c r="AA1182" s="267"/>
      <c r="AB1182" s="267"/>
      <c r="AC1182" s="267"/>
      <c r="AD1182" s="267"/>
      <c r="AE1182" s="267"/>
      <c r="AF1182" s="267"/>
      <c r="AG1182" s="267"/>
      <c r="AH1182" s="267"/>
      <c r="AI1182" s="267"/>
      <c r="BJ1182" s="267"/>
      <c r="BK1182" s="267"/>
      <c r="BL1182" s="267"/>
      <c r="BM1182" s="267"/>
      <c r="BN1182" s="267"/>
    </row>
    <row r="1183" spans="1:66" ht="21.75" hidden="1" customHeight="1">
      <c r="A1183" s="889"/>
      <c r="B1183" s="539" t="s">
        <v>469</v>
      </c>
      <c r="C1183" s="546"/>
      <c r="D1183" s="546"/>
      <c r="E1183" s="546"/>
      <c r="F1183" s="546"/>
      <c r="G1183" s="80">
        <f t="shared" si="438"/>
        <v>0</v>
      </c>
      <c r="H1183" s="81"/>
      <c r="I1183" s="80"/>
      <c r="J1183" s="80"/>
      <c r="K1183" s="80"/>
      <c r="L1183" s="80"/>
      <c r="M1183" s="80"/>
      <c r="N1183" s="604"/>
      <c r="O1183" s="934"/>
      <c r="P1183" s="267"/>
      <c r="Q1183" s="267"/>
      <c r="R1183" s="267"/>
      <c r="S1183" s="267"/>
      <c r="T1183" s="267"/>
      <c r="U1183" s="267"/>
      <c r="V1183" s="267"/>
      <c r="W1183" s="267"/>
      <c r="X1183" s="267"/>
      <c r="Y1183" s="267"/>
      <c r="Z1183" s="267"/>
      <c r="AA1183" s="267"/>
      <c r="AB1183" s="267"/>
      <c r="AC1183" s="267"/>
      <c r="AD1183" s="267"/>
      <c r="AE1183" s="267"/>
      <c r="AF1183" s="267"/>
      <c r="AG1183" s="267"/>
      <c r="AH1183" s="267"/>
      <c r="AI1183" s="267"/>
      <c r="BJ1183" s="267"/>
      <c r="BK1183" s="267"/>
      <c r="BL1183" s="267"/>
      <c r="BM1183" s="267"/>
      <c r="BN1183" s="267"/>
    </row>
    <row r="1184" spans="1:66" ht="21.75" customHeight="1">
      <c r="A1184" s="887" t="s">
        <v>79</v>
      </c>
      <c r="B1184" s="103" t="s">
        <v>25</v>
      </c>
      <c r="C1184" s="546"/>
      <c r="D1184" s="546"/>
      <c r="E1184" s="546"/>
      <c r="F1184" s="546"/>
      <c r="G1184" s="80">
        <f t="shared" si="438"/>
        <v>1943823</v>
      </c>
      <c r="H1184" s="80">
        <f t="shared" ref="H1184:M1184" si="443">H1185+H1186+H1187</f>
        <v>0</v>
      </c>
      <c r="I1184" s="80">
        <f t="shared" si="443"/>
        <v>0</v>
      </c>
      <c r="J1184" s="80">
        <f t="shared" si="443"/>
        <v>0</v>
      </c>
      <c r="K1184" s="80">
        <f t="shared" si="443"/>
        <v>1943823</v>
      </c>
      <c r="L1184" s="80">
        <f t="shared" si="443"/>
        <v>1163931</v>
      </c>
      <c r="M1184" s="80">
        <f t="shared" si="443"/>
        <v>1061408</v>
      </c>
      <c r="N1184" s="604"/>
      <c r="O1184" s="933"/>
      <c r="P1184" s="267"/>
      <c r="Q1184" s="267"/>
      <c r="R1184" s="267"/>
      <c r="S1184" s="267"/>
      <c r="T1184" s="267"/>
      <c r="U1184" s="267"/>
      <c r="V1184" s="267"/>
      <c r="W1184" s="267"/>
      <c r="X1184" s="267"/>
      <c r="Y1184" s="267"/>
      <c r="Z1184" s="267"/>
      <c r="AA1184" s="267"/>
      <c r="AB1184" s="267"/>
      <c r="AC1184" s="267"/>
      <c r="AD1184" s="267"/>
      <c r="AE1184" s="267"/>
      <c r="AF1184" s="267"/>
      <c r="AG1184" s="267"/>
      <c r="AH1184" s="267"/>
      <c r="AI1184" s="267"/>
      <c r="BJ1184" s="267"/>
      <c r="BK1184" s="267"/>
      <c r="BL1184" s="267"/>
      <c r="BM1184" s="267"/>
      <c r="BN1184" s="267"/>
    </row>
    <row r="1185" spans="1:66" ht="21.75" customHeight="1">
      <c r="A1185" s="888"/>
      <c r="B1185" s="539" t="s">
        <v>10</v>
      </c>
      <c r="C1185" s="546"/>
      <c r="D1185" s="546"/>
      <c r="E1185" s="546"/>
      <c r="F1185" s="546"/>
      <c r="G1185" s="80">
        <f t="shared" si="438"/>
        <v>675529</v>
      </c>
      <c r="H1185" s="81"/>
      <c r="I1185" s="80"/>
      <c r="J1185" s="80"/>
      <c r="K1185" s="80">
        <f>169054+126133.3+76420.8+100920.9+203000</f>
        <v>675529</v>
      </c>
      <c r="L1185" s="80">
        <f>621000+60000+60000+59000</f>
        <v>800000</v>
      </c>
      <c r="M1185" s="80">
        <f>300000+200000+300000</f>
        <v>800000</v>
      </c>
      <c r="N1185" s="604"/>
      <c r="O1185" s="946"/>
      <c r="P1185" s="267"/>
      <c r="Q1185" s="267"/>
      <c r="R1185" s="267"/>
      <c r="S1185" s="267"/>
      <c r="T1185" s="267"/>
      <c r="U1185" s="267"/>
      <c r="V1185" s="267"/>
      <c r="W1185" s="267"/>
      <c r="X1185" s="267"/>
      <c r="Y1185" s="267"/>
      <c r="Z1185" s="267"/>
      <c r="AA1185" s="267"/>
      <c r="AB1185" s="267"/>
      <c r="AC1185" s="267"/>
      <c r="AD1185" s="267"/>
      <c r="AE1185" s="267"/>
      <c r="AF1185" s="267"/>
      <c r="AG1185" s="267"/>
      <c r="AH1185" s="267"/>
      <c r="AI1185" s="267"/>
      <c r="BJ1185" s="267"/>
      <c r="BK1185" s="267"/>
      <c r="BL1185" s="267"/>
      <c r="BM1185" s="267"/>
      <c r="BN1185" s="267"/>
    </row>
    <row r="1186" spans="1:66" ht="21.75" customHeight="1">
      <c r="A1186" s="888"/>
      <c r="B1186" s="539" t="s">
        <v>436</v>
      </c>
      <c r="C1186" s="546"/>
      <c r="D1186" s="546"/>
      <c r="E1186" s="546"/>
      <c r="F1186" s="546"/>
      <c r="G1186" s="80">
        <f t="shared" si="438"/>
        <v>490000</v>
      </c>
      <c r="H1186" s="81"/>
      <c r="I1186" s="80"/>
      <c r="J1186" s="80"/>
      <c r="K1186" s="80">
        <v>490000</v>
      </c>
      <c r="L1186" s="80">
        <v>0</v>
      </c>
      <c r="M1186" s="80">
        <v>0</v>
      </c>
      <c r="N1186" s="604"/>
      <c r="O1186" s="946"/>
      <c r="P1186" s="267"/>
      <c r="Q1186" s="267"/>
      <c r="R1186" s="267"/>
      <c r="S1186" s="267"/>
      <c r="T1186" s="267"/>
      <c r="U1186" s="267"/>
      <c r="V1186" s="267"/>
      <c r="W1186" s="267"/>
      <c r="X1186" s="267"/>
      <c r="Y1186" s="267"/>
      <c r="Z1186" s="267"/>
      <c r="AA1186" s="267"/>
      <c r="AB1186" s="267"/>
      <c r="AC1186" s="267"/>
      <c r="AD1186" s="267"/>
      <c r="AE1186" s="267"/>
      <c r="AF1186" s="267"/>
      <c r="AG1186" s="267"/>
      <c r="AH1186" s="267"/>
      <c r="AI1186" s="267"/>
      <c r="BJ1186" s="267"/>
      <c r="BK1186" s="267"/>
      <c r="BL1186" s="267"/>
      <c r="BM1186" s="267"/>
      <c r="BN1186" s="267"/>
    </row>
    <row r="1187" spans="1:66" ht="27" customHeight="1">
      <c r="A1187" s="889"/>
      <c r="B1187" s="539" t="s">
        <v>469</v>
      </c>
      <c r="C1187" s="546"/>
      <c r="D1187" s="546"/>
      <c r="E1187" s="546"/>
      <c r="F1187" s="546"/>
      <c r="G1187" s="80">
        <f t="shared" si="438"/>
        <v>778294</v>
      </c>
      <c r="H1187" s="81"/>
      <c r="I1187" s="80"/>
      <c r="J1187" s="80"/>
      <c r="K1187" s="80">
        <v>778294</v>
      </c>
      <c r="L1187" s="80">
        <v>363931</v>
      </c>
      <c r="M1187" s="80">
        <v>261408</v>
      </c>
      <c r="N1187" s="604"/>
      <c r="O1187" s="934"/>
    </row>
    <row r="1188" spans="1:66" ht="21" customHeight="1">
      <c r="A1188" s="887" t="s">
        <v>637</v>
      </c>
      <c r="B1188" s="103" t="s">
        <v>25</v>
      </c>
      <c r="C1188" s="546"/>
      <c r="D1188" s="546"/>
      <c r="E1188" s="546"/>
      <c r="F1188" s="546"/>
      <c r="G1188" s="80">
        <f>G1189+G1190+G1191</f>
        <v>4672563.9000000004</v>
      </c>
      <c r="H1188" s="80">
        <f t="shared" ref="H1188:M1188" si="444">H1189+H1190+H1191</f>
        <v>5736.3</v>
      </c>
      <c r="I1188" s="80">
        <f t="shared" si="444"/>
        <v>0</v>
      </c>
      <c r="J1188" s="80">
        <f t="shared" si="444"/>
        <v>0</v>
      </c>
      <c r="K1188" s="80">
        <f t="shared" si="444"/>
        <v>4666827.5999999996</v>
      </c>
      <c r="L1188" s="80">
        <f t="shared" si="444"/>
        <v>6478204.5</v>
      </c>
      <c r="M1188" s="80">
        <f t="shared" si="444"/>
        <v>4698758.3000000007</v>
      </c>
      <c r="N1188" s="604"/>
      <c r="O1188" s="933"/>
    </row>
    <row r="1189" spans="1:66" ht="18.75" customHeight="1">
      <c r="A1189" s="888"/>
      <c r="B1189" s="539" t="s">
        <v>10</v>
      </c>
      <c r="C1189" s="546"/>
      <c r="D1189" s="546"/>
      <c r="E1189" s="546"/>
      <c r="F1189" s="546"/>
      <c r="G1189" s="80">
        <f t="shared" ref="G1189:M1190" si="445">G15+G449+G774+G1164</f>
        <v>2400116.7000000002</v>
      </c>
      <c r="H1189" s="80">
        <f t="shared" si="445"/>
        <v>5736.3</v>
      </c>
      <c r="I1189" s="80">
        <f t="shared" si="445"/>
        <v>0</v>
      </c>
      <c r="J1189" s="80">
        <f t="shared" si="445"/>
        <v>0</v>
      </c>
      <c r="K1189" s="80">
        <f t="shared" si="445"/>
        <v>2394380.4</v>
      </c>
      <c r="L1189" s="80">
        <f t="shared" si="445"/>
        <v>5106323.5</v>
      </c>
      <c r="M1189" s="80">
        <f t="shared" si="445"/>
        <v>4429562.4000000004</v>
      </c>
      <c r="N1189" s="604"/>
      <c r="O1189" s="946"/>
    </row>
    <row r="1190" spans="1:66" ht="18.75" customHeight="1">
      <c r="A1190" s="888"/>
      <c r="B1190" s="539" t="s">
        <v>436</v>
      </c>
      <c r="C1190" s="546"/>
      <c r="D1190" s="546"/>
      <c r="E1190" s="546"/>
      <c r="F1190" s="546"/>
      <c r="G1190" s="80">
        <f t="shared" si="445"/>
        <v>1494153.2</v>
      </c>
      <c r="H1190" s="80">
        <f t="shared" si="445"/>
        <v>0</v>
      </c>
      <c r="I1190" s="80">
        <f t="shared" si="445"/>
        <v>0</v>
      </c>
      <c r="J1190" s="80">
        <f t="shared" si="445"/>
        <v>0</v>
      </c>
      <c r="K1190" s="80">
        <f t="shared" si="445"/>
        <v>1494153.2</v>
      </c>
      <c r="L1190" s="80">
        <f t="shared" si="445"/>
        <v>1000000</v>
      </c>
      <c r="M1190" s="80">
        <f t="shared" si="445"/>
        <v>0</v>
      </c>
      <c r="N1190" s="604"/>
      <c r="O1190" s="946"/>
    </row>
    <row r="1191" spans="1:66" ht="18.75" customHeight="1">
      <c r="A1191" s="888"/>
      <c r="B1191" s="539" t="s">
        <v>469</v>
      </c>
      <c r="C1191" s="546"/>
      <c r="D1191" s="546"/>
      <c r="E1191" s="546"/>
      <c r="F1191" s="546"/>
      <c r="G1191" s="80">
        <f>G1166</f>
        <v>778294</v>
      </c>
      <c r="H1191" s="80">
        <f t="shared" ref="H1191:M1191" si="446">H1166</f>
        <v>0</v>
      </c>
      <c r="I1191" s="80">
        <f t="shared" si="446"/>
        <v>0</v>
      </c>
      <c r="J1191" s="80">
        <f t="shared" si="446"/>
        <v>0</v>
      </c>
      <c r="K1191" s="80">
        <f t="shared" si="446"/>
        <v>778294</v>
      </c>
      <c r="L1191" s="80">
        <f t="shared" si="446"/>
        <v>371881</v>
      </c>
      <c r="M1191" s="80">
        <f t="shared" si="446"/>
        <v>269195.90000000002</v>
      </c>
      <c r="N1191" s="604"/>
      <c r="O1191" s="946"/>
    </row>
    <row r="1192" spans="1:66" ht="22.5" customHeight="1">
      <c r="A1192" s="889"/>
      <c r="B1192" s="539" t="s">
        <v>447</v>
      </c>
      <c r="C1192" s="540"/>
      <c r="D1192" s="540"/>
      <c r="E1192" s="540"/>
      <c r="F1192" s="540"/>
      <c r="G1192" s="22"/>
      <c r="H1192" s="22"/>
      <c r="I1192" s="22"/>
      <c r="J1192" s="22"/>
      <c r="K1192" s="22"/>
      <c r="L1192" s="22"/>
      <c r="M1192" s="22"/>
      <c r="N1192" s="600"/>
      <c r="O1192" s="934"/>
    </row>
    <row r="1193" spans="1:66" ht="17.25" customHeight="1">
      <c r="A1193" s="947"/>
      <c r="B1193" s="947"/>
      <c r="C1193" s="947"/>
      <c r="D1193" s="947"/>
      <c r="E1193" s="947"/>
      <c r="F1193" s="947"/>
      <c r="G1193" s="947"/>
      <c r="H1193" s="947"/>
      <c r="I1193" s="947"/>
      <c r="J1193" s="947"/>
      <c r="K1193" s="947"/>
      <c r="L1193" s="947"/>
      <c r="M1193" s="947"/>
      <c r="N1193" s="947"/>
      <c r="O1193" s="947"/>
    </row>
    <row r="1194" spans="1:66" ht="39.6" customHeight="1">
      <c r="A1194" s="947" t="s">
        <v>652</v>
      </c>
      <c r="B1194" s="947"/>
      <c r="C1194" s="947"/>
      <c r="D1194" s="947"/>
      <c r="E1194" s="947"/>
      <c r="F1194" s="947"/>
      <c r="G1194" s="947"/>
      <c r="H1194" s="947"/>
      <c r="I1194" s="947"/>
      <c r="J1194" s="947"/>
      <c r="K1194" s="947"/>
      <c r="L1194" s="947"/>
      <c r="M1194" s="947"/>
      <c r="N1194" s="947"/>
      <c r="O1194" s="947"/>
    </row>
    <row r="1195" spans="1:66" ht="24.6" customHeight="1">
      <c r="A1195" s="947"/>
      <c r="B1195" s="947"/>
      <c r="C1195" s="947"/>
      <c r="D1195" s="947"/>
      <c r="E1195" s="947"/>
      <c r="F1195" s="947"/>
      <c r="G1195" s="947"/>
      <c r="H1195" s="947"/>
      <c r="I1195" s="947"/>
      <c r="J1195" s="947"/>
      <c r="K1195" s="947"/>
      <c r="L1195" s="947"/>
      <c r="M1195" s="947"/>
      <c r="N1195" s="947"/>
      <c r="O1195" s="947"/>
    </row>
    <row r="1196" spans="1:66" ht="31.15" hidden="1" customHeight="1">
      <c r="A1196" s="947" t="s">
        <v>552</v>
      </c>
      <c r="B1196" s="947"/>
      <c r="C1196" s="947"/>
      <c r="D1196" s="947"/>
      <c r="E1196" s="947"/>
      <c r="F1196" s="947"/>
      <c r="G1196" s="947"/>
      <c r="H1196" s="947"/>
      <c r="I1196" s="947"/>
      <c r="J1196" s="947"/>
      <c r="K1196" s="947"/>
      <c r="L1196" s="947"/>
      <c r="M1196" s="947"/>
      <c r="N1196" s="947"/>
      <c r="O1196" s="947"/>
    </row>
    <row r="1197" spans="1:66">
      <c r="A1197" s="948"/>
      <c r="B1197" s="948"/>
      <c r="C1197" s="948"/>
      <c r="D1197" s="948"/>
      <c r="E1197" s="948"/>
      <c r="F1197" s="948"/>
      <c r="G1197" s="948"/>
      <c r="H1197" s="948"/>
      <c r="I1197" s="948"/>
      <c r="J1197" s="948"/>
      <c r="K1197" s="948"/>
      <c r="L1197" s="948"/>
      <c r="M1197" s="948"/>
      <c r="N1197" s="948"/>
      <c r="O1197" s="948"/>
    </row>
  </sheetData>
  <mergeCells count="681">
    <mergeCell ref="A1140:A1141"/>
    <mergeCell ref="O1140:O1141"/>
    <mergeCell ref="O768:O770"/>
    <mergeCell ref="A838:A841"/>
    <mergeCell ref="O838:O841"/>
    <mergeCell ref="A915:A916"/>
    <mergeCell ref="O915:O916"/>
    <mergeCell ref="A959:A961"/>
    <mergeCell ref="O959:O961"/>
    <mergeCell ref="A864:A865"/>
    <mergeCell ref="A866:A867"/>
    <mergeCell ref="O866:O867"/>
    <mergeCell ref="A868:A869"/>
    <mergeCell ref="A862:A863"/>
    <mergeCell ref="A870:A871"/>
    <mergeCell ref="A872:A873"/>
    <mergeCell ref="O870:O871"/>
    <mergeCell ref="O872:O873"/>
    <mergeCell ref="O862:O863"/>
    <mergeCell ref="A892:A895"/>
    <mergeCell ref="A876:A879"/>
    <mergeCell ref="A874:A875"/>
    <mergeCell ref="O874:O875"/>
    <mergeCell ref="O848:O849"/>
    <mergeCell ref="A860:A861"/>
    <mergeCell ref="O888:O891"/>
    <mergeCell ref="A884:A887"/>
    <mergeCell ref="O884:O887"/>
    <mergeCell ref="A888:A891"/>
    <mergeCell ref="O860:O861"/>
    <mergeCell ref="A842:A845"/>
    <mergeCell ref="O842:O845"/>
    <mergeCell ref="O868:O869"/>
    <mergeCell ref="A846:A847"/>
    <mergeCell ref="A848:A849"/>
    <mergeCell ref="A850:A851"/>
    <mergeCell ref="O850:O851"/>
    <mergeCell ref="T6:X6"/>
    <mergeCell ref="R450:S450"/>
    <mergeCell ref="T450:U450"/>
    <mergeCell ref="V450:W450"/>
    <mergeCell ref="R452:S452"/>
    <mergeCell ref="T452:U452"/>
    <mergeCell ref="V452:W452"/>
    <mergeCell ref="O856:O857"/>
    <mergeCell ref="A858:A859"/>
    <mergeCell ref="A856:A857"/>
    <mergeCell ref="A337:A340"/>
    <mergeCell ref="A341:A344"/>
    <mergeCell ref="O519:O522"/>
    <mergeCell ref="A573:A574"/>
    <mergeCell ref="O573:O574"/>
    <mergeCell ref="A519:A522"/>
    <mergeCell ref="A778:A781"/>
    <mergeCell ref="A782:A785"/>
    <mergeCell ref="O782:O785"/>
    <mergeCell ref="A786:A787"/>
    <mergeCell ref="A788:A789"/>
    <mergeCell ref="O834:O837"/>
    <mergeCell ref="W9:Y9"/>
    <mergeCell ref="Q9:S9"/>
    <mergeCell ref="A1116:A1119"/>
    <mergeCell ref="A1112:A1115"/>
    <mergeCell ref="A1098:A1099"/>
    <mergeCell ref="O1098:O1099"/>
    <mergeCell ref="O1112:O1115"/>
    <mergeCell ref="A1052:A1055"/>
    <mergeCell ref="O1052:O1055"/>
    <mergeCell ref="A1086:A1089"/>
    <mergeCell ref="A1074:A1077"/>
    <mergeCell ref="A1078:A1079"/>
    <mergeCell ref="O1084:O1085"/>
    <mergeCell ref="A1106:A1107"/>
    <mergeCell ref="O1104:O1105"/>
    <mergeCell ref="O1106:O1107"/>
    <mergeCell ref="A1090:A1093"/>
    <mergeCell ref="O1090:O1093"/>
    <mergeCell ref="O1072:O1073"/>
    <mergeCell ref="O1070:O1071"/>
    <mergeCell ref="O903:O904"/>
    <mergeCell ref="A896:A899"/>
    <mergeCell ref="O905:O906"/>
    <mergeCell ref="O900:O902"/>
    <mergeCell ref="A966:A967"/>
    <mergeCell ref="O974:O975"/>
    <mergeCell ref="A931:A934"/>
    <mergeCell ref="A935:A936"/>
    <mergeCell ref="O927:O930"/>
    <mergeCell ref="O931:O934"/>
    <mergeCell ref="O935:O936"/>
    <mergeCell ref="A941:A942"/>
    <mergeCell ref="A917:A918"/>
    <mergeCell ref="O917:O918"/>
    <mergeCell ref="A923:A926"/>
    <mergeCell ref="A927:A930"/>
    <mergeCell ref="O896:O899"/>
    <mergeCell ref="A900:A902"/>
    <mergeCell ref="O907:O908"/>
    <mergeCell ref="A913:A914"/>
    <mergeCell ref="A907:A908"/>
    <mergeCell ref="A909:A912"/>
    <mergeCell ref="O919:O922"/>
    <mergeCell ref="A919:A922"/>
    <mergeCell ref="O1160:O1167"/>
    <mergeCell ref="O1172:O1175"/>
    <mergeCell ref="A1046:A1049"/>
    <mergeCell ref="O1046:O1049"/>
    <mergeCell ref="O1134:O1135"/>
    <mergeCell ref="A1136:A1137"/>
    <mergeCell ref="A1132:A1133"/>
    <mergeCell ref="A1134:A1135"/>
    <mergeCell ref="O1132:O1133"/>
    <mergeCell ref="A1128:A1129"/>
    <mergeCell ref="A1094:A1097"/>
    <mergeCell ref="A1120:A1123"/>
    <mergeCell ref="A1124:A1127"/>
    <mergeCell ref="O1120:O1123"/>
    <mergeCell ref="O1124:O1127"/>
    <mergeCell ref="A1080:A1083"/>
    <mergeCell ref="O1078:O1079"/>
    <mergeCell ref="O1080:O1083"/>
    <mergeCell ref="O1094:O1097"/>
    <mergeCell ref="A1108:A1111"/>
    <mergeCell ref="A1102:A1103"/>
    <mergeCell ref="A1104:A1105"/>
    <mergeCell ref="A1138:A1139"/>
    <mergeCell ref="O1138:O1139"/>
    <mergeCell ref="A1188:A1192"/>
    <mergeCell ref="A1156:A1157"/>
    <mergeCell ref="O1154:O1155"/>
    <mergeCell ref="O1156:O1157"/>
    <mergeCell ref="O1142:O1143"/>
    <mergeCell ref="A1144:A1147"/>
    <mergeCell ref="A1148:A1149"/>
    <mergeCell ref="O1148:O1149"/>
    <mergeCell ref="A1150:A1153"/>
    <mergeCell ref="O1150:O1153"/>
    <mergeCell ref="A1154:A1155"/>
    <mergeCell ref="A1168:A1171"/>
    <mergeCell ref="A1172:A1175"/>
    <mergeCell ref="A1176:A1179"/>
    <mergeCell ref="A1142:A1143"/>
    <mergeCell ref="A1180:A1183"/>
    <mergeCell ref="A1184:A1187"/>
    <mergeCell ref="N1160:N1167"/>
    <mergeCell ref="O1184:O1187"/>
    <mergeCell ref="O1188:O1192"/>
    <mergeCell ref="O1176:O1179"/>
    <mergeCell ref="O1180:O1183"/>
    <mergeCell ref="O1168:O1171"/>
    <mergeCell ref="A1160:A1167"/>
    <mergeCell ref="A1002:A1005"/>
    <mergeCell ref="A1006:A1009"/>
    <mergeCell ref="A964:A965"/>
    <mergeCell ref="O964:O965"/>
    <mergeCell ref="A962:A963"/>
    <mergeCell ref="A852:A853"/>
    <mergeCell ref="O852:O853"/>
    <mergeCell ref="A854:A855"/>
    <mergeCell ref="O854:O855"/>
    <mergeCell ref="O880:O883"/>
    <mergeCell ref="A949:A950"/>
    <mergeCell ref="O966:O967"/>
    <mergeCell ref="A982:A983"/>
    <mergeCell ref="O976:O979"/>
    <mergeCell ref="O982:O983"/>
    <mergeCell ref="O988:O989"/>
    <mergeCell ref="A951:A952"/>
    <mergeCell ref="A953:A954"/>
    <mergeCell ref="O951:O952"/>
    <mergeCell ref="O953:O954"/>
    <mergeCell ref="A968:A969"/>
    <mergeCell ref="O998:O999"/>
    <mergeCell ref="A903:A904"/>
    <mergeCell ref="A905:A906"/>
    <mergeCell ref="T9:V9"/>
    <mergeCell ref="A234:A237"/>
    <mergeCell ref="A265:A270"/>
    <mergeCell ref="A361:A364"/>
    <mergeCell ref="A74:A77"/>
    <mergeCell ref="A413:A416"/>
    <mergeCell ref="A369:A372"/>
    <mergeCell ref="O369:O372"/>
    <mergeCell ref="A377:A380"/>
    <mergeCell ref="O377:O380"/>
    <mergeCell ref="A373:A376"/>
    <mergeCell ref="A349:A352"/>
    <mergeCell ref="O349:O352"/>
    <mergeCell ref="A353:A356"/>
    <mergeCell ref="O353:O356"/>
    <mergeCell ref="A357:A360"/>
    <mergeCell ref="O357:O360"/>
    <mergeCell ref="A292:A296"/>
    <mergeCell ref="O292:O296"/>
    <mergeCell ref="A365:A368"/>
    <mergeCell ref="O365:O368"/>
    <mergeCell ref="O405:O408"/>
    <mergeCell ref="A409:A412"/>
    <mergeCell ref="O409:O412"/>
    <mergeCell ref="A818:A821"/>
    <mergeCell ref="A826:A829"/>
    <mergeCell ref="O826:O829"/>
    <mergeCell ref="A830:A833"/>
    <mergeCell ref="A806:A809"/>
    <mergeCell ref="A814:A815"/>
    <mergeCell ref="A816:A817"/>
    <mergeCell ref="O814:O815"/>
    <mergeCell ref="O816:O817"/>
    <mergeCell ref="A822:A825"/>
    <mergeCell ref="O822:O825"/>
    <mergeCell ref="A810:A813"/>
    <mergeCell ref="O810:O813"/>
    <mergeCell ref="A834:A837"/>
    <mergeCell ref="A734:A735"/>
    <mergeCell ref="O734:O735"/>
    <mergeCell ref="A736:A737"/>
    <mergeCell ref="A738:A739"/>
    <mergeCell ref="O738:O739"/>
    <mergeCell ref="A740:A741"/>
    <mergeCell ref="O740:O741"/>
    <mergeCell ref="A744:A745"/>
    <mergeCell ref="A746:A747"/>
    <mergeCell ref="O746:O747"/>
    <mergeCell ref="A748:A749"/>
    <mergeCell ref="O748:O749"/>
    <mergeCell ref="A752:A753"/>
    <mergeCell ref="A790:A791"/>
    <mergeCell ref="A804:A805"/>
    <mergeCell ref="O800:O801"/>
    <mergeCell ref="A762:A763"/>
    <mergeCell ref="O762:O763"/>
    <mergeCell ref="A764:A765"/>
    <mergeCell ref="O764:O765"/>
    <mergeCell ref="A771:A777"/>
    <mergeCell ref="A754:A755"/>
    <mergeCell ref="O752:O753"/>
    <mergeCell ref="A756:A757"/>
    <mergeCell ref="O756:O757"/>
    <mergeCell ref="A758:A759"/>
    <mergeCell ref="O758:O759"/>
    <mergeCell ref="A760:A761"/>
    <mergeCell ref="O792:O793"/>
    <mergeCell ref="O804:O805"/>
    <mergeCell ref="A800:A803"/>
    <mergeCell ref="A796:A799"/>
    <mergeCell ref="A768:A770"/>
    <mergeCell ref="N768:N770"/>
    <mergeCell ref="N771:N777"/>
    <mergeCell ref="O771:O777"/>
    <mergeCell ref="A794:A795"/>
    <mergeCell ref="O794:O795"/>
    <mergeCell ref="O790:O791"/>
    <mergeCell ref="A792:A793"/>
    <mergeCell ref="O788:O789"/>
    <mergeCell ref="O720:O723"/>
    <mergeCell ref="A724:A727"/>
    <mergeCell ref="A728:A729"/>
    <mergeCell ref="O728:O729"/>
    <mergeCell ref="A730:A733"/>
    <mergeCell ref="O730:O733"/>
    <mergeCell ref="A720:A723"/>
    <mergeCell ref="A702:A703"/>
    <mergeCell ref="O702:O703"/>
    <mergeCell ref="A704:A709"/>
    <mergeCell ref="A710:A713"/>
    <mergeCell ref="A714:A717"/>
    <mergeCell ref="A718:A719"/>
    <mergeCell ref="O718:O719"/>
    <mergeCell ref="A692:A695"/>
    <mergeCell ref="O692:O695"/>
    <mergeCell ref="A696:A697"/>
    <mergeCell ref="A698:A699"/>
    <mergeCell ref="O698:O699"/>
    <mergeCell ref="A700:A701"/>
    <mergeCell ref="O710:O713"/>
    <mergeCell ref="O714:O717"/>
    <mergeCell ref="O700:O701"/>
    <mergeCell ref="A682:A685"/>
    <mergeCell ref="O686:O687"/>
    <mergeCell ref="A688:A691"/>
    <mergeCell ref="O688:O691"/>
    <mergeCell ref="A668:A669"/>
    <mergeCell ref="A670:A671"/>
    <mergeCell ref="O670:O671"/>
    <mergeCell ref="A674:A675"/>
    <mergeCell ref="O674:O675"/>
    <mergeCell ref="A680:A681"/>
    <mergeCell ref="O680:O681"/>
    <mergeCell ref="A678:A679"/>
    <mergeCell ref="O678:O679"/>
    <mergeCell ref="A686:A687"/>
    <mergeCell ref="A660:A661"/>
    <mergeCell ref="O660:O661"/>
    <mergeCell ref="A662:A663"/>
    <mergeCell ref="A664:A665"/>
    <mergeCell ref="O664:O665"/>
    <mergeCell ref="A666:A667"/>
    <mergeCell ref="O666:O667"/>
    <mergeCell ref="A633:A636"/>
    <mergeCell ref="O637:O640"/>
    <mergeCell ref="O641:O642"/>
    <mergeCell ref="A643:A646"/>
    <mergeCell ref="A649:A650"/>
    <mergeCell ref="O649:O650"/>
    <mergeCell ref="A637:A640"/>
    <mergeCell ref="A641:A642"/>
    <mergeCell ref="A651:A655"/>
    <mergeCell ref="A656:A659"/>
    <mergeCell ref="O651:O655"/>
    <mergeCell ref="O656:O659"/>
    <mergeCell ref="A647:A648"/>
    <mergeCell ref="O647:O648"/>
    <mergeCell ref="A625:A626"/>
    <mergeCell ref="O625:O626"/>
    <mergeCell ref="A627:A628"/>
    <mergeCell ref="O627:O628"/>
    <mergeCell ref="A629:A632"/>
    <mergeCell ref="O629:O630"/>
    <mergeCell ref="A605:A608"/>
    <mergeCell ref="A609:A610"/>
    <mergeCell ref="O609:O610"/>
    <mergeCell ref="A611:A614"/>
    <mergeCell ref="O611:O614"/>
    <mergeCell ref="A615:A616"/>
    <mergeCell ref="O615:O616"/>
    <mergeCell ref="A621:A624"/>
    <mergeCell ref="O621:O624"/>
    <mergeCell ref="A617:A619"/>
    <mergeCell ref="A597:A598"/>
    <mergeCell ref="O597:O598"/>
    <mergeCell ref="A599:A600"/>
    <mergeCell ref="A601:A602"/>
    <mergeCell ref="O601:O602"/>
    <mergeCell ref="A603:A604"/>
    <mergeCell ref="O603:O604"/>
    <mergeCell ref="A583:A584"/>
    <mergeCell ref="A587:A588"/>
    <mergeCell ref="O587:O588"/>
    <mergeCell ref="A589:A590"/>
    <mergeCell ref="A591:A592"/>
    <mergeCell ref="O591:O592"/>
    <mergeCell ref="A585:A586"/>
    <mergeCell ref="O585:O586"/>
    <mergeCell ref="A569:A570"/>
    <mergeCell ref="O569:O570"/>
    <mergeCell ref="A571:A572"/>
    <mergeCell ref="O575:O576"/>
    <mergeCell ref="A577:A578"/>
    <mergeCell ref="A581:A582"/>
    <mergeCell ref="O581:O582"/>
    <mergeCell ref="A553:A556"/>
    <mergeCell ref="A557:A558"/>
    <mergeCell ref="O557:O558"/>
    <mergeCell ref="A559:A560"/>
    <mergeCell ref="O559:O560"/>
    <mergeCell ref="O563:O564"/>
    <mergeCell ref="A565:A568"/>
    <mergeCell ref="O565:O568"/>
    <mergeCell ref="A579:A580"/>
    <mergeCell ref="O579:O580"/>
    <mergeCell ref="A575:A576"/>
    <mergeCell ref="A562:A564"/>
    <mergeCell ref="A535:A536"/>
    <mergeCell ref="O535:O536"/>
    <mergeCell ref="A537:A540"/>
    <mergeCell ref="A541:A542"/>
    <mergeCell ref="O541:O542"/>
    <mergeCell ref="O549:O550"/>
    <mergeCell ref="A523:A526"/>
    <mergeCell ref="A527:A530"/>
    <mergeCell ref="O527:O530"/>
    <mergeCell ref="A531:A532"/>
    <mergeCell ref="O531:O532"/>
    <mergeCell ref="A533:A534"/>
    <mergeCell ref="O533:O534"/>
    <mergeCell ref="A543:A546"/>
    <mergeCell ref="O543:O546"/>
    <mergeCell ref="A501:A502"/>
    <mergeCell ref="O501:O502"/>
    <mergeCell ref="A507:A510"/>
    <mergeCell ref="A511:A512"/>
    <mergeCell ref="O511:O512"/>
    <mergeCell ref="A515:A518"/>
    <mergeCell ref="O515:O518"/>
    <mergeCell ref="A489:A490"/>
    <mergeCell ref="A491:A492"/>
    <mergeCell ref="O491:O492"/>
    <mergeCell ref="A493:A494"/>
    <mergeCell ref="A495:A498"/>
    <mergeCell ref="A499:A500"/>
    <mergeCell ref="O499:O500"/>
    <mergeCell ref="O503:O506"/>
    <mergeCell ref="A513:A514"/>
    <mergeCell ref="O513:O514"/>
    <mergeCell ref="O493:O494"/>
    <mergeCell ref="A503:A506"/>
    <mergeCell ref="A463:A464"/>
    <mergeCell ref="O463:O464"/>
    <mergeCell ref="A429:A432"/>
    <mergeCell ref="O429:O432"/>
    <mergeCell ref="A453:A454"/>
    <mergeCell ref="A455:A456"/>
    <mergeCell ref="O455:O456"/>
    <mergeCell ref="A459:A460"/>
    <mergeCell ref="O459:O460"/>
    <mergeCell ref="A436:A438"/>
    <mergeCell ref="O436:O438"/>
    <mergeCell ref="N436:N438"/>
    <mergeCell ref="A439:A445"/>
    <mergeCell ref="N439:N445"/>
    <mergeCell ref="O439:O445"/>
    <mergeCell ref="O389:O392"/>
    <mergeCell ref="A397:A400"/>
    <mergeCell ref="A393:A396"/>
    <mergeCell ref="O393:O396"/>
    <mergeCell ref="A401:A404"/>
    <mergeCell ref="O401:O404"/>
    <mergeCell ref="A433:A435"/>
    <mergeCell ref="A446:A452"/>
    <mergeCell ref="N446:N452"/>
    <mergeCell ref="O446:O452"/>
    <mergeCell ref="O433:O435"/>
    <mergeCell ref="A405:A408"/>
    <mergeCell ref="A389:A392"/>
    <mergeCell ref="A305:A308"/>
    <mergeCell ref="O305:O308"/>
    <mergeCell ref="A325:A328"/>
    <mergeCell ref="O333:O336"/>
    <mergeCell ref="A288:A291"/>
    <mergeCell ref="O288:O291"/>
    <mergeCell ref="A313:A316"/>
    <mergeCell ref="A321:A324"/>
    <mergeCell ref="O313:O316"/>
    <mergeCell ref="O321:O324"/>
    <mergeCell ref="O301:O304"/>
    <mergeCell ref="A301:A304"/>
    <mergeCell ref="A333:A336"/>
    <mergeCell ref="O341:O344"/>
    <mergeCell ref="A345:A348"/>
    <mergeCell ref="A309:A312"/>
    <mergeCell ref="O309:O312"/>
    <mergeCell ref="A329:A332"/>
    <mergeCell ref="O329:O332"/>
    <mergeCell ref="A381:A384"/>
    <mergeCell ref="O381:O384"/>
    <mergeCell ref="A385:A388"/>
    <mergeCell ref="A216:A219"/>
    <mergeCell ref="O216:O219"/>
    <mergeCell ref="A220:A223"/>
    <mergeCell ref="A280:A283"/>
    <mergeCell ref="O280:O283"/>
    <mergeCell ref="A284:A287"/>
    <mergeCell ref="O284:O287"/>
    <mergeCell ref="A230:A233"/>
    <mergeCell ref="O220:O223"/>
    <mergeCell ref="O230:O233"/>
    <mergeCell ref="A261:A264"/>
    <mergeCell ref="O261:O264"/>
    <mergeCell ref="A275:A279"/>
    <mergeCell ref="O275:O279"/>
    <mergeCell ref="A242:A244"/>
    <mergeCell ref="O242:O244"/>
    <mergeCell ref="A245:A248"/>
    <mergeCell ref="A249:A252"/>
    <mergeCell ref="A271:A274"/>
    <mergeCell ref="O271:O274"/>
    <mergeCell ref="A94:A97"/>
    <mergeCell ref="A98:A101"/>
    <mergeCell ref="O98:O101"/>
    <mergeCell ref="A114:A116"/>
    <mergeCell ref="O114:O116"/>
    <mergeCell ref="A117:A119"/>
    <mergeCell ref="O117:O119"/>
    <mergeCell ref="A90:A93"/>
    <mergeCell ref="A78:A81"/>
    <mergeCell ref="A106:A109"/>
    <mergeCell ref="O78:O81"/>
    <mergeCell ref="O90:O93"/>
    <mergeCell ref="O106:O109"/>
    <mergeCell ref="A102:A105"/>
    <mergeCell ref="O103:O105"/>
    <mergeCell ref="A110:A113"/>
    <mergeCell ref="A82:A85"/>
    <mergeCell ref="O82:O85"/>
    <mergeCell ref="A86:A89"/>
    <mergeCell ref="A56:A58"/>
    <mergeCell ref="O56:O58"/>
    <mergeCell ref="A59:A62"/>
    <mergeCell ref="A63:A66"/>
    <mergeCell ref="O64:O66"/>
    <mergeCell ref="A67:A70"/>
    <mergeCell ref="O67:O70"/>
    <mergeCell ref="O87:O89"/>
    <mergeCell ref="A41:A44"/>
    <mergeCell ref="O41:O44"/>
    <mergeCell ref="A45:A48"/>
    <mergeCell ref="O49:O52"/>
    <mergeCell ref="A53:A55"/>
    <mergeCell ref="A49:A52"/>
    <mergeCell ref="A71:A73"/>
    <mergeCell ref="O71:O73"/>
    <mergeCell ref="O74:O77"/>
    <mergeCell ref="P27:R27"/>
    <mergeCell ref="A29:A32"/>
    <mergeCell ref="A33:A36"/>
    <mergeCell ref="O33:O36"/>
    <mergeCell ref="A37:A40"/>
    <mergeCell ref="O37:O40"/>
    <mergeCell ref="L6:L8"/>
    <mergeCell ref="N6:N8"/>
    <mergeCell ref="O6:O8"/>
    <mergeCell ref="H6:K6"/>
    <mergeCell ref="A11:A19"/>
    <mergeCell ref="A20:A27"/>
    <mergeCell ref="N11:N19"/>
    <mergeCell ref="N20:N27"/>
    <mergeCell ref="O11:O19"/>
    <mergeCell ref="O20:O27"/>
    <mergeCell ref="A3:O3"/>
    <mergeCell ref="A4:O4"/>
    <mergeCell ref="A6:A8"/>
    <mergeCell ref="B6:B8"/>
    <mergeCell ref="C6:F7"/>
    <mergeCell ref="G6:G8"/>
    <mergeCell ref="M6:M7"/>
    <mergeCell ref="O253:O256"/>
    <mergeCell ref="A120:A122"/>
    <mergeCell ref="A146:A149"/>
    <mergeCell ref="A162:A164"/>
    <mergeCell ref="O162:O164"/>
    <mergeCell ref="A130:A133"/>
    <mergeCell ref="O130:O133"/>
    <mergeCell ref="A134:A137"/>
    <mergeCell ref="O134:O137"/>
    <mergeCell ref="A138:A141"/>
    <mergeCell ref="O142:O145"/>
    <mergeCell ref="A142:A145"/>
    <mergeCell ref="A123:A125"/>
    <mergeCell ref="O123:O125"/>
    <mergeCell ref="A126:A129"/>
    <mergeCell ref="O126:O129"/>
    <mergeCell ref="O150:O153"/>
    <mergeCell ref="A154:A157"/>
    <mergeCell ref="A158:A161"/>
    <mergeCell ref="O154:O157"/>
    <mergeCell ref="O158:O161"/>
    <mergeCell ref="A150:A153"/>
    <mergeCell ref="A181:A184"/>
    <mergeCell ref="O185:O187"/>
    <mergeCell ref="A188:A190"/>
    <mergeCell ref="O188:O190"/>
    <mergeCell ref="A165:A168"/>
    <mergeCell ref="A201:A204"/>
    <mergeCell ref="A185:A187"/>
    <mergeCell ref="A169:A172"/>
    <mergeCell ref="O169:O172"/>
    <mergeCell ref="A173:A176"/>
    <mergeCell ref="O173:O176"/>
    <mergeCell ref="A191:A193"/>
    <mergeCell ref="O191:O193"/>
    <mergeCell ref="A194:A197"/>
    <mergeCell ref="A198:A200"/>
    <mergeCell ref="O198:O200"/>
    <mergeCell ref="O194:O197"/>
    <mergeCell ref="A177:A180"/>
    <mergeCell ref="O177:O180"/>
    <mergeCell ref="A205:A207"/>
    <mergeCell ref="O205:O207"/>
    <mergeCell ref="A297:A300"/>
    <mergeCell ref="O297:O300"/>
    <mergeCell ref="A317:A320"/>
    <mergeCell ref="O317:O320"/>
    <mergeCell ref="O425:O428"/>
    <mergeCell ref="A425:A428"/>
    <mergeCell ref="O421:O424"/>
    <mergeCell ref="A421:A424"/>
    <mergeCell ref="O417:O420"/>
    <mergeCell ref="A417:A420"/>
    <mergeCell ref="A224:A226"/>
    <mergeCell ref="O224:O226"/>
    <mergeCell ref="A227:A229"/>
    <mergeCell ref="O227:O229"/>
    <mergeCell ref="A238:A241"/>
    <mergeCell ref="O238:O241"/>
    <mergeCell ref="A208:A211"/>
    <mergeCell ref="O208:O211"/>
    <mergeCell ref="A212:A215"/>
    <mergeCell ref="O249:O252"/>
    <mergeCell ref="A257:A260"/>
    <mergeCell ref="A253:A256"/>
    <mergeCell ref="A479:A480"/>
    <mergeCell ref="A481:A482"/>
    <mergeCell ref="O481:O482"/>
    <mergeCell ref="O485:O486"/>
    <mergeCell ref="A467:A468"/>
    <mergeCell ref="O467:O468"/>
    <mergeCell ref="A469:A470"/>
    <mergeCell ref="O469:O470"/>
    <mergeCell ref="A471:A472"/>
    <mergeCell ref="A473:A474"/>
    <mergeCell ref="O473:O474"/>
    <mergeCell ref="A984:A987"/>
    <mergeCell ref="A937:A938"/>
    <mergeCell ref="A939:A940"/>
    <mergeCell ref="A990:A993"/>
    <mergeCell ref="O1000:O1001"/>
    <mergeCell ref="A994:A997"/>
    <mergeCell ref="A998:A999"/>
    <mergeCell ref="A1000:A1001"/>
    <mergeCell ref="O994:O997"/>
    <mergeCell ref="A980:A981"/>
    <mergeCell ref="O980:O981"/>
    <mergeCell ref="A988:A989"/>
    <mergeCell ref="O939:O940"/>
    <mergeCell ref="A955:A958"/>
    <mergeCell ref="A943:A944"/>
    <mergeCell ref="A945:A946"/>
    <mergeCell ref="A947:A948"/>
    <mergeCell ref="A1195:O1195"/>
    <mergeCell ref="A1193:O1193"/>
    <mergeCell ref="A1197:O1197"/>
    <mergeCell ref="A1196:O1196"/>
    <mergeCell ref="A1194:O1194"/>
    <mergeCell ref="O990:O993"/>
    <mergeCell ref="A1014:A1017"/>
    <mergeCell ref="A1072:A1073"/>
    <mergeCell ref="A1038:A1041"/>
    <mergeCell ref="O1038:O1041"/>
    <mergeCell ref="A1042:A1045"/>
    <mergeCell ref="O1014:O1017"/>
    <mergeCell ref="A1084:A1085"/>
    <mergeCell ref="O1006:O1009"/>
    <mergeCell ref="A1100:A1101"/>
    <mergeCell ref="O1100:O1101"/>
    <mergeCell ref="A1060:A1061"/>
    <mergeCell ref="A1030:A1033"/>
    <mergeCell ref="O1030:O1033"/>
    <mergeCell ref="A1034:A1037"/>
    <mergeCell ref="O1034:O1037"/>
    <mergeCell ref="O1018:O1021"/>
    <mergeCell ref="A1068:A1069"/>
    <mergeCell ref="A1070:A1071"/>
    <mergeCell ref="A1010:A1013"/>
    <mergeCell ref="O1062:O1065"/>
    <mergeCell ref="O1066:O1067"/>
    <mergeCell ref="A1050:A1051"/>
    <mergeCell ref="O1050:O1051"/>
    <mergeCell ref="O1022:O1025"/>
    <mergeCell ref="O1010:O1013"/>
    <mergeCell ref="A1056:A1059"/>
    <mergeCell ref="O1060:O1061"/>
    <mergeCell ref="A1026:A1029"/>
    <mergeCell ref="O1026:O1029"/>
    <mergeCell ref="A1018:A1021"/>
    <mergeCell ref="A1022:A1025"/>
    <mergeCell ref="A1062:A1065"/>
    <mergeCell ref="A1066:A1067"/>
    <mergeCell ref="A1130:A1131"/>
    <mergeCell ref="O1130:O1131"/>
    <mergeCell ref="R443:S443"/>
    <mergeCell ref="T443:U443"/>
    <mergeCell ref="V443:W443"/>
    <mergeCell ref="R445:S445"/>
    <mergeCell ref="T445:U445"/>
    <mergeCell ref="V445:W445"/>
    <mergeCell ref="N414:N424"/>
    <mergeCell ref="O414:O416"/>
    <mergeCell ref="A976:A979"/>
    <mergeCell ref="O941:O942"/>
    <mergeCell ref="O943:O944"/>
    <mergeCell ref="O945:O946"/>
    <mergeCell ref="O947:O948"/>
    <mergeCell ref="O949:O950"/>
    <mergeCell ref="A465:A466"/>
    <mergeCell ref="O465:O466"/>
    <mergeCell ref="A475:A476"/>
    <mergeCell ref="O475:O476"/>
    <mergeCell ref="O968:O969"/>
    <mergeCell ref="O913:O914"/>
    <mergeCell ref="A970:A973"/>
    <mergeCell ref="A974:A975"/>
  </mergeCells>
  <conditionalFormatting sqref="L152:L160">
    <cfRule type="cellIs" dxfId="4" priority="3" stopIfTrue="1" operator="equal">
      <formula>0</formula>
    </cfRule>
  </conditionalFormatting>
  <conditionalFormatting sqref="M279">
    <cfRule type="cellIs" dxfId="3" priority="1" stopIfTrue="1" operator="equal">
      <formula>0</formula>
    </cfRule>
  </conditionalFormatting>
  <printOptions horizontalCentered="1"/>
  <pageMargins left="0.39370078740157483" right="0.39370078740157483" top="0.98425196850393704" bottom="0.39370078740157483" header="0.31496062992125984" footer="0.31496062992125984"/>
  <pageSetup paperSize="9" scale="68" fitToHeight="20" orientation="landscape" r:id="rId1"/>
  <headerFooter differentFirst="1">
    <oddHeader>Страница &amp;P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O1372"/>
  <sheetViews>
    <sheetView showZeros="0" tabSelected="1" zoomScaleNormal="100" zoomScaleSheetLayoutView="90" workbookViewId="0">
      <pane xSplit="1" ySplit="9" topLeftCell="B10" activePane="bottomRight" state="frozen"/>
      <selection pane="topRight" activeCell="B1" sqref="B1"/>
      <selection pane="bottomLeft" activeCell="A11" sqref="A11"/>
      <selection pane="bottomRight" activeCell="L136" sqref="L136:L137"/>
    </sheetView>
  </sheetViews>
  <sheetFormatPr defaultColWidth="8.85546875" defaultRowHeight="15"/>
  <cols>
    <col min="1" max="1" width="40.5703125" style="74" customWidth="1"/>
    <col min="2" max="2" width="21.85546875" style="486" customWidth="1"/>
    <col min="3" max="4" width="8.85546875" style="74" hidden="1" customWidth="1"/>
    <col min="5" max="5" width="9.7109375" style="74" hidden="1" customWidth="1"/>
    <col min="6" max="6" width="8.85546875" style="74" hidden="1" customWidth="1"/>
    <col min="7" max="7" width="12.85546875" style="304" customWidth="1"/>
    <col min="8" max="8" width="11.7109375" style="304" customWidth="1"/>
    <col min="9" max="9" width="11.28515625" style="304" customWidth="1"/>
    <col min="10" max="10" width="10.5703125" style="304" customWidth="1"/>
    <col min="11" max="11" width="11" style="304" customWidth="1"/>
    <col min="12" max="12" width="12.5703125" style="304" customWidth="1"/>
    <col min="13" max="13" width="13" style="598" customWidth="1"/>
    <col min="14" max="14" width="15.42578125" style="304" customWidth="1"/>
    <col min="15" max="15" width="25.5703125" style="304" customWidth="1"/>
    <col min="16" max="16" width="9.85546875" style="43" customWidth="1"/>
    <col min="17" max="18" width="9.85546875" style="43" hidden="1" customWidth="1"/>
    <col min="19" max="19" width="10.85546875" style="43" hidden="1" customWidth="1"/>
    <col min="20" max="20" width="15.140625" style="43" hidden="1" customWidth="1"/>
    <col min="21" max="21" width="12.140625" style="43" hidden="1" customWidth="1"/>
    <col min="22" max="22" width="12.28515625" style="43" hidden="1" customWidth="1"/>
    <col min="23" max="23" width="14.85546875" style="43" hidden="1" customWidth="1"/>
    <col min="24" max="24" width="12.85546875" style="43" hidden="1" customWidth="1"/>
    <col min="25" max="25" width="11.42578125" style="43" hidden="1" customWidth="1"/>
    <col min="26" max="26" width="8.85546875" style="43" hidden="1" customWidth="1"/>
    <col min="27" max="27" width="15.85546875" style="43" hidden="1" customWidth="1"/>
    <col min="28" max="28" width="8.85546875" style="43" hidden="1" customWidth="1"/>
    <col min="29" max="29" width="50.85546875" style="43" hidden="1" customWidth="1"/>
    <col min="30" max="33" width="8.85546875" style="43" customWidth="1"/>
    <col min="34" max="35" width="8.85546875" style="43"/>
    <col min="36" max="61" width="8.85546875" style="267"/>
    <col min="62" max="16384" width="8.85546875" style="43"/>
  </cols>
  <sheetData>
    <row r="1" spans="1:25" ht="23.25" customHeight="1">
      <c r="A1" s="1046" t="s">
        <v>796</v>
      </c>
      <c r="B1" s="1046"/>
      <c r="C1" s="1046"/>
      <c r="D1" s="1046"/>
      <c r="E1" s="1046"/>
      <c r="F1" s="1046"/>
      <c r="G1" s="1046"/>
      <c r="H1" s="1046"/>
      <c r="I1" s="1046"/>
      <c r="J1" s="1046"/>
      <c r="K1" s="1046"/>
      <c r="L1" s="1046"/>
      <c r="M1" s="1046"/>
      <c r="N1" s="1046"/>
      <c r="O1" s="1046"/>
    </row>
    <row r="2" spans="1:25" ht="26.45" customHeight="1">
      <c r="A2" s="1046"/>
      <c r="B2" s="1046"/>
      <c r="C2" s="1046"/>
      <c r="D2" s="1046"/>
      <c r="E2" s="1046"/>
      <c r="F2" s="1046"/>
      <c r="G2" s="1046"/>
      <c r="H2" s="1046"/>
      <c r="I2" s="1046"/>
      <c r="J2" s="1046"/>
      <c r="K2" s="1046"/>
      <c r="L2" s="1046"/>
      <c r="M2" s="1046"/>
      <c r="N2" s="1046"/>
      <c r="O2" s="1046"/>
    </row>
    <row r="3" spans="1:25" ht="21" customHeight="1">
      <c r="A3" s="976" t="s">
        <v>797</v>
      </c>
      <c r="B3" s="976"/>
      <c r="C3" s="976"/>
      <c r="D3" s="976"/>
      <c r="E3" s="976"/>
      <c r="F3" s="976"/>
      <c r="G3" s="976"/>
      <c r="H3" s="976"/>
      <c r="I3" s="976"/>
      <c r="J3" s="976"/>
      <c r="K3" s="976"/>
      <c r="L3" s="976"/>
      <c r="M3" s="976"/>
      <c r="N3" s="976"/>
      <c r="O3" s="976"/>
      <c r="P3" s="501"/>
      <c r="Q3" s="501"/>
      <c r="R3" s="501"/>
      <c r="S3" s="501"/>
      <c r="T3" s="501"/>
      <c r="U3" s="501"/>
      <c r="V3" s="501"/>
      <c r="W3" s="501"/>
      <c r="X3" s="501"/>
      <c r="Y3" s="501"/>
    </row>
    <row r="4" spans="1:25" ht="43.9" customHeight="1">
      <c r="A4" s="976"/>
      <c r="B4" s="976"/>
      <c r="C4" s="976"/>
      <c r="D4" s="976"/>
      <c r="E4" s="976"/>
      <c r="F4" s="976"/>
      <c r="G4" s="976"/>
      <c r="H4" s="976"/>
      <c r="I4" s="976"/>
      <c r="J4" s="976"/>
      <c r="K4" s="976"/>
      <c r="L4" s="976"/>
      <c r="M4" s="976"/>
      <c r="N4" s="976"/>
      <c r="O4" s="976"/>
      <c r="P4" s="501"/>
      <c r="Q4" s="501"/>
      <c r="R4" s="501"/>
      <c r="S4" s="501"/>
      <c r="T4" s="501"/>
      <c r="U4" s="501"/>
      <c r="V4" s="501"/>
      <c r="W4" s="501"/>
      <c r="X4" s="501"/>
      <c r="Y4" s="501"/>
    </row>
    <row r="5" spans="1:25" ht="21" customHeight="1">
      <c r="A5" s="977" t="s">
        <v>0</v>
      </c>
      <c r="B5" s="977" t="s">
        <v>1</v>
      </c>
      <c r="C5" s="977" t="s">
        <v>143</v>
      </c>
      <c r="D5" s="977"/>
      <c r="E5" s="977"/>
      <c r="F5" s="977"/>
      <c r="G5" s="944" t="s">
        <v>458</v>
      </c>
      <c r="H5" s="991" t="s">
        <v>895</v>
      </c>
      <c r="I5" s="992"/>
      <c r="J5" s="992"/>
      <c r="K5" s="993"/>
      <c r="L5" s="944" t="s">
        <v>518</v>
      </c>
      <c r="M5" s="1061" t="s">
        <v>896</v>
      </c>
      <c r="N5" s="944" t="s">
        <v>2</v>
      </c>
      <c r="O5" s="944" t="s">
        <v>3</v>
      </c>
      <c r="T5" s="989" t="s">
        <v>715</v>
      </c>
      <c r="U5" s="989"/>
      <c r="V5" s="989"/>
      <c r="W5" s="989"/>
      <c r="X5" s="989"/>
    </row>
    <row r="6" spans="1:25" ht="20.45" customHeight="1">
      <c r="A6" s="977"/>
      <c r="B6" s="977"/>
      <c r="C6" s="977"/>
      <c r="D6" s="977"/>
      <c r="E6" s="977"/>
      <c r="F6" s="977"/>
      <c r="G6" s="944"/>
      <c r="H6" s="484" t="s">
        <v>146</v>
      </c>
      <c r="I6" s="484" t="s">
        <v>147</v>
      </c>
      <c r="J6" s="484" t="s">
        <v>148</v>
      </c>
      <c r="K6" s="641" t="s">
        <v>149</v>
      </c>
      <c r="L6" s="944"/>
      <c r="M6" s="1062"/>
      <c r="N6" s="944"/>
      <c r="O6" s="944"/>
    </row>
    <row r="7" spans="1:25" ht="4.9000000000000004" hidden="1" customHeight="1">
      <c r="A7" s="977"/>
      <c r="B7" s="977"/>
      <c r="C7" s="489" t="s">
        <v>4</v>
      </c>
      <c r="D7" s="489" t="s">
        <v>5</v>
      </c>
      <c r="E7" s="489" t="s">
        <v>6</v>
      </c>
      <c r="F7" s="489" t="s">
        <v>7</v>
      </c>
      <c r="G7" s="944"/>
      <c r="H7" s="484"/>
      <c r="I7" s="484"/>
      <c r="J7" s="484"/>
      <c r="K7" s="641"/>
      <c r="L7" s="944"/>
      <c r="M7" s="577"/>
      <c r="N7" s="944"/>
      <c r="O7" s="944"/>
    </row>
    <row r="8" spans="1:25">
      <c r="A8" s="489">
        <v>1</v>
      </c>
      <c r="B8" s="489">
        <v>2</v>
      </c>
      <c r="C8" s="489">
        <v>3</v>
      </c>
      <c r="D8" s="489">
        <v>4</v>
      </c>
      <c r="E8" s="489">
        <v>5</v>
      </c>
      <c r="F8" s="489">
        <v>6</v>
      </c>
      <c r="G8" s="484">
        <v>3</v>
      </c>
      <c r="H8" s="484">
        <v>4</v>
      </c>
      <c r="I8" s="484">
        <v>5</v>
      </c>
      <c r="J8" s="484">
        <v>6</v>
      </c>
      <c r="K8" s="641">
        <v>7</v>
      </c>
      <c r="L8" s="706">
        <v>8</v>
      </c>
      <c r="M8" s="577">
        <v>9</v>
      </c>
      <c r="N8" s="484">
        <v>10</v>
      </c>
      <c r="O8" s="484">
        <v>11</v>
      </c>
      <c r="Q8" s="1024">
        <v>2020</v>
      </c>
      <c r="R8" s="1024"/>
      <c r="S8" s="1024"/>
      <c r="T8" s="1024">
        <v>2021</v>
      </c>
      <c r="U8" s="1024"/>
      <c r="V8" s="1024"/>
      <c r="W8" s="1024">
        <v>2022</v>
      </c>
      <c r="X8" s="1024"/>
      <c r="Y8" s="1024"/>
    </row>
    <row r="9" spans="1:25" ht="136.15" hidden="1" customHeight="1">
      <c r="A9" s="493" t="s">
        <v>12</v>
      </c>
      <c r="B9" s="489"/>
      <c r="C9" s="489">
        <v>176</v>
      </c>
      <c r="D9" s="489" t="s">
        <v>15</v>
      </c>
      <c r="E9" s="489" t="s">
        <v>16</v>
      </c>
      <c r="F9" s="489" t="s">
        <v>28</v>
      </c>
      <c r="G9" s="484"/>
      <c r="H9" s="484"/>
      <c r="I9" s="484"/>
      <c r="J9" s="484"/>
      <c r="K9" s="641"/>
      <c r="L9" s="706"/>
      <c r="M9" s="577"/>
      <c r="N9" s="484"/>
      <c r="O9" s="484"/>
      <c r="Q9" s="50"/>
      <c r="R9" s="50"/>
      <c r="S9" s="50"/>
      <c r="T9" s="50"/>
      <c r="U9" s="50"/>
      <c r="V9" s="50"/>
      <c r="W9" s="50"/>
      <c r="X9" s="50"/>
      <c r="Y9" s="50"/>
    </row>
    <row r="10" spans="1:25" ht="27" customHeight="1">
      <c r="A10" s="887" t="s">
        <v>543</v>
      </c>
      <c r="B10" s="57" t="s">
        <v>89</v>
      </c>
      <c r="C10" s="57"/>
      <c r="D10" s="57"/>
      <c r="E10" s="57"/>
      <c r="F10" s="57"/>
      <c r="G10" s="650">
        <f>K10</f>
        <v>16.586000000000002</v>
      </c>
      <c r="H10" s="533">
        <f>H19+H49+H85+H102+H130+H162+H178+H198+H209+H242+H254+H262+H330+H350+H366+H382+H394+H418+H430+H442</f>
        <v>0</v>
      </c>
      <c r="I10" s="533">
        <f>I19+I49+I85+I102+I130+I162+I178+I198+I209+I242+I254+I262+I330+I350+I366+I382+I394+I418+I430+I442</f>
        <v>0</v>
      </c>
      <c r="J10" s="533">
        <f>J19+J49+J85+J102+J130+J162+J178+J198+J209+J242+J254+J262+J330+J350+J366+J382+J394+J418+J430+J442</f>
        <v>0</v>
      </c>
      <c r="K10" s="650">
        <f>K19+K49+K85+K102+K130+K162+K178+K198+K209+K242+K254+K262+K330+K350+K366+K382+K394+K418+K430+K442</f>
        <v>16.586000000000002</v>
      </c>
      <c r="L10" s="79">
        <f>L49+L130</f>
        <v>16.024896008779283</v>
      </c>
      <c r="M10" s="838">
        <v>16</v>
      </c>
      <c r="N10" s="933" t="s">
        <v>526</v>
      </c>
      <c r="O10" s="933" t="s">
        <v>1140</v>
      </c>
      <c r="Q10" s="50"/>
      <c r="R10" s="494" t="s">
        <v>271</v>
      </c>
      <c r="S10" s="494" t="s">
        <v>272</v>
      </c>
      <c r="T10" s="50"/>
      <c r="U10" s="494" t="s">
        <v>271</v>
      </c>
      <c r="V10" s="494" t="s">
        <v>272</v>
      </c>
      <c r="W10" s="50"/>
      <c r="X10" s="494" t="s">
        <v>271</v>
      </c>
      <c r="Y10" s="494" t="s">
        <v>272</v>
      </c>
    </row>
    <row r="11" spans="1:25" ht="27" customHeight="1">
      <c r="A11" s="888"/>
      <c r="B11" s="57" t="s">
        <v>24</v>
      </c>
      <c r="C11" s="57"/>
      <c r="D11" s="57"/>
      <c r="E11" s="57"/>
      <c r="F11" s="57"/>
      <c r="G11" s="638">
        <f>G12/G10</f>
        <v>63755.028337151816</v>
      </c>
      <c r="H11" s="638"/>
      <c r="I11" s="638"/>
      <c r="J11" s="638"/>
      <c r="K11" s="638"/>
      <c r="L11" s="638">
        <v>43517.4</v>
      </c>
      <c r="M11" s="439">
        <f t="shared" ref="M11" si="0">M12/M10</f>
        <v>98630.868749999994</v>
      </c>
      <c r="N11" s="946"/>
      <c r="O11" s="946"/>
      <c r="Q11" s="50"/>
      <c r="R11" s="51"/>
      <c r="S11" s="51"/>
      <c r="T11" s="52"/>
      <c r="U11" s="51"/>
      <c r="V11" s="51"/>
      <c r="W11" s="52"/>
      <c r="X11" s="51"/>
      <c r="Y11" s="51"/>
    </row>
    <row r="12" spans="1:25" ht="27" customHeight="1">
      <c r="A12" s="888"/>
      <c r="B12" s="57" t="s">
        <v>25</v>
      </c>
      <c r="C12" s="57">
        <v>176</v>
      </c>
      <c r="D12" s="57" t="s">
        <v>15</v>
      </c>
      <c r="E12" s="57">
        <v>6100404</v>
      </c>
      <c r="F12" s="57">
        <v>414</v>
      </c>
      <c r="G12" s="80">
        <f>G15+G14</f>
        <v>1057440.9000000001</v>
      </c>
      <c r="H12" s="80">
        <f t="shared" ref="H12:M12" si="1">H15+H14</f>
        <v>0</v>
      </c>
      <c r="I12" s="80">
        <f t="shared" si="1"/>
        <v>0</v>
      </c>
      <c r="J12" s="80">
        <f t="shared" si="1"/>
        <v>0</v>
      </c>
      <c r="K12" s="80">
        <f t="shared" si="1"/>
        <v>1056829.4000000001</v>
      </c>
      <c r="L12" s="80">
        <f t="shared" si="1"/>
        <v>673215.6</v>
      </c>
      <c r="M12" s="439">
        <f t="shared" si="1"/>
        <v>1578093.9</v>
      </c>
      <c r="N12" s="946"/>
      <c r="O12" s="946"/>
      <c r="Q12" s="494" t="s">
        <v>269</v>
      </c>
      <c r="R12" s="305">
        <f>K118+K170</f>
        <v>4.066643600216211</v>
      </c>
      <c r="S12" s="305">
        <v>0</v>
      </c>
      <c r="T12" s="494" t="s">
        <v>269</v>
      </c>
      <c r="U12" s="306">
        <f>L64</f>
        <v>3.2248960087792837</v>
      </c>
      <c r="V12" s="271">
        <f>L166</f>
        <v>0</v>
      </c>
      <c r="W12" s="494" t="s">
        <v>269</v>
      </c>
      <c r="X12" s="101">
        <f>M209</f>
        <v>1.8486229337778892</v>
      </c>
      <c r="Y12" s="271"/>
    </row>
    <row r="13" spans="1:25" ht="27" customHeight="1">
      <c r="A13" s="888"/>
      <c r="B13" s="57" t="s">
        <v>9</v>
      </c>
      <c r="C13" s="57"/>
      <c r="D13" s="57"/>
      <c r="E13" s="57"/>
      <c r="F13" s="57"/>
      <c r="G13" s="80"/>
      <c r="H13" s="80"/>
      <c r="I13" s="80"/>
      <c r="J13" s="80"/>
      <c r="K13" s="80"/>
      <c r="L13" s="80"/>
      <c r="M13" s="439"/>
      <c r="N13" s="946"/>
      <c r="O13" s="946"/>
      <c r="Q13" s="494" t="s">
        <v>270</v>
      </c>
      <c r="R13" s="305">
        <f>S13</f>
        <v>12.486000000000001</v>
      </c>
      <c r="S13" s="305">
        <f>K80</f>
        <v>12.486000000000001</v>
      </c>
      <c r="T13" s="494" t="s">
        <v>270</v>
      </c>
      <c r="U13" s="616">
        <f>V13</f>
        <v>12.8</v>
      </c>
      <c r="V13" s="616">
        <f>L134</f>
        <v>12.8</v>
      </c>
      <c r="W13" s="494" t="s">
        <v>270</v>
      </c>
      <c r="X13" s="305">
        <f>Y13</f>
        <v>14.1</v>
      </c>
      <c r="Y13" s="271">
        <f>M93+M414</f>
        <v>14.1</v>
      </c>
    </row>
    <row r="14" spans="1:25" ht="27" customHeight="1">
      <c r="A14" s="888"/>
      <c r="B14" s="57" t="s">
        <v>247</v>
      </c>
      <c r="C14" s="57">
        <v>176</v>
      </c>
      <c r="D14" s="57" t="s">
        <v>15</v>
      </c>
      <c r="E14" s="57">
        <v>6100404</v>
      </c>
      <c r="F14" s="57">
        <v>414</v>
      </c>
      <c r="G14" s="80">
        <f>G21+G37+G51+G87+G104+G132+G164+G180+G200+G211+G244+G256+G264+G332+G352+G368+G384+G396+G412+G420+G432+G444+G145</f>
        <v>821778.8</v>
      </c>
      <c r="H14" s="80">
        <f t="shared" ref="H14:M14" si="2">H21+H37+H51+H87+H104+H132+H164+H180+H200+H211+H244+H256+H264+H332+H352+H368+H384+H396+H412+H420+H432+H444</f>
        <v>0</v>
      </c>
      <c r="I14" s="80">
        <f t="shared" si="2"/>
        <v>0</v>
      </c>
      <c r="J14" s="80">
        <f t="shared" si="2"/>
        <v>0</v>
      </c>
      <c r="K14" s="80">
        <f t="shared" si="2"/>
        <v>821167.3</v>
      </c>
      <c r="L14" s="80">
        <f t="shared" si="2"/>
        <v>567925.5</v>
      </c>
      <c r="M14" s="80">
        <f t="shared" si="2"/>
        <v>1468326.5</v>
      </c>
      <c r="N14" s="946"/>
      <c r="O14" s="946"/>
      <c r="P14" s="98"/>
      <c r="Q14" s="47"/>
      <c r="R14" s="464"/>
      <c r="S14" s="407"/>
      <c r="T14" s="407"/>
      <c r="U14" s="615"/>
      <c r="V14" s="615"/>
      <c r="W14" s="407"/>
      <c r="X14" s="407">
        <f t="shared" ref="X14:Y14" si="3">X12+X13</f>
        <v>15.948622933777889</v>
      </c>
      <c r="Y14" s="407">
        <f t="shared" si="3"/>
        <v>14.1</v>
      </c>
    </row>
    <row r="15" spans="1:25" ht="27" customHeight="1">
      <c r="A15" s="888"/>
      <c r="B15" s="57" t="s">
        <v>495</v>
      </c>
      <c r="C15" s="57"/>
      <c r="D15" s="57"/>
      <c r="E15" s="57"/>
      <c r="F15" s="57"/>
      <c r="G15" s="80">
        <f t="shared" ref="G15:K15" si="4">G22+G52+G88+G105+G133+G165+G181+G201+G212+G245+G257+G265+G333+G353+G369+G385+G397+G421+G433+G445+G473</f>
        <v>235662.1</v>
      </c>
      <c r="H15" s="80">
        <f t="shared" si="4"/>
        <v>0</v>
      </c>
      <c r="I15" s="80">
        <f t="shared" si="4"/>
        <v>0</v>
      </c>
      <c r="J15" s="80">
        <f t="shared" si="4"/>
        <v>0</v>
      </c>
      <c r="K15" s="80">
        <f t="shared" si="4"/>
        <v>235662.1</v>
      </c>
      <c r="L15" s="80">
        <f>L22+L52+L88+L105+L133+L165+L181+L201+L212+L245+L257+L265+L333+L353+L369+L385+L397+L421+L433+L445+L473</f>
        <v>105290.1</v>
      </c>
      <c r="M15" s="439">
        <f>M22+M52+M88+M105+M133+M165+M181+M201+M212+M245+M257+M265+M333+M353+M369+M385+M397+M421+M433+M445+M473</f>
        <v>109767.4</v>
      </c>
      <c r="N15" s="946"/>
      <c r="O15" s="946"/>
      <c r="P15" s="98"/>
      <c r="Q15" s="47"/>
      <c r="R15" s="464"/>
      <c r="V15" s="407"/>
      <c r="Y15" s="407"/>
    </row>
    <row r="16" spans="1:25" ht="27" customHeight="1">
      <c r="A16" s="888"/>
      <c r="B16" s="57" t="s">
        <v>435</v>
      </c>
      <c r="C16" s="57">
        <v>176</v>
      </c>
      <c r="D16" s="57" t="s">
        <v>15</v>
      </c>
      <c r="E16" s="57" t="s">
        <v>27</v>
      </c>
      <c r="F16" s="57" t="s">
        <v>28</v>
      </c>
      <c r="G16" s="80"/>
      <c r="H16" s="80">
        <f t="shared" ref="H16:J16" si="5">H22</f>
        <v>0</v>
      </c>
      <c r="I16" s="80">
        <f t="shared" si="5"/>
        <v>0</v>
      </c>
      <c r="J16" s="80">
        <f t="shared" si="5"/>
        <v>0</v>
      </c>
      <c r="K16" s="80"/>
      <c r="L16" s="80"/>
      <c r="M16" s="439"/>
      <c r="N16" s="946"/>
      <c r="O16" s="946"/>
      <c r="Q16" s="47"/>
      <c r="R16" s="47"/>
      <c r="S16" s="47"/>
      <c r="T16" s="47"/>
      <c r="U16" s="47"/>
      <c r="V16" s="47"/>
      <c r="W16" s="47"/>
      <c r="X16" s="47"/>
      <c r="Y16" s="47"/>
    </row>
    <row r="17" spans="1:61" ht="27" customHeight="1">
      <c r="A17" s="889"/>
      <c r="B17" s="57" t="s">
        <v>447</v>
      </c>
      <c r="C17" s="57"/>
      <c r="D17" s="57"/>
      <c r="E17" s="57"/>
      <c r="F17" s="57"/>
      <c r="G17" s="80">
        <v>0</v>
      </c>
      <c r="H17" s="80">
        <f t="shared" ref="H17:I17" si="6">H74+H78</f>
        <v>0</v>
      </c>
      <c r="I17" s="80">
        <f t="shared" si="6"/>
        <v>0</v>
      </c>
      <c r="J17" s="80">
        <v>0</v>
      </c>
      <c r="K17" s="80">
        <v>0</v>
      </c>
      <c r="L17" s="80"/>
      <c r="M17" s="439"/>
      <c r="N17" s="934"/>
      <c r="O17" s="934"/>
      <c r="Q17" s="47"/>
      <c r="R17" s="47"/>
      <c r="S17" s="47"/>
      <c r="T17" s="47"/>
      <c r="U17" s="47"/>
      <c r="V17" s="47"/>
      <c r="W17" s="47"/>
      <c r="X17" s="47"/>
      <c r="Y17" s="47"/>
    </row>
    <row r="18" spans="1:61" ht="17.45" customHeight="1">
      <c r="A18" s="466" t="s">
        <v>29</v>
      </c>
      <c r="B18" s="493"/>
      <c r="C18" s="493"/>
      <c r="D18" s="493"/>
      <c r="E18" s="493"/>
      <c r="F18" s="493"/>
      <c r="G18" s="493"/>
      <c r="H18" s="493"/>
      <c r="I18" s="493"/>
      <c r="J18" s="493"/>
      <c r="K18" s="642"/>
      <c r="L18" s="707"/>
      <c r="M18" s="578"/>
      <c r="N18" s="493"/>
      <c r="O18" s="493"/>
    </row>
    <row r="19" spans="1:61" s="44" customFormat="1" ht="24.6" customHeight="1">
      <c r="A19" s="945" t="s">
        <v>96</v>
      </c>
      <c r="B19" s="57" t="s">
        <v>89</v>
      </c>
      <c r="C19" s="57"/>
      <c r="D19" s="57"/>
      <c r="E19" s="57"/>
      <c r="F19" s="57"/>
      <c r="G19" s="93">
        <f>G23+G27+G31</f>
        <v>0</v>
      </c>
      <c r="H19" s="93">
        <f>H23+H27+H31</f>
        <v>0</v>
      </c>
      <c r="I19" s="93">
        <f>I23+I27+I31</f>
        <v>0</v>
      </c>
      <c r="J19" s="93">
        <f>J23+J27+J31</f>
        <v>0</v>
      </c>
      <c r="K19" s="93">
        <f>K23+K27+K31</f>
        <v>0</v>
      </c>
      <c r="L19" s="80">
        <f>L23</f>
        <v>0</v>
      </c>
      <c r="M19" s="439">
        <f>M23+M27+M31</f>
        <v>0</v>
      </c>
      <c r="N19" s="493"/>
      <c r="O19" s="57"/>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row>
    <row r="20" spans="1:61" s="44" customFormat="1" ht="24.6" customHeight="1">
      <c r="A20" s="945"/>
      <c r="B20" s="57" t="s">
        <v>235</v>
      </c>
      <c r="C20" s="57"/>
      <c r="D20" s="57"/>
      <c r="E20" s="57"/>
      <c r="F20" s="57"/>
      <c r="G20" s="80">
        <f t="shared" ref="G20:M20" si="7">G21+G22</f>
        <v>4000</v>
      </c>
      <c r="H20" s="80">
        <f t="shared" si="7"/>
        <v>0</v>
      </c>
      <c r="I20" s="80">
        <f t="shared" si="7"/>
        <v>0</v>
      </c>
      <c r="J20" s="80">
        <f t="shared" si="7"/>
        <v>0</v>
      </c>
      <c r="K20" s="80">
        <f t="shared" si="7"/>
        <v>4000</v>
      </c>
      <c r="L20" s="80">
        <f t="shared" si="7"/>
        <v>0</v>
      </c>
      <c r="M20" s="439">
        <f t="shared" si="7"/>
        <v>0</v>
      </c>
      <c r="N20" s="493"/>
      <c r="O20" s="57"/>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row>
    <row r="21" spans="1:61" s="44" customFormat="1" ht="24.6" customHeight="1">
      <c r="A21" s="945"/>
      <c r="B21" s="57" t="s">
        <v>247</v>
      </c>
      <c r="C21" s="57"/>
      <c r="D21" s="57"/>
      <c r="E21" s="57"/>
      <c r="F21" s="57"/>
      <c r="G21" s="80">
        <f>G25</f>
        <v>4000</v>
      </c>
      <c r="H21" s="80">
        <f t="shared" ref="H21:M21" si="8">H25</f>
        <v>0</v>
      </c>
      <c r="I21" s="80">
        <f t="shared" si="8"/>
        <v>0</v>
      </c>
      <c r="J21" s="80">
        <f t="shared" si="8"/>
        <v>0</v>
      </c>
      <c r="K21" s="80">
        <f t="shared" si="8"/>
        <v>4000</v>
      </c>
      <c r="L21" s="80">
        <f t="shared" si="8"/>
        <v>0</v>
      </c>
      <c r="M21" s="439">
        <f t="shared" si="8"/>
        <v>0</v>
      </c>
      <c r="N21" s="493"/>
      <c r="O21" s="57"/>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row>
    <row r="22" spans="1:61" s="44" customFormat="1" ht="28.9" customHeight="1">
      <c r="A22" s="945"/>
      <c r="B22" s="57" t="s">
        <v>495</v>
      </c>
      <c r="C22" s="57"/>
      <c r="D22" s="57"/>
      <c r="E22" s="57"/>
      <c r="F22" s="57"/>
      <c r="G22" s="80">
        <f>G26</f>
        <v>0</v>
      </c>
      <c r="H22" s="80">
        <f>H26</f>
        <v>0</v>
      </c>
      <c r="I22" s="80">
        <f>I26</f>
        <v>0</v>
      </c>
      <c r="J22" s="80">
        <f>J26</f>
        <v>0</v>
      </c>
      <c r="K22" s="80">
        <f>K26</f>
        <v>0</v>
      </c>
      <c r="L22" s="80"/>
      <c r="M22" s="439">
        <f>M26</f>
        <v>0</v>
      </c>
      <c r="N22" s="493"/>
      <c r="O22" s="57"/>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row>
    <row r="23" spans="1:61" s="44" customFormat="1" ht="28.9" customHeight="1">
      <c r="A23" s="943" t="s">
        <v>481</v>
      </c>
      <c r="B23" s="484" t="s">
        <v>89</v>
      </c>
      <c r="C23" s="57"/>
      <c r="D23" s="57"/>
      <c r="E23" s="57"/>
      <c r="F23" s="57"/>
      <c r="G23" s="92">
        <f>K23</f>
        <v>0</v>
      </c>
      <c r="H23" s="92"/>
      <c r="I23" s="92"/>
      <c r="J23" s="92"/>
      <c r="K23" s="92"/>
      <c r="L23" s="80"/>
      <c r="M23" s="579"/>
      <c r="N23" s="493"/>
      <c r="O23" s="944" t="s">
        <v>904</v>
      </c>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row>
    <row r="24" spans="1:61" ht="28.9" customHeight="1">
      <c r="A24" s="943"/>
      <c r="B24" s="484" t="s">
        <v>235</v>
      </c>
      <c r="C24" s="484">
        <v>176</v>
      </c>
      <c r="D24" s="484" t="s">
        <v>15</v>
      </c>
      <c r="E24" s="484">
        <v>6100404</v>
      </c>
      <c r="F24" s="484">
        <v>414</v>
      </c>
      <c r="G24" s="81">
        <f>K24</f>
        <v>4000</v>
      </c>
      <c r="H24" s="81"/>
      <c r="I24" s="81"/>
      <c r="J24" s="81"/>
      <c r="K24" s="81">
        <f>K25+K26</f>
        <v>4000</v>
      </c>
      <c r="L24" s="81">
        <f t="shared" ref="L24:M24" si="9">L25+L26</f>
        <v>0</v>
      </c>
      <c r="M24" s="580">
        <f t="shared" si="9"/>
        <v>0</v>
      </c>
      <c r="N24" s="493"/>
      <c r="O24" s="944"/>
    </row>
    <row r="25" spans="1:61" ht="24.6" customHeight="1">
      <c r="A25" s="943"/>
      <c r="B25" s="484" t="s">
        <v>247</v>
      </c>
      <c r="C25" s="484"/>
      <c r="D25" s="484"/>
      <c r="E25" s="484"/>
      <c r="F25" s="484"/>
      <c r="G25" s="81">
        <f>K25</f>
        <v>4000</v>
      </c>
      <c r="H25" s="81"/>
      <c r="I25" s="81"/>
      <c r="J25" s="81"/>
      <c r="K25" s="81">
        <v>4000</v>
      </c>
      <c r="L25" s="748"/>
      <c r="M25" s="580"/>
      <c r="N25" s="493"/>
      <c r="O25" s="944"/>
    </row>
    <row r="26" spans="1:61" ht="25.5" customHeight="1">
      <c r="A26" s="943"/>
      <c r="B26" s="484" t="s">
        <v>495</v>
      </c>
      <c r="C26" s="484"/>
      <c r="D26" s="484"/>
      <c r="E26" s="484"/>
      <c r="F26" s="484"/>
      <c r="G26" s="81">
        <f>K26</f>
        <v>0</v>
      </c>
      <c r="H26" s="81"/>
      <c r="I26" s="81"/>
      <c r="J26" s="81"/>
      <c r="K26" s="81">
        <v>0</v>
      </c>
      <c r="L26" s="310"/>
      <c r="M26" s="580"/>
      <c r="N26" s="493"/>
      <c r="O26" s="944"/>
    </row>
    <row r="27" spans="1:61" ht="24.6" hidden="1" customHeight="1">
      <c r="A27" s="990" t="s">
        <v>13</v>
      </c>
      <c r="B27" s="484" t="s">
        <v>89</v>
      </c>
      <c r="C27" s="484"/>
      <c r="D27" s="484"/>
      <c r="E27" s="484"/>
      <c r="F27" s="484"/>
      <c r="G27" s="81"/>
      <c r="H27" s="81"/>
      <c r="I27" s="81"/>
      <c r="J27" s="81"/>
      <c r="K27" s="81"/>
      <c r="L27" s="81"/>
      <c r="M27" s="580"/>
      <c r="N27" s="493"/>
      <c r="O27" s="944" t="s">
        <v>196</v>
      </c>
    </row>
    <row r="28" spans="1:61" ht="24.6" hidden="1" customHeight="1">
      <c r="A28" s="990"/>
      <c r="B28" s="484" t="s">
        <v>235</v>
      </c>
      <c r="C28" s="484">
        <v>176</v>
      </c>
      <c r="D28" s="484" t="s">
        <v>15</v>
      </c>
      <c r="E28" s="484">
        <v>6100404</v>
      </c>
      <c r="F28" s="484">
        <v>414</v>
      </c>
      <c r="G28" s="81"/>
      <c r="H28" s="81"/>
      <c r="I28" s="81"/>
      <c r="J28" s="81"/>
      <c r="K28" s="81"/>
      <c r="L28" s="81"/>
      <c r="M28" s="580"/>
      <c r="N28" s="493"/>
      <c r="O28" s="944"/>
    </row>
    <row r="29" spans="1:61" ht="24.6" hidden="1" customHeight="1">
      <c r="A29" s="990"/>
      <c r="B29" s="484" t="s">
        <v>10</v>
      </c>
      <c r="C29" s="484"/>
      <c r="D29" s="484"/>
      <c r="E29" s="484"/>
      <c r="F29" s="484"/>
      <c r="G29" s="81"/>
      <c r="H29" s="81"/>
      <c r="I29" s="81"/>
      <c r="J29" s="81"/>
      <c r="K29" s="81"/>
      <c r="L29" s="81"/>
      <c r="M29" s="580"/>
      <c r="N29" s="493"/>
      <c r="O29" s="944"/>
    </row>
    <row r="30" spans="1:61" ht="24" hidden="1" customHeight="1">
      <c r="A30" s="990"/>
      <c r="B30" s="484" t="s">
        <v>34</v>
      </c>
      <c r="C30" s="484"/>
      <c r="D30" s="484"/>
      <c r="E30" s="484"/>
      <c r="F30" s="484"/>
      <c r="G30" s="81"/>
      <c r="H30" s="81"/>
      <c r="I30" s="81"/>
      <c r="J30" s="81"/>
      <c r="K30" s="81"/>
      <c r="L30" s="81"/>
      <c r="M30" s="580"/>
      <c r="N30" s="493"/>
      <c r="O30" s="944"/>
    </row>
    <row r="31" spans="1:61" ht="24.6" hidden="1" customHeight="1">
      <c r="A31" s="943" t="s">
        <v>14</v>
      </c>
      <c r="B31" s="484" t="s">
        <v>89</v>
      </c>
      <c r="C31" s="484"/>
      <c r="D31" s="484"/>
      <c r="E31" s="484"/>
      <c r="F31" s="484"/>
      <c r="G31" s="81"/>
      <c r="H31" s="81"/>
      <c r="I31" s="81"/>
      <c r="J31" s="81"/>
      <c r="K31" s="81"/>
      <c r="L31" s="81"/>
      <c r="M31" s="580"/>
      <c r="N31" s="493"/>
      <c r="O31" s="944" t="s">
        <v>197</v>
      </c>
    </row>
    <row r="32" spans="1:61" ht="24.6" hidden="1" customHeight="1">
      <c r="A32" s="943"/>
      <c r="B32" s="484" t="s">
        <v>235</v>
      </c>
      <c r="C32" s="484">
        <v>176</v>
      </c>
      <c r="D32" s="484" t="s">
        <v>15</v>
      </c>
      <c r="E32" s="484">
        <v>6100404</v>
      </c>
      <c r="F32" s="484">
        <v>414</v>
      </c>
      <c r="G32" s="81"/>
      <c r="H32" s="81"/>
      <c r="I32" s="81"/>
      <c r="J32" s="81"/>
      <c r="K32" s="81"/>
      <c r="L32" s="81"/>
      <c r="M32" s="580"/>
      <c r="N32" s="493"/>
      <c r="O32" s="944"/>
    </row>
    <row r="33" spans="1:61" ht="24.6" hidden="1" customHeight="1">
      <c r="A33" s="943"/>
      <c r="B33" s="484" t="s">
        <v>10</v>
      </c>
      <c r="C33" s="484"/>
      <c r="D33" s="484"/>
      <c r="E33" s="484"/>
      <c r="F33" s="484"/>
      <c r="G33" s="81"/>
      <c r="H33" s="81"/>
      <c r="I33" s="81"/>
      <c r="J33" s="81"/>
      <c r="K33" s="81"/>
      <c r="L33" s="81"/>
      <c r="M33" s="580"/>
      <c r="N33" s="493"/>
      <c r="O33" s="944"/>
    </row>
    <row r="34" spans="1:61" ht="24.6" hidden="1" customHeight="1">
      <c r="A34" s="943"/>
      <c r="B34" s="484" t="s">
        <v>34</v>
      </c>
      <c r="C34" s="484"/>
      <c r="D34" s="484"/>
      <c r="E34" s="484"/>
      <c r="F34" s="484"/>
      <c r="G34" s="81"/>
      <c r="H34" s="81"/>
      <c r="I34" s="81"/>
      <c r="J34" s="81"/>
      <c r="K34" s="81"/>
      <c r="L34" s="81"/>
      <c r="M34" s="580"/>
      <c r="N34" s="493"/>
      <c r="O34" s="944"/>
    </row>
    <row r="35" spans="1:61" ht="24.6" customHeight="1">
      <c r="A35" s="945" t="s">
        <v>116</v>
      </c>
      <c r="B35" s="57" t="s">
        <v>89</v>
      </c>
      <c r="C35" s="57"/>
      <c r="D35" s="57"/>
      <c r="E35" s="57"/>
      <c r="F35" s="57"/>
      <c r="G35" s="80">
        <f>G39</f>
        <v>0</v>
      </c>
      <c r="H35" s="80"/>
      <c r="I35" s="80"/>
      <c r="J35" s="80"/>
      <c r="K35" s="80">
        <f>K39</f>
        <v>0</v>
      </c>
      <c r="L35" s="80"/>
      <c r="M35" s="439"/>
      <c r="N35" s="493"/>
      <c r="O35" s="484"/>
    </row>
    <row r="36" spans="1:61" ht="24.6" customHeight="1">
      <c r="A36" s="945"/>
      <c r="B36" s="57" t="s">
        <v>235</v>
      </c>
      <c r="C36" s="57"/>
      <c r="D36" s="57"/>
      <c r="E36" s="57"/>
      <c r="F36" s="57"/>
      <c r="G36" s="80">
        <f>G37</f>
        <v>1919.2</v>
      </c>
      <c r="H36" s="80">
        <f t="shared" ref="H36:K36" si="10">H37</f>
        <v>0</v>
      </c>
      <c r="I36" s="80">
        <f t="shared" si="10"/>
        <v>0</v>
      </c>
      <c r="J36" s="80">
        <f t="shared" si="10"/>
        <v>0</v>
      </c>
      <c r="K36" s="80">
        <f t="shared" si="10"/>
        <v>1919.2</v>
      </c>
      <c r="L36" s="80">
        <f t="shared" ref="L36:M36" si="11">L37+L38</f>
        <v>23107.3</v>
      </c>
      <c r="M36" s="439">
        <f t="shared" si="11"/>
        <v>30000</v>
      </c>
      <c r="N36" s="493"/>
      <c r="O36" s="484"/>
    </row>
    <row r="37" spans="1:61" ht="24.6" customHeight="1">
      <c r="A37" s="945"/>
      <c r="B37" s="57" t="s">
        <v>10</v>
      </c>
      <c r="C37" s="57"/>
      <c r="D37" s="57"/>
      <c r="E37" s="57"/>
      <c r="F37" s="57"/>
      <c r="G37" s="80">
        <f>G41</f>
        <v>1919.2</v>
      </c>
      <c r="H37" s="80">
        <f t="shared" ref="H37:K37" si="12">H41</f>
        <v>0</v>
      </c>
      <c r="I37" s="80">
        <f t="shared" si="12"/>
        <v>0</v>
      </c>
      <c r="J37" s="80">
        <f t="shared" si="12"/>
        <v>0</v>
      </c>
      <c r="K37" s="80">
        <f t="shared" si="12"/>
        <v>1919.2</v>
      </c>
      <c r="L37" s="80">
        <f>L41</f>
        <v>23107.3</v>
      </c>
      <c r="M37" s="439">
        <f t="shared" ref="M37" si="13">M41</f>
        <v>30000</v>
      </c>
      <c r="N37" s="493"/>
      <c r="O37" s="484"/>
    </row>
    <row r="38" spans="1:61" ht="24.6" customHeight="1">
      <c r="A38" s="945"/>
      <c r="B38" s="57" t="s">
        <v>436</v>
      </c>
      <c r="C38" s="57"/>
      <c r="D38" s="57"/>
      <c r="E38" s="57"/>
      <c r="F38" s="57"/>
      <c r="G38" s="80"/>
      <c r="H38" s="80"/>
      <c r="I38" s="80"/>
      <c r="J38" s="80"/>
      <c r="K38" s="80"/>
      <c r="L38" s="80"/>
      <c r="M38" s="439"/>
      <c r="N38" s="493"/>
      <c r="O38" s="484"/>
      <c r="AA38" s="98"/>
      <c r="AC38" s="98"/>
    </row>
    <row r="39" spans="1:61" ht="24.6" customHeight="1">
      <c r="A39" s="967" t="s">
        <v>294</v>
      </c>
      <c r="B39" s="484" t="s">
        <v>89</v>
      </c>
      <c r="C39" s="57"/>
      <c r="D39" s="57"/>
      <c r="E39" s="57"/>
      <c r="F39" s="57"/>
      <c r="G39" s="80">
        <f>K39</f>
        <v>0</v>
      </c>
      <c r="H39" s="80"/>
      <c r="I39" s="80"/>
      <c r="J39" s="80"/>
      <c r="K39" s="80"/>
      <c r="L39" s="80"/>
      <c r="M39" s="439"/>
      <c r="N39" s="493"/>
      <c r="O39" s="944" t="s">
        <v>885</v>
      </c>
      <c r="AA39" s="98"/>
      <c r="AC39" s="98"/>
    </row>
    <row r="40" spans="1:61" ht="24.6" customHeight="1">
      <c r="A40" s="968"/>
      <c r="B40" s="484" t="s">
        <v>235</v>
      </c>
      <c r="C40" s="484"/>
      <c r="D40" s="484"/>
      <c r="E40" s="484"/>
      <c r="F40" s="484"/>
      <c r="G40" s="81">
        <f>G41</f>
        <v>1919.2</v>
      </c>
      <c r="H40" s="81">
        <f>H41</f>
        <v>0</v>
      </c>
      <c r="I40" s="81"/>
      <c r="J40" s="81">
        <f>J41</f>
        <v>0</v>
      </c>
      <c r="K40" s="81">
        <f>K41</f>
        <v>1919.2</v>
      </c>
      <c r="L40" s="81">
        <f t="shared" ref="L40:M40" si="14">L41+L42</f>
        <v>23107.3</v>
      </c>
      <c r="M40" s="580">
        <f t="shared" si="14"/>
        <v>30000</v>
      </c>
      <c r="N40" s="493"/>
      <c r="O40" s="944"/>
    </row>
    <row r="41" spans="1:61" ht="24.6" customHeight="1">
      <c r="A41" s="968"/>
      <c r="B41" s="484" t="s">
        <v>10</v>
      </c>
      <c r="C41" s="484"/>
      <c r="D41" s="484"/>
      <c r="E41" s="484"/>
      <c r="F41" s="484"/>
      <c r="G41" s="81">
        <f>K41</f>
        <v>1919.2</v>
      </c>
      <c r="H41" s="81"/>
      <c r="I41" s="81"/>
      <c r="J41" s="81"/>
      <c r="K41" s="81">
        <v>1919.2</v>
      </c>
      <c r="L41" s="81">
        <f>31300-8192.7</f>
        <v>23107.3</v>
      </c>
      <c r="M41" s="580">
        <f>10000+20000</f>
        <v>30000</v>
      </c>
      <c r="N41" s="493"/>
      <c r="O41" s="944"/>
    </row>
    <row r="42" spans="1:61" ht="24" customHeight="1">
      <c r="A42" s="969"/>
      <c r="B42" s="484" t="s">
        <v>436</v>
      </c>
      <c r="C42" s="484"/>
      <c r="D42" s="484"/>
      <c r="E42" s="484"/>
      <c r="F42" s="484"/>
      <c r="G42" s="291"/>
      <c r="H42" s="81"/>
      <c r="I42" s="81"/>
      <c r="J42" s="81"/>
      <c r="K42" s="81"/>
      <c r="L42" s="81"/>
      <c r="M42" s="580"/>
      <c r="N42" s="493"/>
      <c r="O42" s="944"/>
    </row>
    <row r="43" spans="1:61" s="44" customFormat="1" ht="24.6" hidden="1" customHeight="1">
      <c r="A43" s="945" t="s">
        <v>97</v>
      </c>
      <c r="B43" s="57" t="s">
        <v>89</v>
      </c>
      <c r="C43" s="57"/>
      <c r="D43" s="57"/>
      <c r="E43" s="57"/>
      <c r="F43" s="57"/>
      <c r="G43" s="80">
        <f t="shared" ref="G43" si="15">SUM(G46)</f>
        <v>0</v>
      </c>
      <c r="H43" s="80"/>
      <c r="I43" s="80"/>
      <c r="J43" s="80"/>
      <c r="K43" s="80"/>
      <c r="L43" s="80"/>
      <c r="M43" s="439"/>
      <c r="N43" s="493"/>
      <c r="O43" s="57"/>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row>
    <row r="44" spans="1:61" s="44" customFormat="1" ht="24.6" hidden="1" customHeight="1">
      <c r="A44" s="945"/>
      <c r="B44" s="57" t="s">
        <v>235</v>
      </c>
      <c r="C44" s="57"/>
      <c r="D44" s="57"/>
      <c r="E44" s="57"/>
      <c r="F44" s="57"/>
      <c r="G44" s="80">
        <f t="shared" ref="G44" si="16">G45</f>
        <v>0</v>
      </c>
      <c r="H44" s="80"/>
      <c r="I44" s="80"/>
      <c r="J44" s="80"/>
      <c r="K44" s="80"/>
      <c r="L44" s="80"/>
      <c r="M44" s="439"/>
      <c r="N44" s="493"/>
      <c r="O44" s="57"/>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row>
    <row r="45" spans="1:61" s="44" customFormat="1" ht="24.6" hidden="1" customHeight="1">
      <c r="A45" s="945"/>
      <c r="B45" s="57" t="s">
        <v>34</v>
      </c>
      <c r="C45" s="57"/>
      <c r="D45" s="57"/>
      <c r="E45" s="57"/>
      <c r="F45" s="57"/>
      <c r="G45" s="80"/>
      <c r="H45" s="80"/>
      <c r="I45" s="80"/>
      <c r="J45" s="80"/>
      <c r="K45" s="80"/>
      <c r="L45" s="80"/>
      <c r="M45" s="439"/>
      <c r="N45" s="493"/>
      <c r="O45" s="57"/>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row>
    <row r="46" spans="1:61" ht="24.6" hidden="1" customHeight="1">
      <c r="A46" s="983" t="s">
        <v>19</v>
      </c>
      <c r="B46" s="484" t="s">
        <v>89</v>
      </c>
      <c r="C46" s="484">
        <v>176</v>
      </c>
      <c r="D46" s="484" t="s">
        <v>15</v>
      </c>
      <c r="E46" s="484">
        <v>6100404</v>
      </c>
      <c r="F46" s="484">
        <v>414</v>
      </c>
      <c r="G46" s="81">
        <v>0</v>
      </c>
      <c r="H46" s="81"/>
      <c r="I46" s="81"/>
      <c r="J46" s="81"/>
      <c r="K46" s="81"/>
      <c r="L46" s="81"/>
      <c r="M46" s="580"/>
      <c r="N46" s="493"/>
      <c r="O46" s="944" t="s">
        <v>261</v>
      </c>
    </row>
    <row r="47" spans="1:61" ht="24.6" hidden="1" customHeight="1">
      <c r="A47" s="983"/>
      <c r="B47" s="484" t="s">
        <v>235</v>
      </c>
      <c r="C47" s="484"/>
      <c r="D47" s="484"/>
      <c r="E47" s="484"/>
      <c r="F47" s="484"/>
      <c r="G47" s="81"/>
      <c r="H47" s="81"/>
      <c r="I47" s="81"/>
      <c r="J47" s="81"/>
      <c r="K47" s="81"/>
      <c r="L47" s="81"/>
      <c r="M47" s="580"/>
      <c r="N47" s="493"/>
      <c r="O47" s="944"/>
    </row>
    <row r="48" spans="1:61" ht="8.25" hidden="1" customHeight="1">
      <c r="A48" s="983"/>
      <c r="B48" s="484" t="s">
        <v>34</v>
      </c>
      <c r="C48" s="484"/>
      <c r="D48" s="484"/>
      <c r="E48" s="484"/>
      <c r="F48" s="484"/>
      <c r="G48" s="81"/>
      <c r="H48" s="81"/>
      <c r="I48" s="81"/>
      <c r="J48" s="81"/>
      <c r="K48" s="81"/>
      <c r="L48" s="81"/>
      <c r="M48" s="580"/>
      <c r="N48" s="493"/>
      <c r="O48" s="944"/>
    </row>
    <row r="49" spans="1:61" s="44" customFormat="1" ht="22.9" customHeight="1">
      <c r="A49" s="997" t="s">
        <v>98</v>
      </c>
      <c r="B49" s="57" t="s">
        <v>89</v>
      </c>
      <c r="C49" s="57"/>
      <c r="D49" s="57"/>
      <c r="E49" s="57"/>
      <c r="F49" s="57"/>
      <c r="G49" s="648">
        <f>G57+G64+G68+G72+G76+G80</f>
        <v>12.486000000000001</v>
      </c>
      <c r="H49" s="80">
        <f t="shared" ref="H49:M50" si="17">H57+H64+H68+H72+H76+H80</f>
        <v>0</v>
      </c>
      <c r="I49" s="80">
        <f t="shared" si="17"/>
        <v>0</v>
      </c>
      <c r="J49" s="80">
        <f t="shared" si="17"/>
        <v>0</v>
      </c>
      <c r="K49" s="648">
        <f t="shared" si="17"/>
        <v>12.486000000000001</v>
      </c>
      <c r="L49" s="80">
        <f t="shared" si="17"/>
        <v>3.2248960087792837</v>
      </c>
      <c r="M49" s="439">
        <f t="shared" si="17"/>
        <v>0</v>
      </c>
      <c r="N49" s="493"/>
      <c r="O49" s="57"/>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row>
    <row r="50" spans="1:61" s="44" customFormat="1" ht="22.9" customHeight="1">
      <c r="A50" s="998"/>
      <c r="B50" s="57" t="s">
        <v>235</v>
      </c>
      <c r="C50" s="57"/>
      <c r="D50" s="57"/>
      <c r="E50" s="57"/>
      <c r="F50" s="57"/>
      <c r="G50" s="80">
        <f>G58+G65+G69+G73+G77+G81</f>
        <v>462908.3</v>
      </c>
      <c r="H50" s="80">
        <f t="shared" si="17"/>
        <v>0</v>
      </c>
      <c r="I50" s="80">
        <f t="shared" si="17"/>
        <v>0</v>
      </c>
      <c r="J50" s="80">
        <f t="shared" si="17"/>
        <v>0</v>
      </c>
      <c r="K50" s="80">
        <f t="shared" si="17"/>
        <v>462908.3</v>
      </c>
      <c r="L50" s="80">
        <f t="shared" si="17"/>
        <v>25444.6</v>
      </c>
      <c r="M50" s="439">
        <f t="shared" si="17"/>
        <v>0</v>
      </c>
      <c r="N50" s="493"/>
      <c r="O50" s="57"/>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row>
    <row r="51" spans="1:61" s="44" customFormat="1" ht="24.6" customHeight="1">
      <c r="A51" s="998"/>
      <c r="B51" s="57" t="s">
        <v>247</v>
      </c>
      <c r="C51" s="57"/>
      <c r="D51" s="57"/>
      <c r="E51" s="57"/>
      <c r="F51" s="57"/>
      <c r="G51" s="80">
        <f>G66+G70+G74+G78+G83+G59+G82</f>
        <v>227246.2</v>
      </c>
      <c r="H51" s="80">
        <f t="shared" ref="H51:K51" si="18">H66+H70+H74+H78+H83+H59+H82</f>
        <v>0</v>
      </c>
      <c r="I51" s="80">
        <f t="shared" si="18"/>
        <v>0</v>
      </c>
      <c r="J51" s="80">
        <f t="shared" si="18"/>
        <v>0</v>
      </c>
      <c r="K51" s="80">
        <f t="shared" si="18"/>
        <v>227246.2</v>
      </c>
      <c r="L51" s="80">
        <f>L66+L70+L74+L78+L83+L59+L82</f>
        <v>25444.6</v>
      </c>
      <c r="M51" s="439">
        <f>M59</f>
        <v>0</v>
      </c>
      <c r="N51" s="493"/>
      <c r="O51" s="57"/>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row>
    <row r="52" spans="1:61" s="44" customFormat="1" ht="23.45" customHeight="1">
      <c r="A52" s="999"/>
      <c r="B52" s="57" t="s">
        <v>495</v>
      </c>
      <c r="C52" s="57"/>
      <c r="D52" s="57"/>
      <c r="E52" s="57"/>
      <c r="F52" s="57"/>
      <c r="G52" s="80">
        <f>G60+G67+G71+G75+G79+G84</f>
        <v>235662.1</v>
      </c>
      <c r="H52" s="80">
        <f t="shared" ref="H52:M52" si="19">H60+H67+H71+H75+H79+H84</f>
        <v>0</v>
      </c>
      <c r="I52" s="80">
        <f t="shared" si="19"/>
        <v>0</v>
      </c>
      <c r="J52" s="80">
        <f t="shared" si="19"/>
        <v>0</v>
      </c>
      <c r="K52" s="80">
        <f t="shared" si="19"/>
        <v>235662.1</v>
      </c>
      <c r="L52" s="80">
        <f t="shared" si="19"/>
        <v>0</v>
      </c>
      <c r="M52" s="439">
        <f t="shared" si="19"/>
        <v>0</v>
      </c>
      <c r="N52" s="493"/>
      <c r="O52" s="57"/>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row>
    <row r="53" spans="1:61" s="44" customFormat="1" ht="24.95" hidden="1" customHeight="1">
      <c r="A53" s="943" t="s">
        <v>17</v>
      </c>
      <c r="B53" s="484" t="s">
        <v>89</v>
      </c>
      <c r="C53" s="57"/>
      <c r="D53" s="57"/>
      <c r="E53" s="57"/>
      <c r="F53" s="57"/>
      <c r="G53" s="80"/>
      <c r="H53" s="80"/>
      <c r="I53" s="80"/>
      <c r="J53" s="80"/>
      <c r="K53" s="80"/>
      <c r="L53" s="80"/>
      <c r="M53" s="439"/>
      <c r="N53" s="493"/>
      <c r="O53" s="57"/>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row>
    <row r="54" spans="1:61" ht="24.95" hidden="1" customHeight="1">
      <c r="A54" s="943"/>
      <c r="B54" s="484" t="s">
        <v>235</v>
      </c>
      <c r="C54" s="484">
        <v>176</v>
      </c>
      <c r="D54" s="484" t="s">
        <v>15</v>
      </c>
      <c r="E54" s="484">
        <v>6100404</v>
      </c>
      <c r="F54" s="484">
        <v>414</v>
      </c>
      <c r="G54" s="81">
        <v>0</v>
      </c>
      <c r="H54" s="81"/>
      <c r="I54" s="81"/>
      <c r="J54" s="81"/>
      <c r="K54" s="81"/>
      <c r="L54" s="81">
        <v>0</v>
      </c>
      <c r="M54" s="580"/>
      <c r="N54" s="493"/>
      <c r="O54" s="944" t="s">
        <v>194</v>
      </c>
    </row>
    <row r="55" spans="1:61" ht="24.95" hidden="1" customHeight="1">
      <c r="A55" s="943"/>
      <c r="B55" s="484" t="s">
        <v>10</v>
      </c>
      <c r="C55" s="484"/>
      <c r="D55" s="484"/>
      <c r="E55" s="484"/>
      <c r="F55" s="484"/>
      <c r="G55" s="81"/>
      <c r="H55" s="81"/>
      <c r="I55" s="81"/>
      <c r="J55" s="81"/>
      <c r="K55" s="81"/>
      <c r="L55" s="81"/>
      <c r="M55" s="580"/>
      <c r="N55" s="493"/>
      <c r="O55" s="944"/>
    </row>
    <row r="56" spans="1:61" ht="22.9" hidden="1" customHeight="1">
      <c r="A56" s="943"/>
      <c r="B56" s="484" t="s">
        <v>34</v>
      </c>
      <c r="C56" s="484"/>
      <c r="D56" s="484"/>
      <c r="E56" s="484"/>
      <c r="F56" s="484"/>
      <c r="G56" s="81"/>
      <c r="H56" s="81"/>
      <c r="I56" s="81"/>
      <c r="J56" s="81"/>
      <c r="K56" s="81"/>
      <c r="L56" s="81"/>
      <c r="M56" s="580"/>
      <c r="N56" s="493"/>
      <c r="O56" s="944"/>
      <c r="Q56" s="47"/>
      <c r="S56" s="47"/>
    </row>
    <row r="57" spans="1:61" ht="22.9" customHeight="1">
      <c r="A57" s="943" t="s">
        <v>476</v>
      </c>
      <c r="B57" s="484" t="s">
        <v>89</v>
      </c>
      <c r="C57" s="484"/>
      <c r="D57" s="484"/>
      <c r="E57" s="484"/>
      <c r="F57" s="484"/>
      <c r="G57" s="92"/>
      <c r="H57" s="92"/>
      <c r="I57" s="92"/>
      <c r="J57" s="92"/>
      <c r="K57" s="92"/>
      <c r="L57" s="81"/>
      <c r="M57" s="580">
        <v>0</v>
      </c>
      <c r="N57" s="493"/>
      <c r="O57" s="944" t="s">
        <v>822</v>
      </c>
    </row>
    <row r="58" spans="1:61" ht="22.9" customHeight="1">
      <c r="A58" s="943"/>
      <c r="B58" s="484" t="s">
        <v>235</v>
      </c>
      <c r="C58" s="484"/>
      <c r="D58" s="484"/>
      <c r="E58" s="484"/>
      <c r="F58" s="484"/>
      <c r="G58" s="81">
        <f>G59+G60</f>
        <v>19938</v>
      </c>
      <c r="H58" s="81">
        <f t="shared" ref="H58:K58" si="20">H59+H60</f>
        <v>0</v>
      </c>
      <c r="I58" s="81">
        <f t="shared" si="20"/>
        <v>0</v>
      </c>
      <c r="J58" s="81">
        <f t="shared" si="20"/>
        <v>0</v>
      </c>
      <c r="K58" s="81">
        <f t="shared" si="20"/>
        <v>19938</v>
      </c>
      <c r="L58" s="81">
        <f>L59</f>
        <v>0</v>
      </c>
      <c r="M58" s="580">
        <f>M59</f>
        <v>0</v>
      </c>
      <c r="N58" s="493"/>
      <c r="O58" s="944"/>
      <c r="Q58" s="47"/>
      <c r="X58" s="47" t="e">
        <f>#REF!-S12</f>
        <v>#REF!</v>
      </c>
    </row>
    <row r="59" spans="1:61" ht="24.6" customHeight="1">
      <c r="A59" s="943"/>
      <c r="B59" s="484" t="s">
        <v>10</v>
      </c>
      <c r="C59" s="484"/>
      <c r="D59" s="484"/>
      <c r="E59" s="484"/>
      <c r="F59" s="484"/>
      <c r="G59" s="81">
        <f>K59</f>
        <v>19938</v>
      </c>
      <c r="H59" s="81"/>
      <c r="I59" s="81"/>
      <c r="J59" s="81"/>
      <c r="K59" s="81">
        <v>19938</v>
      </c>
      <c r="L59" s="81"/>
      <c r="M59" s="580">
        <v>0</v>
      </c>
      <c r="N59" s="493"/>
      <c r="O59" s="944"/>
      <c r="Q59" s="47"/>
      <c r="X59" s="47"/>
    </row>
    <row r="60" spans="1:61" ht="24.6" customHeight="1">
      <c r="A60" s="943"/>
      <c r="B60" s="484" t="s">
        <v>436</v>
      </c>
      <c r="C60" s="484"/>
      <c r="D60" s="484"/>
      <c r="E60" s="484"/>
      <c r="F60" s="484"/>
      <c r="G60" s="81">
        <v>0</v>
      </c>
      <c r="H60" s="81"/>
      <c r="I60" s="81"/>
      <c r="J60" s="81"/>
      <c r="K60" s="81"/>
      <c r="L60" s="81"/>
      <c r="M60" s="580"/>
      <c r="N60" s="493"/>
      <c r="O60" s="944"/>
    </row>
    <row r="61" spans="1:61" ht="24.95" hidden="1" customHeight="1">
      <c r="A61" s="943" t="s">
        <v>213</v>
      </c>
      <c r="B61" s="484" t="s">
        <v>89</v>
      </c>
      <c r="C61" s="484"/>
      <c r="D61" s="484"/>
      <c r="E61" s="484"/>
      <c r="F61" s="484"/>
      <c r="G61" s="81"/>
      <c r="H61" s="81"/>
      <c r="I61" s="81"/>
      <c r="J61" s="81"/>
      <c r="K61" s="81"/>
      <c r="L61" s="81"/>
      <c r="M61" s="580"/>
      <c r="N61" s="493"/>
      <c r="O61" s="944" t="s">
        <v>214</v>
      </c>
      <c r="Q61" s="47"/>
    </row>
    <row r="62" spans="1:61" ht="24.95" hidden="1" customHeight="1">
      <c r="A62" s="943"/>
      <c r="B62" s="484" t="s">
        <v>235</v>
      </c>
      <c r="C62" s="484"/>
      <c r="D62" s="484"/>
      <c r="E62" s="484"/>
      <c r="F62" s="484"/>
      <c r="G62" s="81"/>
      <c r="H62" s="81"/>
      <c r="I62" s="81"/>
      <c r="J62" s="81"/>
      <c r="K62" s="81"/>
      <c r="L62" s="81"/>
      <c r="M62" s="580"/>
      <c r="N62" s="493"/>
      <c r="O62" s="944"/>
    </row>
    <row r="63" spans="1:61" ht="24.95" hidden="1" customHeight="1">
      <c r="A63" s="943"/>
      <c r="B63" s="484" t="s">
        <v>34</v>
      </c>
      <c r="C63" s="484"/>
      <c r="D63" s="484"/>
      <c r="E63" s="484"/>
      <c r="F63" s="484"/>
      <c r="G63" s="81"/>
      <c r="H63" s="81"/>
      <c r="I63" s="81"/>
      <c r="J63" s="81"/>
      <c r="K63" s="81"/>
      <c r="L63" s="81"/>
      <c r="M63" s="580"/>
      <c r="N63" s="493"/>
      <c r="O63" s="944"/>
    </row>
    <row r="64" spans="1:61" ht="20.25" customHeight="1">
      <c r="A64" s="967" t="s">
        <v>242</v>
      </c>
      <c r="B64" s="484" t="s">
        <v>89</v>
      </c>
      <c r="C64" s="484"/>
      <c r="D64" s="484"/>
      <c r="E64" s="484"/>
      <c r="F64" s="484"/>
      <c r="G64" s="81">
        <f>K64</f>
        <v>0</v>
      </c>
      <c r="H64" s="92"/>
      <c r="I64" s="92"/>
      <c r="J64" s="92"/>
      <c r="K64" s="81"/>
      <c r="L64" s="81">
        <f>P65</f>
        <v>3.2248960087792837</v>
      </c>
      <c r="M64" s="580"/>
      <c r="N64" s="493"/>
      <c r="O64" s="944" t="s">
        <v>653</v>
      </c>
    </row>
    <row r="65" spans="1:16" ht="24.6" customHeight="1">
      <c r="A65" s="968"/>
      <c r="B65" s="484" t="s">
        <v>235</v>
      </c>
      <c r="C65" s="484"/>
      <c r="D65" s="484"/>
      <c r="E65" s="484"/>
      <c r="F65" s="484"/>
      <c r="G65" s="81">
        <f>H65+I65+J65+K65</f>
        <v>44985.8</v>
      </c>
      <c r="H65" s="81"/>
      <c r="I65" s="81"/>
      <c r="J65" s="81"/>
      <c r="K65" s="81">
        <f>K66+K67</f>
        <v>44985.8</v>
      </c>
      <c r="L65" s="81">
        <f t="shared" ref="L65" si="21">L66</f>
        <v>25444.6</v>
      </c>
      <c r="M65" s="580"/>
      <c r="N65" s="493"/>
      <c r="O65" s="944"/>
      <c r="P65" s="559">
        <f>(K66+L66)/29200.7*1.074*1.037*1.049*1.05*1.044*1.044</f>
        <v>3.2248960087792837</v>
      </c>
    </row>
    <row r="66" spans="1:16" ht="24.6" customHeight="1">
      <c r="A66" s="968"/>
      <c r="B66" s="484" t="s">
        <v>10</v>
      </c>
      <c r="C66" s="484"/>
      <c r="D66" s="484"/>
      <c r="E66" s="484"/>
      <c r="F66" s="484"/>
      <c r="G66" s="81">
        <f>H66+I66+J66+K66</f>
        <v>44985.8</v>
      </c>
      <c r="H66" s="81"/>
      <c r="I66" s="81"/>
      <c r="J66" s="81"/>
      <c r="K66" s="81">
        <v>44985.8</v>
      </c>
      <c r="L66" s="81">
        <v>25444.6</v>
      </c>
      <c r="M66" s="580"/>
      <c r="N66" s="493"/>
      <c r="O66" s="944"/>
    </row>
    <row r="67" spans="1:16" ht="24.6" customHeight="1">
      <c r="A67" s="969"/>
      <c r="B67" s="484" t="s">
        <v>436</v>
      </c>
      <c r="C67" s="484"/>
      <c r="D67" s="484"/>
      <c r="E67" s="484"/>
      <c r="F67" s="484"/>
      <c r="G67" s="81">
        <f>K67</f>
        <v>0</v>
      </c>
      <c r="H67" s="81"/>
      <c r="I67" s="81"/>
      <c r="J67" s="81"/>
      <c r="K67" s="81"/>
      <c r="L67" s="81"/>
      <c r="M67" s="580"/>
      <c r="N67" s="493"/>
      <c r="O67" s="944"/>
    </row>
    <row r="68" spans="1:16" ht="24.6" hidden="1" customHeight="1">
      <c r="A68" s="967" t="s">
        <v>431</v>
      </c>
      <c r="B68" s="484" t="s">
        <v>89</v>
      </c>
      <c r="C68" s="484"/>
      <c r="D68" s="484"/>
      <c r="E68" s="484"/>
      <c r="F68" s="484"/>
      <c r="G68" s="81"/>
      <c r="H68" s="81"/>
      <c r="I68" s="81"/>
      <c r="J68" s="81"/>
      <c r="K68" s="81"/>
      <c r="L68" s="81"/>
      <c r="M68" s="580"/>
      <c r="N68" s="493"/>
      <c r="O68" s="944" t="s">
        <v>333</v>
      </c>
    </row>
    <row r="69" spans="1:16" ht="24.6" hidden="1" customHeight="1">
      <c r="A69" s="968"/>
      <c r="B69" s="484" t="s">
        <v>235</v>
      </c>
      <c r="C69" s="484"/>
      <c r="D69" s="484"/>
      <c r="E69" s="484"/>
      <c r="F69" s="484"/>
      <c r="G69" s="81"/>
      <c r="H69" s="81"/>
      <c r="I69" s="81"/>
      <c r="J69" s="81"/>
      <c r="K69" s="81"/>
      <c r="L69" s="81"/>
      <c r="M69" s="580">
        <f>M70+M71</f>
        <v>0</v>
      </c>
      <c r="N69" s="493"/>
      <c r="O69" s="944"/>
    </row>
    <row r="70" spans="1:16" ht="24.6" hidden="1" customHeight="1">
      <c r="A70" s="968"/>
      <c r="B70" s="484" t="s">
        <v>10</v>
      </c>
      <c r="C70" s="484"/>
      <c r="D70" s="484"/>
      <c r="E70" s="484"/>
      <c r="F70" s="484"/>
      <c r="G70" s="81"/>
      <c r="H70" s="81"/>
      <c r="I70" s="81"/>
      <c r="J70" s="81"/>
      <c r="K70" s="81"/>
      <c r="L70" s="81"/>
      <c r="M70" s="580"/>
      <c r="N70" s="493"/>
      <c r="O70" s="944"/>
    </row>
    <row r="71" spans="1:16" ht="24.6" hidden="1" customHeight="1">
      <c r="A71" s="969"/>
      <c r="B71" s="481" t="s">
        <v>34</v>
      </c>
      <c r="C71" s="481"/>
      <c r="D71" s="481"/>
      <c r="E71" s="481"/>
      <c r="F71" s="481"/>
      <c r="G71" s="85"/>
      <c r="H71" s="85"/>
      <c r="I71" s="85"/>
      <c r="J71" s="85"/>
      <c r="K71" s="85"/>
      <c r="L71" s="85"/>
      <c r="M71" s="581"/>
      <c r="N71" s="493"/>
      <c r="O71" s="944"/>
    </row>
    <row r="72" spans="1:16" ht="24.6" hidden="1" customHeight="1">
      <c r="A72" s="967" t="s">
        <v>338</v>
      </c>
      <c r="B72" s="481" t="s">
        <v>89</v>
      </c>
      <c r="C72" s="481"/>
      <c r="D72" s="481"/>
      <c r="E72" s="481"/>
      <c r="F72" s="481"/>
      <c r="G72" s="292"/>
      <c r="H72" s="292"/>
      <c r="I72" s="292"/>
      <c r="J72" s="292"/>
      <c r="K72" s="292"/>
      <c r="L72" s="85"/>
      <c r="M72" s="582"/>
      <c r="N72" s="493"/>
      <c r="O72" s="944"/>
    </row>
    <row r="73" spans="1:16" ht="24.6" hidden="1" customHeight="1">
      <c r="A73" s="968"/>
      <c r="B73" s="481" t="s">
        <v>235</v>
      </c>
      <c r="C73" s="481"/>
      <c r="D73" s="481"/>
      <c r="E73" s="481"/>
      <c r="F73" s="481"/>
      <c r="G73" s="85"/>
      <c r="H73" s="85"/>
      <c r="I73" s="85"/>
      <c r="J73" s="85"/>
      <c r="K73" s="85"/>
      <c r="L73" s="85"/>
      <c r="M73" s="581">
        <f>M75</f>
        <v>0</v>
      </c>
      <c r="N73" s="493"/>
      <c r="O73" s="944"/>
    </row>
    <row r="74" spans="1:16" ht="24.6" hidden="1" customHeight="1">
      <c r="A74" s="968"/>
      <c r="B74" s="481" t="s">
        <v>10</v>
      </c>
      <c r="C74" s="481"/>
      <c r="D74" s="481"/>
      <c r="E74" s="481"/>
      <c r="F74" s="481"/>
      <c r="G74" s="85"/>
      <c r="H74" s="85"/>
      <c r="I74" s="85"/>
      <c r="J74" s="85"/>
      <c r="K74" s="85"/>
      <c r="L74" s="85"/>
      <c r="M74" s="581"/>
      <c r="N74" s="493"/>
      <c r="O74" s="944"/>
    </row>
    <row r="75" spans="1:16" ht="24.6" hidden="1" customHeight="1">
      <c r="A75" s="969"/>
      <c r="B75" s="481" t="s">
        <v>34</v>
      </c>
      <c r="C75" s="481"/>
      <c r="D75" s="481"/>
      <c r="E75" s="481"/>
      <c r="F75" s="481"/>
      <c r="G75" s="85"/>
      <c r="H75" s="85"/>
      <c r="I75" s="85"/>
      <c r="J75" s="85"/>
      <c r="K75" s="85"/>
      <c r="L75" s="85"/>
      <c r="M75" s="581"/>
      <c r="N75" s="493"/>
      <c r="O75" s="944"/>
    </row>
    <row r="76" spans="1:16" ht="24.6" hidden="1" customHeight="1">
      <c r="A76" s="967" t="s">
        <v>295</v>
      </c>
      <c r="B76" s="481" t="s">
        <v>89</v>
      </c>
      <c r="C76" s="481"/>
      <c r="D76" s="481"/>
      <c r="E76" s="481"/>
      <c r="F76" s="481"/>
      <c r="G76" s="292"/>
      <c r="H76" s="292"/>
      <c r="I76" s="292"/>
      <c r="J76" s="292"/>
      <c r="K76" s="292"/>
      <c r="L76" s="85"/>
      <c r="M76" s="582"/>
      <c r="N76" s="493"/>
      <c r="O76" s="484"/>
    </row>
    <row r="77" spans="1:16" ht="24.6" hidden="1" customHeight="1">
      <c r="A77" s="968"/>
      <c r="B77" s="481" t="s">
        <v>235</v>
      </c>
      <c r="C77" s="481"/>
      <c r="D77" s="481"/>
      <c r="E77" s="481"/>
      <c r="F77" s="481"/>
      <c r="G77" s="85"/>
      <c r="H77" s="85"/>
      <c r="I77" s="85"/>
      <c r="J77" s="85"/>
      <c r="K77" s="85"/>
      <c r="L77" s="85">
        <f>L78+L79</f>
        <v>0</v>
      </c>
      <c r="M77" s="581">
        <f>M79</f>
        <v>0</v>
      </c>
      <c r="N77" s="493"/>
      <c r="O77" s="933"/>
    </row>
    <row r="78" spans="1:16" ht="24.6" hidden="1" customHeight="1">
      <c r="A78" s="968"/>
      <c r="B78" s="481" t="s">
        <v>10</v>
      </c>
      <c r="C78" s="481"/>
      <c r="D78" s="481"/>
      <c r="E78" s="481"/>
      <c r="F78" s="481"/>
      <c r="G78" s="85"/>
      <c r="H78" s="85"/>
      <c r="I78" s="85"/>
      <c r="J78" s="85"/>
      <c r="K78" s="85"/>
      <c r="L78" s="85">
        <v>0</v>
      </c>
      <c r="M78" s="581"/>
      <c r="N78" s="493"/>
      <c r="O78" s="946"/>
    </row>
    <row r="79" spans="1:16" ht="24.6" hidden="1" customHeight="1">
      <c r="A79" s="969"/>
      <c r="B79" s="481" t="s">
        <v>34</v>
      </c>
      <c r="C79" s="481"/>
      <c r="D79" s="481"/>
      <c r="E79" s="481"/>
      <c r="F79" s="481"/>
      <c r="G79" s="85"/>
      <c r="H79" s="85"/>
      <c r="I79" s="85"/>
      <c r="J79" s="85"/>
      <c r="K79" s="85"/>
      <c r="L79" s="85"/>
      <c r="M79" s="581"/>
      <c r="N79" s="493"/>
      <c r="O79" s="934"/>
    </row>
    <row r="80" spans="1:16" ht="27" customHeight="1">
      <c r="A80" s="967" t="s">
        <v>480</v>
      </c>
      <c r="B80" s="481" t="s">
        <v>89</v>
      </c>
      <c r="C80" s="481"/>
      <c r="D80" s="481"/>
      <c r="E80" s="481"/>
      <c r="F80" s="481"/>
      <c r="G80" s="292">
        <f>K80</f>
        <v>12.486000000000001</v>
      </c>
      <c r="H80" s="85"/>
      <c r="I80" s="85"/>
      <c r="J80" s="85"/>
      <c r="K80" s="583">
        <v>12.486000000000001</v>
      </c>
      <c r="L80" s="292"/>
      <c r="M80" s="582"/>
      <c r="N80" s="493"/>
      <c r="O80" s="944" t="s">
        <v>883</v>
      </c>
    </row>
    <row r="81" spans="1:61" ht="24.6" customHeight="1">
      <c r="A81" s="968"/>
      <c r="B81" s="481" t="s">
        <v>235</v>
      </c>
      <c r="C81" s="481"/>
      <c r="D81" s="481"/>
      <c r="E81" s="481"/>
      <c r="F81" s="481"/>
      <c r="G81" s="85">
        <f>H81+I81+J81+K81</f>
        <v>397984.5</v>
      </c>
      <c r="H81" s="85"/>
      <c r="I81" s="85"/>
      <c r="J81" s="85">
        <f>J82+J83+J84</f>
        <v>0</v>
      </c>
      <c r="K81" s="85">
        <f>K82+K83+K84</f>
        <v>397984.5</v>
      </c>
      <c r="L81" s="85">
        <f>SUM(L82:L84)</f>
        <v>0</v>
      </c>
      <c r="M81" s="581"/>
      <c r="N81" s="493"/>
      <c r="O81" s="944"/>
    </row>
    <row r="82" spans="1:61" ht="24.6" customHeight="1">
      <c r="A82" s="968"/>
      <c r="B82" s="536" t="s">
        <v>10</v>
      </c>
      <c r="C82" s="536"/>
      <c r="D82" s="536"/>
      <c r="E82" s="536"/>
      <c r="F82" s="536"/>
      <c r="G82" s="85">
        <f t="shared" ref="G82:G84" si="22">H82+I82+J82+K82</f>
        <v>11734.2</v>
      </c>
      <c r="H82" s="85"/>
      <c r="I82" s="85"/>
      <c r="J82" s="85"/>
      <c r="K82" s="85">
        <v>11734.2</v>
      </c>
      <c r="L82" s="85"/>
      <c r="M82" s="581"/>
      <c r="N82" s="538"/>
      <c r="O82" s="944"/>
    </row>
    <row r="83" spans="1:61" ht="24.6" customHeight="1">
      <c r="A83" s="968"/>
      <c r="B83" s="503" t="s">
        <v>839</v>
      </c>
      <c r="C83" s="481"/>
      <c r="D83" s="481"/>
      <c r="E83" s="481"/>
      <c r="F83" s="481"/>
      <c r="G83" s="85">
        <f t="shared" si="22"/>
        <v>150588.20000000001</v>
      </c>
      <c r="H83" s="85"/>
      <c r="I83" s="85"/>
      <c r="J83" s="85"/>
      <c r="K83" s="85">
        <v>150588.20000000001</v>
      </c>
      <c r="L83" s="85"/>
      <c r="M83" s="581"/>
      <c r="N83" s="493"/>
      <c r="O83" s="944"/>
    </row>
    <row r="84" spans="1:61" ht="24.6" customHeight="1">
      <c r="A84" s="969"/>
      <c r="B84" s="484" t="s">
        <v>436</v>
      </c>
      <c r="C84" s="484"/>
      <c r="D84" s="484"/>
      <c r="E84" s="484"/>
      <c r="F84" s="484"/>
      <c r="G84" s="85">
        <f t="shared" si="22"/>
        <v>235662.1</v>
      </c>
      <c r="H84" s="81"/>
      <c r="I84" s="81"/>
      <c r="J84" s="81"/>
      <c r="K84" s="81">
        <v>235662.1</v>
      </c>
      <c r="L84" s="81"/>
      <c r="M84" s="580"/>
      <c r="N84" s="493"/>
      <c r="O84" s="944"/>
    </row>
    <row r="85" spans="1:61" s="44" customFormat="1" ht="24.95" customHeight="1">
      <c r="A85" s="1000" t="s">
        <v>99</v>
      </c>
      <c r="B85" s="78" t="s">
        <v>89</v>
      </c>
      <c r="C85" s="78"/>
      <c r="D85" s="78"/>
      <c r="E85" s="78"/>
      <c r="F85" s="78"/>
      <c r="G85" s="80">
        <f t="shared" ref="G85:L85" si="23">G89+G93</f>
        <v>0</v>
      </c>
      <c r="H85" s="86"/>
      <c r="I85" s="86"/>
      <c r="J85" s="86"/>
      <c r="K85" s="86"/>
      <c r="L85" s="86">
        <f t="shared" si="23"/>
        <v>0</v>
      </c>
      <c r="M85" s="584">
        <f>M93</f>
        <v>12.6</v>
      </c>
      <c r="N85" s="493"/>
      <c r="O85" s="89"/>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row>
    <row r="86" spans="1:61" s="44" customFormat="1" ht="27.75" customHeight="1">
      <c r="A86" s="1001"/>
      <c r="B86" s="57" t="s">
        <v>235</v>
      </c>
      <c r="C86" s="57"/>
      <c r="D86" s="57"/>
      <c r="E86" s="57"/>
      <c r="F86" s="57"/>
      <c r="G86" s="80">
        <f t="shared" ref="G86:M86" si="24">G87+G88</f>
        <v>2093.1999999999998</v>
      </c>
      <c r="H86" s="80"/>
      <c r="I86" s="80"/>
      <c r="J86" s="80"/>
      <c r="K86" s="80">
        <f>K87+K88</f>
        <v>2093.1999999999998</v>
      </c>
      <c r="L86" s="80">
        <f t="shared" si="24"/>
        <v>3847.6000000000004</v>
      </c>
      <c r="M86" s="439">
        <f t="shared" si="24"/>
        <v>437000</v>
      </c>
      <c r="N86" s="493"/>
      <c r="O86" s="57"/>
      <c r="AJ86" s="91"/>
      <c r="AK86" s="91"/>
      <c r="AL86" s="91"/>
      <c r="AM86" s="91"/>
      <c r="AN86" s="91"/>
      <c r="AO86" s="91"/>
      <c r="AP86" s="91"/>
      <c r="AQ86" s="91"/>
      <c r="AR86" s="91"/>
      <c r="AS86" s="91"/>
      <c r="AT86" s="91"/>
      <c r="AU86" s="91"/>
      <c r="AV86" s="91"/>
      <c r="AW86" s="91"/>
      <c r="AX86" s="91"/>
      <c r="AY86" s="91"/>
      <c r="AZ86" s="91"/>
      <c r="BA86" s="91"/>
      <c r="BB86" s="91"/>
      <c r="BC86" s="91"/>
      <c r="BD86" s="91"/>
      <c r="BE86" s="91"/>
      <c r="BF86" s="91"/>
      <c r="BG86" s="91"/>
      <c r="BH86" s="91"/>
      <c r="BI86" s="91"/>
    </row>
    <row r="87" spans="1:61" s="44" customFormat="1" ht="24.95" customHeight="1">
      <c r="A87" s="1001"/>
      <c r="B87" s="57" t="s">
        <v>10</v>
      </c>
      <c r="C87" s="57"/>
      <c r="D87" s="57"/>
      <c r="E87" s="57"/>
      <c r="F87" s="57"/>
      <c r="G87" s="80">
        <f>G96</f>
        <v>2093.1999999999998</v>
      </c>
      <c r="H87" s="80"/>
      <c r="I87" s="80"/>
      <c r="J87" s="80">
        <f>J96</f>
        <v>0</v>
      </c>
      <c r="K87" s="80">
        <f>K96</f>
        <v>2093.1999999999998</v>
      </c>
      <c r="L87" s="80">
        <f>L96</f>
        <v>3847.6000000000004</v>
      </c>
      <c r="M87" s="439">
        <f>M95+M96</f>
        <v>327232.59999999998</v>
      </c>
      <c r="N87" s="493"/>
      <c r="O87" s="57"/>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row>
    <row r="88" spans="1:61" s="44" customFormat="1" ht="24.95" customHeight="1">
      <c r="A88" s="1002"/>
      <c r="B88" s="57" t="s">
        <v>436</v>
      </c>
      <c r="C88" s="57"/>
      <c r="D88" s="57"/>
      <c r="E88" s="57"/>
      <c r="F88" s="57"/>
      <c r="G88" s="80">
        <f>G92+G97</f>
        <v>0</v>
      </c>
      <c r="H88" s="80"/>
      <c r="I88" s="80"/>
      <c r="J88" s="80">
        <f>J97</f>
        <v>0</v>
      </c>
      <c r="K88" s="80"/>
      <c r="L88" s="80">
        <f>L92+L97</f>
        <v>0</v>
      </c>
      <c r="M88" s="439">
        <f>M97</f>
        <v>109767.4</v>
      </c>
      <c r="N88" s="493"/>
      <c r="O88" s="57"/>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row>
    <row r="89" spans="1:61" s="44" customFormat="1" ht="24.95" hidden="1" customHeight="1">
      <c r="A89" s="943" t="s">
        <v>18</v>
      </c>
      <c r="B89" s="484" t="s">
        <v>89</v>
      </c>
      <c r="C89" s="57"/>
      <c r="D89" s="57"/>
      <c r="E89" s="57"/>
      <c r="F89" s="57"/>
      <c r="G89" s="80"/>
      <c r="H89" s="80"/>
      <c r="I89" s="80"/>
      <c r="J89" s="80"/>
      <c r="K89" s="80"/>
      <c r="L89" s="80"/>
      <c r="M89" s="439"/>
      <c r="N89" s="493"/>
      <c r="O89" s="944" t="s">
        <v>232</v>
      </c>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row>
    <row r="90" spans="1:61" ht="24.95" hidden="1" customHeight="1">
      <c r="A90" s="943"/>
      <c r="B90" s="484" t="s">
        <v>235</v>
      </c>
      <c r="C90" s="484">
        <v>176</v>
      </c>
      <c r="D90" s="484" t="s">
        <v>15</v>
      </c>
      <c r="E90" s="484">
        <v>6100404</v>
      </c>
      <c r="F90" s="484">
        <v>414</v>
      </c>
      <c r="G90" s="81">
        <f>G92</f>
        <v>0</v>
      </c>
      <c r="H90" s="81"/>
      <c r="I90" s="81"/>
      <c r="J90" s="81"/>
      <c r="K90" s="81"/>
      <c r="L90" s="81"/>
      <c r="M90" s="580"/>
      <c r="N90" s="493"/>
      <c r="O90" s="944"/>
    </row>
    <row r="91" spans="1:61" ht="24.95" hidden="1" customHeight="1">
      <c r="A91" s="943"/>
      <c r="B91" s="484" t="s">
        <v>10</v>
      </c>
      <c r="C91" s="484"/>
      <c r="D91" s="484"/>
      <c r="E91" s="484"/>
      <c r="F91" s="484"/>
      <c r="G91" s="81"/>
      <c r="H91" s="81"/>
      <c r="I91" s="81"/>
      <c r="J91" s="81"/>
      <c r="K91" s="81"/>
      <c r="L91" s="81"/>
      <c r="M91" s="580"/>
      <c r="N91" s="493"/>
      <c r="O91" s="944"/>
    </row>
    <row r="92" spans="1:61" ht="24.95" hidden="1" customHeight="1">
      <c r="A92" s="943"/>
      <c r="B92" s="484" t="s">
        <v>34</v>
      </c>
      <c r="C92" s="484"/>
      <c r="D92" s="484"/>
      <c r="E92" s="484"/>
      <c r="F92" s="484"/>
      <c r="G92" s="81"/>
      <c r="H92" s="81"/>
      <c r="I92" s="81"/>
      <c r="J92" s="81"/>
      <c r="K92" s="81"/>
      <c r="L92" s="81"/>
      <c r="M92" s="580"/>
      <c r="N92" s="493"/>
      <c r="O92" s="944"/>
    </row>
    <row r="93" spans="1:61" ht="24.95" customHeight="1">
      <c r="A93" s="943" t="s">
        <v>443</v>
      </c>
      <c r="B93" s="484" t="s">
        <v>89</v>
      </c>
      <c r="C93" s="484"/>
      <c r="D93" s="484"/>
      <c r="E93" s="484"/>
      <c r="F93" s="484"/>
      <c r="G93" s="81"/>
      <c r="H93" s="81"/>
      <c r="I93" s="81"/>
      <c r="J93" s="81"/>
      <c r="K93" s="81"/>
      <c r="L93" s="81"/>
      <c r="M93" s="580">
        <v>12.6</v>
      </c>
      <c r="N93" s="493"/>
      <c r="O93" s="484"/>
    </row>
    <row r="94" spans="1:61" ht="29.25" customHeight="1">
      <c r="A94" s="943"/>
      <c r="B94" s="484" t="s">
        <v>235</v>
      </c>
      <c r="C94" s="484">
        <v>176</v>
      </c>
      <c r="D94" s="484" t="s">
        <v>15</v>
      </c>
      <c r="E94" s="484">
        <v>6100404</v>
      </c>
      <c r="F94" s="484">
        <v>414</v>
      </c>
      <c r="G94" s="81">
        <f t="shared" ref="G94" si="25">G96+G97</f>
        <v>2093.1999999999998</v>
      </c>
      <c r="H94" s="81"/>
      <c r="I94" s="81"/>
      <c r="J94" s="81"/>
      <c r="K94" s="81">
        <f>K96</f>
        <v>2093.1999999999998</v>
      </c>
      <c r="L94" s="81">
        <f>L96</f>
        <v>3847.6000000000004</v>
      </c>
      <c r="M94" s="580">
        <f>M95+M96+M97</f>
        <v>437000</v>
      </c>
      <c r="N94" s="493"/>
      <c r="O94" s="960" t="s">
        <v>879</v>
      </c>
      <c r="P94" s="98"/>
      <c r="AC94" s="639" t="s">
        <v>874</v>
      </c>
    </row>
    <row r="95" spans="1:61" ht="29.25" customHeight="1">
      <c r="A95" s="943"/>
      <c r="B95" s="643" t="s">
        <v>839</v>
      </c>
      <c r="C95" s="643"/>
      <c r="D95" s="643"/>
      <c r="E95" s="643"/>
      <c r="F95" s="643"/>
      <c r="G95" s="81"/>
      <c r="H95" s="81"/>
      <c r="I95" s="81"/>
      <c r="J95" s="81"/>
      <c r="K95" s="81"/>
      <c r="L95" s="81"/>
      <c r="M95" s="580">
        <v>257000</v>
      </c>
      <c r="N95" s="705"/>
      <c r="O95" s="960"/>
      <c r="P95" s="98"/>
      <c r="AC95" s="647"/>
    </row>
    <row r="96" spans="1:61" ht="24.95" customHeight="1">
      <c r="A96" s="943"/>
      <c r="B96" s="484" t="s">
        <v>10</v>
      </c>
      <c r="C96" s="484"/>
      <c r="D96" s="484"/>
      <c r="E96" s="484"/>
      <c r="F96" s="484"/>
      <c r="G96" s="81">
        <f>K96</f>
        <v>2093.1999999999998</v>
      </c>
      <c r="H96" s="81"/>
      <c r="I96" s="81"/>
      <c r="J96" s="81"/>
      <c r="K96" s="81">
        <v>2093.1999999999998</v>
      </c>
      <c r="L96" s="81">
        <f>7031.1-3183.5</f>
        <v>3847.6000000000004</v>
      </c>
      <c r="M96" s="580">
        <v>70232.600000000006</v>
      </c>
      <c r="N96" s="493"/>
      <c r="O96" s="960"/>
      <c r="P96" s="98"/>
      <c r="AC96" s="43" t="s">
        <v>875</v>
      </c>
    </row>
    <row r="97" spans="1:61" ht="24.95" customHeight="1">
      <c r="A97" s="943"/>
      <c r="B97" s="484" t="s">
        <v>34</v>
      </c>
      <c r="C97" s="484"/>
      <c r="D97" s="484"/>
      <c r="E97" s="484"/>
      <c r="F97" s="484"/>
      <c r="G97" s="81"/>
      <c r="H97" s="81"/>
      <c r="I97" s="81"/>
      <c r="J97" s="81"/>
      <c r="K97" s="81"/>
      <c r="L97" s="81"/>
      <c r="M97" s="580">
        <v>109767.4</v>
      </c>
      <c r="N97" s="493"/>
      <c r="O97" s="960"/>
      <c r="P97" s="98"/>
    </row>
    <row r="98" spans="1:61" ht="24.95" hidden="1" customHeight="1">
      <c r="A98" s="967" t="s">
        <v>287</v>
      </c>
      <c r="B98" s="484" t="s">
        <v>89</v>
      </c>
      <c r="C98" s="484"/>
      <c r="D98" s="484"/>
      <c r="E98" s="484"/>
      <c r="F98" s="484"/>
      <c r="G98" s="81"/>
      <c r="H98" s="81"/>
      <c r="I98" s="81"/>
      <c r="J98" s="81"/>
      <c r="K98" s="81"/>
      <c r="L98" s="81"/>
      <c r="M98" s="580"/>
      <c r="N98" s="493"/>
      <c r="O98" s="944" t="s">
        <v>290</v>
      </c>
    </row>
    <row r="99" spans="1:61" ht="24.95" hidden="1" customHeight="1">
      <c r="A99" s="968"/>
      <c r="B99" s="484" t="s">
        <v>235</v>
      </c>
      <c r="C99" s="484"/>
      <c r="D99" s="484"/>
      <c r="E99" s="484"/>
      <c r="F99" s="484"/>
      <c r="G99" s="81"/>
      <c r="H99" s="81"/>
      <c r="I99" s="81"/>
      <c r="J99" s="81"/>
      <c r="K99" s="81"/>
      <c r="L99" s="81"/>
      <c r="M99" s="580"/>
      <c r="N99" s="493"/>
      <c r="O99" s="944"/>
    </row>
    <row r="100" spans="1:61" ht="24.95" hidden="1" customHeight="1">
      <c r="A100" s="968"/>
      <c r="B100" s="484" t="s">
        <v>10</v>
      </c>
      <c r="C100" s="484"/>
      <c r="D100" s="484"/>
      <c r="E100" s="484"/>
      <c r="F100" s="484"/>
      <c r="G100" s="81"/>
      <c r="H100" s="81"/>
      <c r="I100" s="81"/>
      <c r="J100" s="81"/>
      <c r="K100" s="81"/>
      <c r="L100" s="81"/>
      <c r="M100" s="580"/>
      <c r="N100" s="493"/>
      <c r="O100" s="944"/>
    </row>
    <row r="101" spans="1:61" ht="24.95" hidden="1" customHeight="1">
      <c r="A101" s="969"/>
      <c r="B101" s="484" t="s">
        <v>436</v>
      </c>
      <c r="C101" s="484"/>
      <c r="D101" s="484"/>
      <c r="E101" s="484"/>
      <c r="F101" s="484"/>
      <c r="G101" s="81"/>
      <c r="H101" s="81"/>
      <c r="I101" s="81"/>
      <c r="J101" s="81"/>
      <c r="K101" s="81"/>
      <c r="L101" s="81"/>
      <c r="M101" s="580"/>
      <c r="N101" s="493"/>
      <c r="O101" s="944"/>
    </row>
    <row r="102" spans="1:61" s="44" customFormat="1" ht="24.95" customHeight="1">
      <c r="A102" s="945" t="s">
        <v>100</v>
      </c>
      <c r="B102" s="57" t="s">
        <v>89</v>
      </c>
      <c r="C102" s="57"/>
      <c r="D102" s="57"/>
      <c r="E102" s="57"/>
      <c r="F102" s="57"/>
      <c r="G102" s="80">
        <f>K102</f>
        <v>2.4</v>
      </c>
      <c r="H102" s="80">
        <f t="shared" ref="H102:J102" si="26">H115+H118+H126</f>
        <v>0</v>
      </c>
      <c r="I102" s="80">
        <f t="shared" si="26"/>
        <v>0</v>
      </c>
      <c r="J102" s="80">
        <f t="shared" si="26"/>
        <v>0</v>
      </c>
      <c r="K102" s="80">
        <v>2.4</v>
      </c>
      <c r="L102" s="80">
        <f t="shared" ref="L102:M102" si="27">L115+L118+L126</f>
        <v>0</v>
      </c>
      <c r="M102" s="439">
        <f t="shared" si="27"/>
        <v>0</v>
      </c>
      <c r="N102" s="493"/>
      <c r="O102" s="57"/>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row>
    <row r="103" spans="1:61" s="44" customFormat="1" ht="29.25" customHeight="1">
      <c r="A103" s="945"/>
      <c r="B103" s="57" t="s">
        <v>235</v>
      </c>
      <c r="C103" s="57"/>
      <c r="D103" s="57"/>
      <c r="E103" s="57"/>
      <c r="F103" s="57"/>
      <c r="G103" s="80">
        <f t="shared" ref="G103:M103" si="28">G104+G105</f>
        <v>56735</v>
      </c>
      <c r="H103" s="80">
        <f t="shared" si="28"/>
        <v>0</v>
      </c>
      <c r="I103" s="80">
        <f t="shared" si="28"/>
        <v>0</v>
      </c>
      <c r="J103" s="80">
        <f t="shared" si="28"/>
        <v>0</v>
      </c>
      <c r="K103" s="80">
        <f t="shared" si="28"/>
        <v>56735</v>
      </c>
      <c r="L103" s="80">
        <f t="shared" si="28"/>
        <v>8500</v>
      </c>
      <c r="M103" s="439">
        <f t="shared" si="28"/>
        <v>0</v>
      </c>
      <c r="N103" s="493"/>
      <c r="O103" s="57"/>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row>
    <row r="104" spans="1:61" s="44" customFormat="1" ht="24.95" customHeight="1">
      <c r="A104" s="945"/>
      <c r="B104" s="57" t="s">
        <v>10</v>
      </c>
      <c r="C104" s="57"/>
      <c r="D104" s="57"/>
      <c r="E104" s="57"/>
      <c r="F104" s="57"/>
      <c r="G104" s="80">
        <f>G108+G120+G124</f>
        <v>56735</v>
      </c>
      <c r="H104" s="80">
        <f t="shared" ref="H104:L104" si="29">H108+H120+H124</f>
        <v>0</v>
      </c>
      <c r="I104" s="80">
        <f t="shared" si="29"/>
        <v>0</v>
      </c>
      <c r="J104" s="80">
        <f t="shared" si="29"/>
        <v>0</v>
      </c>
      <c r="K104" s="80">
        <f t="shared" si="29"/>
        <v>56735</v>
      </c>
      <c r="L104" s="80">
        <f t="shared" si="29"/>
        <v>8500</v>
      </c>
      <c r="M104" s="439">
        <f>M108+M120</f>
        <v>0</v>
      </c>
      <c r="N104" s="493"/>
      <c r="O104" s="57"/>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row>
    <row r="105" spans="1:61" s="44" customFormat="1" ht="24.6" customHeight="1">
      <c r="A105" s="945"/>
      <c r="B105" s="57" t="s">
        <v>436</v>
      </c>
      <c r="C105" s="57"/>
      <c r="D105" s="57"/>
      <c r="E105" s="57"/>
      <c r="F105" s="57"/>
      <c r="G105" s="80">
        <f>G121+G129</f>
        <v>0</v>
      </c>
      <c r="H105" s="80"/>
      <c r="I105" s="80"/>
      <c r="J105" s="80"/>
      <c r="K105" s="80"/>
      <c r="L105" s="80">
        <f t="shared" ref="L105:M105" si="30">L121+L129</f>
        <v>0</v>
      </c>
      <c r="M105" s="439">
        <f t="shared" si="30"/>
        <v>0</v>
      </c>
      <c r="N105" s="493"/>
      <c r="O105" s="57"/>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row>
    <row r="106" spans="1:61" s="44" customFormat="1" ht="24.95" customHeight="1">
      <c r="A106" s="978" t="s">
        <v>865</v>
      </c>
      <c r="B106" s="484" t="s">
        <v>89</v>
      </c>
      <c r="C106" s="57"/>
      <c r="D106" s="57"/>
      <c r="E106" s="57"/>
      <c r="F106" s="57"/>
      <c r="G106" s="80"/>
      <c r="H106" s="80"/>
      <c r="I106" s="80"/>
      <c r="J106" s="80"/>
      <c r="K106" s="80"/>
      <c r="L106" s="80"/>
      <c r="M106" s="439"/>
      <c r="N106" s="493"/>
      <c r="O106" s="944" t="s">
        <v>886</v>
      </c>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row>
    <row r="107" spans="1:61" ht="24.95" customHeight="1">
      <c r="A107" s="979"/>
      <c r="B107" s="484" t="s">
        <v>235</v>
      </c>
      <c r="C107" s="484">
        <v>176</v>
      </c>
      <c r="D107" s="484" t="s">
        <v>15</v>
      </c>
      <c r="E107" s="484">
        <v>6100404</v>
      </c>
      <c r="F107" s="484">
        <v>414</v>
      </c>
      <c r="G107" s="81">
        <f>K107</f>
        <v>400</v>
      </c>
      <c r="H107" s="81"/>
      <c r="I107" s="81"/>
      <c r="J107" s="81"/>
      <c r="K107" s="81">
        <f>K108</f>
        <v>400</v>
      </c>
      <c r="L107" s="81">
        <f>L108</f>
        <v>6000</v>
      </c>
      <c r="M107" s="580">
        <f>M108</f>
        <v>0</v>
      </c>
      <c r="N107" s="493"/>
      <c r="O107" s="944"/>
    </row>
    <row r="108" spans="1:61" ht="24.95" customHeight="1">
      <c r="A108" s="980"/>
      <c r="B108" s="484" t="s">
        <v>10</v>
      </c>
      <c r="C108" s="484"/>
      <c r="D108" s="484"/>
      <c r="E108" s="484"/>
      <c r="F108" s="484"/>
      <c r="G108" s="81">
        <f>K108</f>
        <v>400</v>
      </c>
      <c r="H108" s="81"/>
      <c r="I108" s="81"/>
      <c r="J108" s="81"/>
      <c r="K108" s="81">
        <v>400</v>
      </c>
      <c r="L108" s="81">
        <v>6000</v>
      </c>
      <c r="M108" s="580"/>
      <c r="N108" s="493"/>
      <c r="O108" s="944"/>
    </row>
    <row r="109" spans="1:61" ht="0.6" customHeight="1">
      <c r="A109" s="978" t="s">
        <v>283</v>
      </c>
      <c r="B109" s="484" t="str">
        <f t="shared" ref="B109:L111" si="31">B106</f>
        <v>Мощность, км</v>
      </c>
      <c r="C109" s="484">
        <f t="shared" si="31"/>
        <v>0</v>
      </c>
      <c r="D109" s="484">
        <f t="shared" si="31"/>
        <v>0</v>
      </c>
      <c r="E109" s="484">
        <f t="shared" si="31"/>
        <v>0</v>
      </c>
      <c r="F109" s="484">
        <f t="shared" si="31"/>
        <v>0</v>
      </c>
      <c r="G109" s="81">
        <f t="shared" si="31"/>
        <v>0</v>
      </c>
      <c r="H109" s="81"/>
      <c r="I109" s="81"/>
      <c r="J109" s="81"/>
      <c r="K109" s="81"/>
      <c r="L109" s="81">
        <f t="shared" si="31"/>
        <v>0</v>
      </c>
      <c r="M109" s="580"/>
      <c r="N109" s="493"/>
      <c r="O109" s="944" t="str">
        <f>O106</f>
        <v xml:space="preserve">Выкуп земель под объект </v>
      </c>
    </row>
    <row r="110" spans="1:61" ht="24.6" hidden="1" customHeight="1">
      <c r="A110" s="979"/>
      <c r="B110" s="484" t="str">
        <f t="shared" si="31"/>
        <v>Сумма затрат (тыс.руб.), в том числе:</v>
      </c>
      <c r="C110" s="484">
        <f t="shared" si="31"/>
        <v>176</v>
      </c>
      <c r="D110" s="484" t="str">
        <f t="shared" si="31"/>
        <v>0409</v>
      </c>
      <c r="E110" s="484">
        <f t="shared" si="31"/>
        <v>6100404</v>
      </c>
      <c r="F110" s="484">
        <f t="shared" si="31"/>
        <v>414</v>
      </c>
      <c r="G110" s="81">
        <f t="shared" si="31"/>
        <v>400</v>
      </c>
      <c r="H110" s="81"/>
      <c r="I110" s="81"/>
      <c r="J110" s="81"/>
      <c r="K110" s="81"/>
      <c r="L110" s="81">
        <f>L111</f>
        <v>0</v>
      </c>
      <c r="M110" s="580"/>
      <c r="N110" s="493"/>
      <c r="O110" s="944"/>
    </row>
    <row r="111" spans="1:61" ht="24.6" hidden="1" customHeight="1">
      <c r="A111" s="980"/>
      <c r="B111" s="484" t="str">
        <f t="shared" si="31"/>
        <v xml:space="preserve">областной бюджет </v>
      </c>
      <c r="C111" s="484">
        <f t="shared" si="31"/>
        <v>0</v>
      </c>
      <c r="D111" s="484">
        <f t="shared" si="31"/>
        <v>0</v>
      </c>
      <c r="E111" s="484">
        <f t="shared" si="31"/>
        <v>0</v>
      </c>
      <c r="F111" s="484">
        <f t="shared" si="31"/>
        <v>0</v>
      </c>
      <c r="G111" s="81">
        <f t="shared" si="31"/>
        <v>400</v>
      </c>
      <c r="H111" s="81"/>
      <c r="I111" s="81"/>
      <c r="J111" s="81"/>
      <c r="K111" s="81"/>
      <c r="L111" s="81">
        <v>0</v>
      </c>
      <c r="M111" s="580"/>
      <c r="N111" s="493"/>
      <c r="O111" s="944"/>
    </row>
    <row r="112" spans="1:61" ht="24.6" hidden="1" customHeight="1">
      <c r="A112" s="978" t="s">
        <v>284</v>
      </c>
      <c r="B112" s="484" t="s">
        <v>89</v>
      </c>
      <c r="C112" s="484"/>
      <c r="D112" s="484"/>
      <c r="E112" s="484"/>
      <c r="F112" s="484"/>
      <c r="G112" s="81"/>
      <c r="H112" s="81"/>
      <c r="I112" s="81"/>
      <c r="J112" s="81"/>
      <c r="K112" s="81"/>
      <c r="L112" s="81"/>
      <c r="M112" s="580"/>
      <c r="N112" s="493"/>
      <c r="O112" s="484" t="s">
        <v>31</v>
      </c>
    </row>
    <row r="113" spans="1:22" ht="24.6" hidden="1" customHeight="1">
      <c r="A113" s="979"/>
      <c r="B113" s="484" t="s">
        <v>235</v>
      </c>
      <c r="C113" s="484"/>
      <c r="D113" s="484"/>
      <c r="E113" s="484"/>
      <c r="F113" s="484"/>
      <c r="G113" s="81"/>
      <c r="H113" s="81"/>
      <c r="I113" s="81"/>
      <c r="J113" s="81"/>
      <c r="K113" s="81"/>
      <c r="L113" s="81">
        <f>L114</f>
        <v>0</v>
      </c>
      <c r="M113" s="580"/>
      <c r="N113" s="493"/>
      <c r="O113" s="484"/>
    </row>
    <row r="114" spans="1:22" ht="24.6" hidden="1" customHeight="1">
      <c r="A114" s="980"/>
      <c r="B114" s="484" t="s">
        <v>34</v>
      </c>
      <c r="C114" s="484"/>
      <c r="D114" s="484"/>
      <c r="E114" s="484"/>
      <c r="F114" s="484"/>
      <c r="G114" s="81"/>
      <c r="H114" s="81"/>
      <c r="I114" s="81"/>
      <c r="J114" s="81"/>
      <c r="K114" s="81"/>
      <c r="L114" s="81">
        <v>0</v>
      </c>
      <c r="M114" s="580"/>
      <c r="N114" s="493"/>
      <c r="O114" s="484"/>
    </row>
    <row r="115" spans="1:22" ht="24.95" hidden="1" customHeight="1">
      <c r="A115" s="978" t="s">
        <v>296</v>
      </c>
      <c r="B115" s="484" t="s">
        <v>89</v>
      </c>
      <c r="C115" s="57"/>
      <c r="D115" s="57"/>
      <c r="E115" s="57"/>
      <c r="F115" s="57"/>
      <c r="G115" s="81"/>
      <c r="H115" s="80"/>
      <c r="I115" s="80"/>
      <c r="J115" s="80"/>
      <c r="K115" s="80"/>
      <c r="L115" s="80"/>
      <c r="M115" s="439">
        <f t="shared" ref="M115" si="32">+M118+M126</f>
        <v>0</v>
      </c>
      <c r="N115" s="493"/>
      <c r="O115" s="944" t="s">
        <v>437</v>
      </c>
      <c r="V115" s="43">
        <v>63.82</v>
      </c>
    </row>
    <row r="116" spans="1:22" ht="24.95" hidden="1" customHeight="1">
      <c r="A116" s="979"/>
      <c r="B116" s="484" t="s">
        <v>235</v>
      </c>
      <c r="C116" s="484">
        <v>176</v>
      </c>
      <c r="D116" s="484" t="s">
        <v>15</v>
      </c>
      <c r="E116" s="484">
        <v>6100404</v>
      </c>
      <c r="F116" s="484">
        <v>414</v>
      </c>
      <c r="G116" s="81">
        <f t="shared" ref="G116" si="33">G117</f>
        <v>0</v>
      </c>
      <c r="H116" s="81"/>
      <c r="I116" s="81"/>
      <c r="J116" s="81">
        <f>J117</f>
        <v>0</v>
      </c>
      <c r="K116" s="81"/>
      <c r="L116" s="81"/>
      <c r="M116" s="580"/>
      <c r="N116" s="493"/>
      <c r="O116" s="944"/>
    </row>
    <row r="117" spans="1:22" ht="22.15" hidden="1" customHeight="1">
      <c r="A117" s="980"/>
      <c r="B117" s="484" t="s">
        <v>10</v>
      </c>
      <c r="C117" s="484"/>
      <c r="D117" s="484"/>
      <c r="E117" s="484"/>
      <c r="F117" s="484"/>
      <c r="G117" s="81">
        <f>J117</f>
        <v>0</v>
      </c>
      <c r="H117" s="81"/>
      <c r="I117" s="81"/>
      <c r="J117" s="81"/>
      <c r="K117" s="81"/>
      <c r="L117" s="81"/>
      <c r="M117" s="580"/>
      <c r="N117" s="493"/>
      <c r="O117" s="944"/>
    </row>
    <row r="118" spans="1:22" ht="24.6" customHeight="1">
      <c r="A118" s="987" t="s">
        <v>237</v>
      </c>
      <c r="B118" s="484" t="s">
        <v>89</v>
      </c>
      <c r="C118" s="484">
        <v>176</v>
      </c>
      <c r="D118" s="484" t="s">
        <v>15</v>
      </c>
      <c r="E118" s="484">
        <v>6100404</v>
      </c>
      <c r="F118" s="484">
        <v>414</v>
      </c>
      <c r="G118" s="81">
        <f>K118</f>
        <v>2.3666436002162108</v>
      </c>
      <c r="H118" s="81"/>
      <c r="I118" s="81"/>
      <c r="J118" s="81"/>
      <c r="K118" s="81">
        <f>P118</f>
        <v>2.3666436002162108</v>
      </c>
      <c r="L118" s="81"/>
      <c r="M118" s="580"/>
      <c r="N118" s="493"/>
      <c r="O118" s="944" t="s">
        <v>654</v>
      </c>
      <c r="P118" s="566">
        <f>(K119+L119)/29200.7*1.074*1.037*1.049*1.05</f>
        <v>2.3666436002162108</v>
      </c>
    </row>
    <row r="119" spans="1:22" ht="24.6" customHeight="1">
      <c r="A119" s="987"/>
      <c r="B119" s="484" t="s">
        <v>235</v>
      </c>
      <c r="C119" s="484"/>
      <c r="D119" s="484"/>
      <c r="E119" s="484"/>
      <c r="F119" s="484"/>
      <c r="G119" s="81">
        <f t="shared" ref="G119:J119" si="34">G120+G121</f>
        <v>56335</v>
      </c>
      <c r="H119" s="81">
        <f t="shared" si="34"/>
        <v>0</v>
      </c>
      <c r="I119" s="81">
        <f t="shared" si="34"/>
        <v>0</v>
      </c>
      <c r="J119" s="81">
        <f t="shared" si="34"/>
        <v>0</v>
      </c>
      <c r="K119" s="81">
        <f>K120</f>
        <v>56335</v>
      </c>
      <c r="L119" s="81">
        <f>L120+L121</f>
        <v>0</v>
      </c>
      <c r="M119" s="580"/>
      <c r="N119" s="493"/>
      <c r="O119" s="944"/>
    </row>
    <row r="120" spans="1:22" ht="24.75" customHeight="1">
      <c r="A120" s="987"/>
      <c r="B120" s="484" t="s">
        <v>10</v>
      </c>
      <c r="C120" s="484"/>
      <c r="D120" s="484"/>
      <c r="E120" s="484"/>
      <c r="F120" s="484"/>
      <c r="G120" s="81">
        <f>K120</f>
        <v>56335</v>
      </c>
      <c r="H120" s="81"/>
      <c r="I120" s="81"/>
      <c r="J120" s="81"/>
      <c r="K120" s="81">
        <v>56335</v>
      </c>
      <c r="L120" s="81">
        <v>0</v>
      </c>
      <c r="M120" s="580"/>
      <c r="N120" s="493"/>
      <c r="O120" s="944"/>
    </row>
    <row r="121" spans="1:22" ht="24" customHeight="1">
      <c r="A121" s="987"/>
      <c r="B121" s="484" t="s">
        <v>436</v>
      </c>
      <c r="C121" s="484"/>
      <c r="D121" s="484"/>
      <c r="E121" s="484"/>
      <c r="F121" s="484"/>
      <c r="G121" s="81">
        <v>0</v>
      </c>
      <c r="H121" s="81"/>
      <c r="I121" s="81"/>
      <c r="J121" s="81"/>
      <c r="K121" s="81"/>
      <c r="L121" s="81"/>
      <c r="M121" s="580"/>
      <c r="N121" s="493"/>
      <c r="O121" s="944"/>
    </row>
    <row r="122" spans="1:22" ht="24.6" customHeight="1">
      <c r="A122" s="983" t="s">
        <v>1069</v>
      </c>
      <c r="B122" s="484" t="s">
        <v>89</v>
      </c>
      <c r="C122" s="484"/>
      <c r="D122" s="484"/>
      <c r="E122" s="484"/>
      <c r="F122" s="484"/>
      <c r="G122" s="81"/>
      <c r="H122" s="81"/>
      <c r="I122" s="81"/>
      <c r="J122" s="81"/>
      <c r="K122" s="81"/>
      <c r="L122" s="81"/>
      <c r="M122" s="580"/>
      <c r="N122" s="493"/>
      <c r="O122" s="933" t="s">
        <v>886</v>
      </c>
    </row>
    <row r="123" spans="1:22" ht="24.6" customHeight="1">
      <c r="A123" s="983"/>
      <c r="B123" s="484" t="s">
        <v>235</v>
      </c>
      <c r="C123" s="484">
        <v>176</v>
      </c>
      <c r="D123" s="484" t="s">
        <v>15</v>
      </c>
      <c r="E123" s="484">
        <v>6100404</v>
      </c>
      <c r="F123" s="484">
        <v>414</v>
      </c>
      <c r="G123" s="81">
        <f>K123</f>
        <v>0</v>
      </c>
      <c r="H123" s="81"/>
      <c r="I123" s="81"/>
      <c r="J123" s="81"/>
      <c r="K123" s="81">
        <f>K124</f>
        <v>0</v>
      </c>
      <c r="L123" s="81">
        <f t="shared" ref="L123" si="35">L124+L125</f>
        <v>2500</v>
      </c>
      <c r="M123" s="580"/>
      <c r="N123" s="493"/>
      <c r="O123" s="946"/>
    </row>
    <row r="124" spans="1:22" ht="24.6" customHeight="1">
      <c r="A124" s="983"/>
      <c r="B124" s="484" t="s">
        <v>10</v>
      </c>
      <c r="C124" s="484"/>
      <c r="D124" s="484"/>
      <c r="E124" s="484"/>
      <c r="F124" s="484"/>
      <c r="G124" s="81">
        <f>K124</f>
        <v>0</v>
      </c>
      <c r="H124" s="81"/>
      <c r="I124" s="81"/>
      <c r="J124" s="81"/>
      <c r="K124" s="81"/>
      <c r="L124" s="81">
        <v>2500</v>
      </c>
      <c r="M124" s="580"/>
      <c r="N124" s="493"/>
      <c r="O124" s="946"/>
    </row>
    <row r="125" spans="1:22" ht="24.6" hidden="1" customHeight="1">
      <c r="A125" s="983"/>
      <c r="B125" s="484" t="s">
        <v>34</v>
      </c>
      <c r="C125" s="484"/>
      <c r="D125" s="484"/>
      <c r="E125" s="484"/>
      <c r="F125" s="484"/>
      <c r="G125" s="81"/>
      <c r="H125" s="81"/>
      <c r="I125" s="81"/>
      <c r="J125" s="81"/>
      <c r="K125" s="81"/>
      <c r="L125" s="81"/>
      <c r="M125" s="580"/>
      <c r="N125" s="493"/>
      <c r="O125" s="934"/>
    </row>
    <row r="126" spans="1:22" ht="18" hidden="1" customHeight="1">
      <c r="A126" s="983" t="s">
        <v>434</v>
      </c>
      <c r="B126" s="484" t="s">
        <v>89</v>
      </c>
      <c r="C126" s="484"/>
      <c r="D126" s="484"/>
      <c r="E126" s="484"/>
      <c r="F126" s="484"/>
      <c r="G126" s="81"/>
      <c r="H126" s="81"/>
      <c r="I126" s="81"/>
      <c r="J126" s="81"/>
      <c r="K126" s="81"/>
      <c r="L126" s="81"/>
      <c r="M126" s="580"/>
      <c r="N126" s="493"/>
      <c r="O126" s="944" t="s">
        <v>317</v>
      </c>
    </row>
    <row r="127" spans="1:22" ht="24.6" hidden="1" customHeight="1">
      <c r="A127" s="983"/>
      <c r="B127" s="484" t="s">
        <v>235</v>
      </c>
      <c r="C127" s="484">
        <v>176</v>
      </c>
      <c r="D127" s="484" t="s">
        <v>15</v>
      </c>
      <c r="E127" s="484">
        <v>6100404</v>
      </c>
      <c r="F127" s="484">
        <v>414</v>
      </c>
      <c r="G127" s="81">
        <f t="shared" ref="G127:L127" si="36">G128+G129</f>
        <v>0</v>
      </c>
      <c r="H127" s="81"/>
      <c r="I127" s="81"/>
      <c r="J127" s="81"/>
      <c r="K127" s="81"/>
      <c r="L127" s="81">
        <f t="shared" si="36"/>
        <v>0</v>
      </c>
      <c r="M127" s="580"/>
      <c r="N127" s="493"/>
      <c r="O127" s="944"/>
    </row>
    <row r="128" spans="1:22" ht="30.6" hidden="1" customHeight="1">
      <c r="A128" s="983"/>
      <c r="B128" s="484" t="s">
        <v>10</v>
      </c>
      <c r="C128" s="484"/>
      <c r="D128" s="484"/>
      <c r="E128" s="484"/>
      <c r="F128" s="484"/>
      <c r="G128" s="81"/>
      <c r="H128" s="81"/>
      <c r="I128" s="81"/>
      <c r="J128" s="81"/>
      <c r="K128" s="81"/>
      <c r="L128" s="81"/>
      <c r="M128" s="580"/>
      <c r="N128" s="493"/>
      <c r="O128" s="944"/>
    </row>
    <row r="129" spans="1:15" ht="24" hidden="1" customHeight="1">
      <c r="A129" s="983"/>
      <c r="B129" s="484" t="s">
        <v>34</v>
      </c>
      <c r="C129" s="484"/>
      <c r="D129" s="484"/>
      <c r="E129" s="484"/>
      <c r="F129" s="484"/>
      <c r="G129" s="81">
        <v>0</v>
      </c>
      <c r="H129" s="81"/>
      <c r="I129" s="81"/>
      <c r="J129" s="81"/>
      <c r="K129" s="81"/>
      <c r="L129" s="81"/>
      <c r="M129" s="580"/>
      <c r="N129" s="493"/>
      <c r="O129" s="944"/>
    </row>
    <row r="130" spans="1:15" ht="24.75" customHeight="1">
      <c r="A130" s="981" t="s">
        <v>119</v>
      </c>
      <c r="B130" s="57" t="s">
        <v>89</v>
      </c>
      <c r="C130" s="484"/>
      <c r="D130" s="484"/>
      <c r="E130" s="484"/>
      <c r="F130" s="484"/>
      <c r="G130" s="80"/>
      <c r="H130" s="80">
        <f t="shared" ref="H130:M130" si="37">H139</f>
        <v>0</v>
      </c>
      <c r="I130" s="80">
        <f t="shared" si="37"/>
        <v>0</v>
      </c>
      <c r="J130" s="80">
        <f t="shared" si="37"/>
        <v>0</v>
      </c>
      <c r="K130" s="80">
        <f t="shared" si="37"/>
        <v>0</v>
      </c>
      <c r="L130" s="80">
        <f>L134</f>
        <v>12.8</v>
      </c>
      <c r="M130" s="439">
        <f t="shared" si="37"/>
        <v>0</v>
      </c>
      <c r="N130" s="493"/>
      <c r="O130" s="484"/>
    </row>
    <row r="131" spans="1:15" ht="21.6" customHeight="1">
      <c r="A131" s="981"/>
      <c r="B131" s="57" t="s">
        <v>235</v>
      </c>
      <c r="C131" s="484"/>
      <c r="D131" s="484"/>
      <c r="E131" s="484"/>
      <c r="F131" s="484"/>
      <c r="G131" s="80">
        <f>G135+G140</f>
        <v>5601.5</v>
      </c>
      <c r="H131" s="80">
        <f t="shared" ref="H131:L131" si="38">H135+H140</f>
        <v>0</v>
      </c>
      <c r="I131" s="80">
        <f t="shared" si="38"/>
        <v>0</v>
      </c>
      <c r="J131" s="80">
        <f t="shared" si="38"/>
        <v>0</v>
      </c>
      <c r="K131" s="80">
        <f t="shared" si="38"/>
        <v>5601.5</v>
      </c>
      <c r="L131" s="80">
        <f t="shared" si="38"/>
        <v>303409.30000000005</v>
      </c>
      <c r="M131" s="439">
        <f>M132+M133</f>
        <v>50000</v>
      </c>
      <c r="N131" s="493"/>
      <c r="O131" s="484"/>
    </row>
    <row r="132" spans="1:15" ht="30" customHeight="1">
      <c r="A132" s="981"/>
      <c r="B132" s="57" t="s">
        <v>10</v>
      </c>
      <c r="C132" s="484"/>
      <c r="D132" s="484"/>
      <c r="E132" s="484"/>
      <c r="F132" s="484"/>
      <c r="G132" s="80">
        <f>G136+G137+G141</f>
        <v>5601.5</v>
      </c>
      <c r="H132" s="80">
        <f t="shared" ref="H132:L132" si="39">H136+H137+H141</f>
        <v>0</v>
      </c>
      <c r="I132" s="80">
        <f t="shared" si="39"/>
        <v>0</v>
      </c>
      <c r="J132" s="80">
        <f t="shared" si="39"/>
        <v>0</v>
      </c>
      <c r="K132" s="80">
        <f t="shared" si="39"/>
        <v>5601.5</v>
      </c>
      <c r="L132" s="80">
        <f t="shared" si="39"/>
        <v>198119.2</v>
      </c>
      <c r="M132" s="80">
        <f t="shared" ref="M132" si="40">M141</f>
        <v>50000</v>
      </c>
      <c r="N132" s="493"/>
      <c r="O132" s="484"/>
    </row>
    <row r="133" spans="1:15" ht="30" customHeight="1">
      <c r="A133" s="981"/>
      <c r="B133" s="57" t="s">
        <v>436</v>
      </c>
      <c r="C133" s="484"/>
      <c r="D133" s="484"/>
      <c r="E133" s="484"/>
      <c r="F133" s="484"/>
      <c r="G133" s="80">
        <f>G142</f>
        <v>0</v>
      </c>
      <c r="H133" s="80"/>
      <c r="I133" s="80"/>
      <c r="J133" s="80"/>
      <c r="K133" s="80"/>
      <c r="L133" s="80">
        <f>L138</f>
        <v>105290.1</v>
      </c>
      <c r="M133" s="439">
        <f>M142</f>
        <v>0</v>
      </c>
      <c r="N133" s="493"/>
      <c r="O133" s="484"/>
    </row>
    <row r="134" spans="1:15" ht="30" customHeight="1">
      <c r="A134" s="1058" t="s">
        <v>521</v>
      </c>
      <c r="B134" s="643" t="s">
        <v>89</v>
      </c>
      <c r="C134" s="643"/>
      <c r="D134" s="643"/>
      <c r="E134" s="643"/>
      <c r="F134" s="643"/>
      <c r="G134" s="81">
        <f>K134</f>
        <v>0</v>
      </c>
      <c r="H134" s="81"/>
      <c r="I134" s="81"/>
      <c r="J134" s="81"/>
      <c r="K134" s="81"/>
      <c r="L134" s="81">
        <v>12.8</v>
      </c>
      <c r="M134" s="580"/>
      <c r="N134" s="644"/>
      <c r="O134" s="944" t="s">
        <v>522</v>
      </c>
    </row>
    <row r="135" spans="1:15" ht="24.6" customHeight="1">
      <c r="A135" s="1059"/>
      <c r="B135" s="643" t="s">
        <v>235</v>
      </c>
      <c r="C135" s="643"/>
      <c r="D135" s="643"/>
      <c r="E135" s="643"/>
      <c r="F135" s="643"/>
      <c r="G135" s="81">
        <f t="shared" ref="G135" si="41">K135</f>
        <v>5501.5</v>
      </c>
      <c r="H135" s="81"/>
      <c r="I135" s="81"/>
      <c r="J135" s="81"/>
      <c r="K135" s="81">
        <f>K136</f>
        <v>5501.5</v>
      </c>
      <c r="L135" s="81">
        <f>L136+L137+L138</f>
        <v>295409.30000000005</v>
      </c>
      <c r="M135" s="580"/>
      <c r="N135" s="644"/>
      <c r="O135" s="944"/>
    </row>
    <row r="136" spans="1:15" ht="24.6" customHeight="1">
      <c r="A136" s="1059"/>
      <c r="B136" s="643" t="s">
        <v>10</v>
      </c>
      <c r="C136" s="643"/>
      <c r="D136" s="643"/>
      <c r="E136" s="643"/>
      <c r="F136" s="643"/>
      <c r="G136" s="81">
        <f>K136</f>
        <v>5501.5</v>
      </c>
      <c r="H136" s="81"/>
      <c r="I136" s="81"/>
      <c r="J136" s="81"/>
      <c r="K136" s="81">
        <v>5501.5</v>
      </c>
      <c r="L136" s="81">
        <v>12250</v>
      </c>
      <c r="M136" s="580"/>
      <c r="N136" s="644"/>
      <c r="O136" s="944"/>
    </row>
    <row r="137" spans="1:15" ht="23.25" customHeight="1">
      <c r="A137" s="1059"/>
      <c r="B137" s="643" t="s">
        <v>839</v>
      </c>
      <c r="C137" s="643"/>
      <c r="D137" s="643"/>
      <c r="E137" s="643"/>
      <c r="F137" s="643"/>
      <c r="G137" s="81">
        <f t="shared" ref="G137:G138" si="42">K137</f>
        <v>0</v>
      </c>
      <c r="H137" s="81"/>
      <c r="I137" s="81"/>
      <c r="J137" s="81"/>
      <c r="K137" s="81"/>
      <c r="L137" s="81">
        <v>177869.2</v>
      </c>
      <c r="M137" s="580"/>
      <c r="N137" s="644"/>
      <c r="O137" s="944"/>
    </row>
    <row r="138" spans="1:15" ht="25.5" customHeight="1">
      <c r="A138" s="1060"/>
      <c r="B138" s="643" t="s">
        <v>436</v>
      </c>
      <c r="C138" s="643"/>
      <c r="D138" s="643"/>
      <c r="E138" s="643"/>
      <c r="F138" s="643"/>
      <c r="G138" s="81">
        <f t="shared" si="42"/>
        <v>0</v>
      </c>
      <c r="H138" s="81"/>
      <c r="I138" s="81"/>
      <c r="J138" s="81"/>
      <c r="K138" s="81"/>
      <c r="L138" s="81">
        <v>105290.1</v>
      </c>
      <c r="M138" s="580"/>
      <c r="N138" s="644"/>
      <c r="O138" s="944"/>
    </row>
    <row r="139" spans="1:15" ht="22.5" customHeight="1">
      <c r="A139" s="1058" t="s">
        <v>1092</v>
      </c>
      <c r="B139" s="484" t="s">
        <v>89</v>
      </c>
      <c r="C139" s="484"/>
      <c r="D139" s="484"/>
      <c r="E139" s="484"/>
      <c r="F139" s="484"/>
      <c r="G139" s="81">
        <f>K139</f>
        <v>0</v>
      </c>
      <c r="H139" s="81"/>
      <c r="I139" s="81"/>
      <c r="J139" s="81"/>
      <c r="K139" s="81"/>
      <c r="L139" s="81"/>
      <c r="M139" s="580"/>
      <c r="N139" s="493"/>
      <c r="O139" s="944" t="s">
        <v>822</v>
      </c>
    </row>
    <row r="140" spans="1:15" ht="24.6" customHeight="1">
      <c r="A140" s="1059"/>
      <c r="B140" s="484" t="s">
        <v>235</v>
      </c>
      <c r="C140" s="484"/>
      <c r="D140" s="484"/>
      <c r="E140" s="484"/>
      <c r="F140" s="484"/>
      <c r="G140" s="81">
        <f t="shared" ref="G140:G142" si="43">K140</f>
        <v>100</v>
      </c>
      <c r="H140" s="81"/>
      <c r="I140" s="81"/>
      <c r="J140" s="81"/>
      <c r="K140" s="81">
        <f>K141</f>
        <v>100</v>
      </c>
      <c r="L140" s="81">
        <f>L141</f>
        <v>8000</v>
      </c>
      <c r="M140" s="580">
        <f>M141</f>
        <v>50000</v>
      </c>
      <c r="N140" s="493"/>
      <c r="O140" s="944"/>
    </row>
    <row r="141" spans="1:15" ht="24.6" customHeight="1">
      <c r="A141" s="1059"/>
      <c r="B141" s="546" t="s">
        <v>10</v>
      </c>
      <c r="C141" s="546"/>
      <c r="D141" s="546"/>
      <c r="E141" s="546"/>
      <c r="F141" s="546"/>
      <c r="G141" s="81">
        <f>K141</f>
        <v>100</v>
      </c>
      <c r="H141" s="81"/>
      <c r="I141" s="81"/>
      <c r="J141" s="81"/>
      <c r="K141" s="81">
        <v>100</v>
      </c>
      <c r="L141" s="81">
        <v>8000</v>
      </c>
      <c r="M141" s="580">
        <v>50000</v>
      </c>
      <c r="N141" s="554"/>
      <c r="O141" s="944"/>
    </row>
    <row r="142" spans="1:15" ht="25.5" customHeight="1">
      <c r="A142" s="1060"/>
      <c r="B142" s="484" t="s">
        <v>436</v>
      </c>
      <c r="C142" s="484"/>
      <c r="D142" s="484"/>
      <c r="E142" s="484"/>
      <c r="F142" s="484"/>
      <c r="G142" s="81">
        <f t="shared" si="43"/>
        <v>0</v>
      </c>
      <c r="H142" s="81"/>
      <c r="I142" s="81"/>
      <c r="J142" s="81"/>
      <c r="K142" s="81"/>
      <c r="L142" s="81">
        <v>0</v>
      </c>
      <c r="M142" s="580"/>
      <c r="N142" s="493"/>
      <c r="O142" s="944"/>
    </row>
    <row r="143" spans="1:15" ht="28.5" customHeight="1">
      <c r="A143" s="981" t="s">
        <v>124</v>
      </c>
      <c r="B143" s="57" t="s">
        <v>89</v>
      </c>
      <c r="C143" s="484"/>
      <c r="D143" s="484"/>
      <c r="E143" s="484"/>
      <c r="F143" s="484"/>
      <c r="G143" s="80">
        <f t="shared" ref="G143:M143" si="44">G147+G159</f>
        <v>0</v>
      </c>
      <c r="H143" s="80"/>
      <c r="I143" s="80"/>
      <c r="J143" s="80"/>
      <c r="K143" s="80"/>
      <c r="L143" s="80">
        <f t="shared" si="44"/>
        <v>0</v>
      </c>
      <c r="M143" s="439">
        <f t="shared" si="44"/>
        <v>0</v>
      </c>
      <c r="N143" s="493"/>
      <c r="O143" s="484"/>
    </row>
    <row r="144" spans="1:15" ht="30.75" customHeight="1">
      <c r="A144" s="981"/>
      <c r="B144" s="57" t="s">
        <v>235</v>
      </c>
      <c r="C144" s="484"/>
      <c r="D144" s="484"/>
      <c r="E144" s="484"/>
      <c r="F144" s="484"/>
      <c r="G144" s="80">
        <f>G145+G146</f>
        <v>611.5</v>
      </c>
      <c r="H144" s="80">
        <f t="shared" ref="H144:M144" si="45">H145+H146</f>
        <v>0</v>
      </c>
      <c r="I144" s="80">
        <f t="shared" si="45"/>
        <v>0</v>
      </c>
      <c r="J144" s="80">
        <f t="shared" si="45"/>
        <v>0</v>
      </c>
      <c r="K144" s="80">
        <f t="shared" si="45"/>
        <v>611.5</v>
      </c>
      <c r="L144" s="80">
        <f t="shared" si="45"/>
        <v>0</v>
      </c>
      <c r="M144" s="80">
        <f t="shared" si="45"/>
        <v>0</v>
      </c>
      <c r="N144" s="493"/>
      <c r="O144" s="484"/>
    </row>
    <row r="145" spans="1:62" ht="35.25" customHeight="1">
      <c r="A145" s="981"/>
      <c r="B145" s="57" t="s">
        <v>10</v>
      </c>
      <c r="C145" s="484"/>
      <c r="D145" s="484"/>
      <c r="E145" s="484"/>
      <c r="F145" s="484"/>
      <c r="G145" s="80">
        <f>G148</f>
        <v>611.5</v>
      </c>
      <c r="H145" s="80">
        <f t="shared" ref="H145:M145" si="46">H148</f>
        <v>0</v>
      </c>
      <c r="I145" s="80">
        <f t="shared" si="46"/>
        <v>0</v>
      </c>
      <c r="J145" s="80">
        <f t="shared" si="46"/>
        <v>0</v>
      </c>
      <c r="K145" s="80">
        <f t="shared" si="46"/>
        <v>611.5</v>
      </c>
      <c r="L145" s="80">
        <f t="shared" si="46"/>
        <v>0</v>
      </c>
      <c r="M145" s="80">
        <f t="shared" si="46"/>
        <v>0</v>
      </c>
      <c r="N145" s="493"/>
      <c r="O145" s="484"/>
    </row>
    <row r="146" spans="1:62" ht="0.75" customHeight="1">
      <c r="A146" s="981"/>
      <c r="B146" s="57" t="s">
        <v>34</v>
      </c>
      <c r="C146" s="484"/>
      <c r="D146" s="484"/>
      <c r="E146" s="484"/>
      <c r="F146" s="484"/>
      <c r="G146" s="80">
        <f t="shared" ref="G146:L146" si="47">G158+G161</f>
        <v>0</v>
      </c>
      <c r="H146" s="80"/>
      <c r="I146" s="80"/>
      <c r="J146" s="80"/>
      <c r="K146" s="80"/>
      <c r="L146" s="80">
        <f t="shared" si="47"/>
        <v>0</v>
      </c>
      <c r="M146" s="439"/>
      <c r="N146" s="493"/>
      <c r="O146" s="484"/>
    </row>
    <row r="147" spans="1:62" ht="25.5" customHeight="1">
      <c r="A147" s="973" t="s">
        <v>501</v>
      </c>
      <c r="B147" s="484" t="s">
        <v>89</v>
      </c>
      <c r="C147" s="484"/>
      <c r="D147" s="484"/>
      <c r="E147" s="484"/>
      <c r="F147" s="484"/>
      <c r="G147" s="81"/>
      <c r="H147" s="81"/>
      <c r="I147" s="81"/>
      <c r="J147" s="81"/>
      <c r="K147" s="81"/>
      <c r="L147" s="81"/>
      <c r="M147" s="580"/>
      <c r="N147" s="493"/>
      <c r="O147" s="944" t="s">
        <v>953</v>
      </c>
    </row>
    <row r="148" spans="1:62" ht="24">
      <c r="A148" s="974"/>
      <c r="B148" s="484" t="s">
        <v>235</v>
      </c>
      <c r="C148" s="484"/>
      <c r="D148" s="484"/>
      <c r="E148" s="484"/>
      <c r="F148" s="484"/>
      <c r="G148" s="81">
        <f>K148</f>
        <v>611.5</v>
      </c>
      <c r="H148" s="81">
        <f t="shared" ref="H148:K148" si="48">H149</f>
        <v>0</v>
      </c>
      <c r="I148" s="81">
        <f t="shared" si="48"/>
        <v>0</v>
      </c>
      <c r="J148" s="81">
        <f t="shared" si="48"/>
        <v>0</v>
      </c>
      <c r="K148" s="81">
        <f t="shared" si="48"/>
        <v>611.5</v>
      </c>
      <c r="L148" s="81">
        <f>L149</f>
        <v>0</v>
      </c>
      <c r="M148" s="580"/>
      <c r="N148" s="493"/>
      <c r="O148" s="944"/>
    </row>
    <row r="149" spans="1:62" ht="23.25" customHeight="1">
      <c r="A149" s="974"/>
      <c r="B149" s="484" t="s">
        <v>10</v>
      </c>
      <c r="C149" s="484"/>
      <c r="D149" s="484"/>
      <c r="E149" s="484"/>
      <c r="F149" s="484"/>
      <c r="G149" s="81">
        <f>K149</f>
        <v>611.5</v>
      </c>
      <c r="H149" s="112"/>
      <c r="I149" s="112"/>
      <c r="J149" s="112"/>
      <c r="K149" s="112">
        <v>611.5</v>
      </c>
      <c r="L149" s="265"/>
      <c r="M149" s="580"/>
      <c r="N149" s="493"/>
      <c r="O149" s="944"/>
    </row>
    <row r="150" spans="1:62" ht="23.25" customHeight="1">
      <c r="A150" s="975"/>
      <c r="B150" s="481" t="s">
        <v>436</v>
      </c>
      <c r="C150" s="481"/>
      <c r="D150" s="481"/>
      <c r="E150" s="481"/>
      <c r="F150" s="481"/>
      <c r="G150" s="85"/>
      <c r="H150" s="85"/>
      <c r="I150" s="85"/>
      <c r="J150" s="85"/>
      <c r="K150" s="85"/>
      <c r="L150" s="265"/>
      <c r="M150" s="581"/>
      <c r="N150" s="493"/>
      <c r="O150" s="944"/>
    </row>
    <row r="151" spans="1:62" ht="0.75" customHeight="1">
      <c r="A151" s="970" t="s">
        <v>122</v>
      </c>
      <c r="B151" s="269" t="s">
        <v>89</v>
      </c>
      <c r="C151" s="481"/>
      <c r="D151" s="481"/>
      <c r="E151" s="481"/>
      <c r="F151" s="481"/>
      <c r="G151" s="263">
        <f>G155</f>
        <v>0</v>
      </c>
      <c r="H151" s="263">
        <f t="shared" ref="H151:K151" si="49">H155</f>
        <v>0</v>
      </c>
      <c r="I151" s="263">
        <f t="shared" si="49"/>
        <v>0</v>
      </c>
      <c r="J151" s="263">
        <f t="shared" si="49"/>
        <v>0</v>
      </c>
      <c r="K151" s="263">
        <f t="shared" si="49"/>
        <v>0</v>
      </c>
      <c r="L151" s="299">
        <f>L155</f>
        <v>0</v>
      </c>
      <c r="M151" s="581"/>
      <c r="N151" s="493"/>
      <c r="O151" s="944"/>
    </row>
    <row r="152" spans="1:62" ht="24" hidden="1">
      <c r="A152" s="971"/>
      <c r="B152" s="269" t="s">
        <v>235</v>
      </c>
      <c r="C152" s="481"/>
      <c r="D152" s="481"/>
      <c r="E152" s="481"/>
      <c r="F152" s="481"/>
      <c r="G152" s="263">
        <f>G153</f>
        <v>0</v>
      </c>
      <c r="H152" s="263">
        <f t="shared" ref="H152:K152" si="50">H153</f>
        <v>0</v>
      </c>
      <c r="I152" s="263">
        <f t="shared" si="50"/>
        <v>0</v>
      </c>
      <c r="J152" s="263">
        <f t="shared" si="50"/>
        <v>0</v>
      </c>
      <c r="K152" s="263">
        <f t="shared" si="50"/>
        <v>0</v>
      </c>
      <c r="L152" s="299">
        <f>L156</f>
        <v>0</v>
      </c>
      <c r="M152" s="581"/>
      <c r="N152" s="493"/>
      <c r="O152" s="944"/>
    </row>
    <row r="153" spans="1:62" ht="0.75" hidden="1" customHeight="1">
      <c r="A153" s="971"/>
      <c r="B153" s="269" t="s">
        <v>10</v>
      </c>
      <c r="C153" s="481"/>
      <c r="D153" s="481"/>
      <c r="E153" s="481"/>
      <c r="F153" s="481"/>
      <c r="G153" s="263">
        <f>G157</f>
        <v>0</v>
      </c>
      <c r="H153" s="263">
        <f t="shared" ref="H153:K153" si="51">H157</f>
        <v>0</v>
      </c>
      <c r="I153" s="263">
        <f t="shared" si="51"/>
        <v>0</v>
      </c>
      <c r="J153" s="263">
        <f t="shared" si="51"/>
        <v>0</v>
      </c>
      <c r="K153" s="263">
        <f t="shared" si="51"/>
        <v>0</v>
      </c>
      <c r="L153" s="299">
        <f>L157</f>
        <v>0</v>
      </c>
      <c r="M153" s="581"/>
      <c r="N153" s="493"/>
      <c r="O153" s="944"/>
    </row>
    <row r="154" spans="1:62" ht="0.75" hidden="1" customHeight="1">
      <c r="A154" s="972"/>
      <c r="B154" s="269" t="s">
        <v>436</v>
      </c>
      <c r="C154" s="481"/>
      <c r="D154" s="481"/>
      <c r="E154" s="481"/>
      <c r="F154" s="481"/>
      <c r="G154" s="85"/>
      <c r="H154" s="85"/>
      <c r="I154" s="85"/>
      <c r="J154" s="85"/>
      <c r="K154" s="85"/>
      <c r="L154" s="265"/>
      <c r="M154" s="581"/>
      <c r="N154" s="493"/>
      <c r="O154" s="944"/>
    </row>
    <row r="155" spans="1:62" hidden="1">
      <c r="A155" s="973" t="s">
        <v>503</v>
      </c>
      <c r="B155" s="268" t="s">
        <v>89</v>
      </c>
      <c r="C155" s="481"/>
      <c r="D155" s="481"/>
      <c r="E155" s="481"/>
      <c r="F155" s="481"/>
      <c r="G155" s="85">
        <f>K155</f>
        <v>0</v>
      </c>
      <c r="H155" s="85"/>
      <c r="I155" s="85"/>
      <c r="J155" s="85"/>
      <c r="K155" s="85"/>
      <c r="L155" s="265"/>
      <c r="M155" s="581"/>
      <c r="N155" s="493"/>
      <c r="O155" s="944" t="s">
        <v>706</v>
      </c>
      <c r="P155" s="43">
        <f>K156/29200.7*1.074*1.037*1.049*1.05</f>
        <v>0</v>
      </c>
    </row>
    <row r="156" spans="1:62" ht="24" hidden="1">
      <c r="A156" s="974"/>
      <c r="B156" s="268" t="s">
        <v>235</v>
      </c>
      <c r="C156" s="481"/>
      <c r="D156" s="481"/>
      <c r="E156" s="481"/>
      <c r="F156" s="481"/>
      <c r="G156" s="85">
        <f>G157</f>
        <v>0</v>
      </c>
      <c r="H156" s="85"/>
      <c r="I156" s="85"/>
      <c r="J156" s="85"/>
      <c r="K156" s="85">
        <f>K157</f>
        <v>0</v>
      </c>
      <c r="L156" s="265"/>
      <c r="M156" s="581"/>
      <c r="N156" s="493"/>
      <c r="O156" s="944"/>
    </row>
    <row r="157" spans="1:62" ht="18.75" hidden="1" customHeight="1">
      <c r="A157" s="974"/>
      <c r="B157" s="268" t="s">
        <v>10</v>
      </c>
      <c r="C157" s="481"/>
      <c r="D157" s="481"/>
      <c r="E157" s="481"/>
      <c r="F157" s="481"/>
      <c r="G157" s="85">
        <f>K157</f>
        <v>0</v>
      </c>
      <c r="H157" s="85"/>
      <c r="I157" s="85"/>
      <c r="J157" s="85"/>
      <c r="K157" s="85"/>
      <c r="L157" s="265"/>
      <c r="M157" s="581"/>
      <c r="N157" s="493"/>
      <c r="O157" s="944"/>
    </row>
    <row r="158" spans="1:62" s="50" customFormat="1" ht="18" hidden="1" customHeight="1">
      <c r="A158" s="975"/>
      <c r="B158" s="490" t="s">
        <v>436</v>
      </c>
      <c r="C158" s="484"/>
      <c r="D158" s="484"/>
      <c r="E158" s="484"/>
      <c r="F158" s="484"/>
      <c r="G158" s="81"/>
      <c r="H158" s="81"/>
      <c r="I158" s="81"/>
      <c r="J158" s="81"/>
      <c r="K158" s="81"/>
      <c r="L158" s="81"/>
      <c r="M158" s="580"/>
      <c r="N158" s="493"/>
      <c r="O158" s="944"/>
      <c r="P158" s="267"/>
      <c r="Q158" s="267"/>
      <c r="R158" s="267"/>
      <c r="S158" s="267"/>
      <c r="T158" s="267"/>
      <c r="U158" s="267"/>
      <c r="V158" s="267"/>
      <c r="W158" s="267"/>
      <c r="X158" s="267"/>
      <c r="Y158" s="267"/>
      <c r="Z158" s="267"/>
      <c r="AA158" s="267"/>
      <c r="AB158" s="267"/>
      <c r="AC158" s="267"/>
      <c r="AD158" s="267"/>
      <c r="AE158" s="267"/>
      <c r="AF158" s="267"/>
      <c r="AG158" s="267"/>
      <c r="AH158" s="267"/>
      <c r="AI158" s="301"/>
      <c r="AJ158" s="267"/>
      <c r="AK158" s="267"/>
      <c r="AL158" s="267"/>
      <c r="AM158" s="267"/>
      <c r="AN158" s="267"/>
      <c r="AO158" s="267"/>
      <c r="AP158" s="267"/>
      <c r="AQ158" s="267"/>
      <c r="AR158" s="267"/>
      <c r="AS158" s="267"/>
      <c r="AT158" s="267"/>
      <c r="AU158" s="267"/>
      <c r="AV158" s="267"/>
      <c r="AW158" s="267"/>
      <c r="AX158" s="267"/>
      <c r="AY158" s="267"/>
      <c r="AZ158" s="267"/>
      <c r="BA158" s="267"/>
      <c r="BB158" s="267"/>
      <c r="BC158" s="267"/>
      <c r="BD158" s="267"/>
      <c r="BE158" s="267"/>
      <c r="BF158" s="267"/>
      <c r="BG158" s="267"/>
      <c r="BH158" s="267"/>
      <c r="BI158" s="267"/>
      <c r="BJ158" s="266"/>
    </row>
    <row r="159" spans="1:62" s="44" customFormat="1" ht="14.25" hidden="1" customHeight="1">
      <c r="A159" s="975" t="s">
        <v>215</v>
      </c>
      <c r="B159" s="482" t="s">
        <v>89</v>
      </c>
      <c r="C159" s="482"/>
      <c r="D159" s="482"/>
      <c r="E159" s="482"/>
      <c r="F159" s="482"/>
      <c r="G159" s="264">
        <v>0</v>
      </c>
      <c r="H159" s="264"/>
      <c r="I159" s="264"/>
      <c r="J159" s="264"/>
      <c r="K159" s="264"/>
      <c r="L159" s="264">
        <v>0</v>
      </c>
      <c r="M159" s="585"/>
      <c r="N159" s="493"/>
      <c r="O159" s="944" t="s">
        <v>219</v>
      </c>
      <c r="AJ159" s="91"/>
      <c r="AK159" s="91"/>
      <c r="AL159" s="91"/>
      <c r="AM159" s="91"/>
      <c r="AN159" s="91"/>
      <c r="AO159" s="91"/>
      <c r="AP159" s="91"/>
      <c r="AQ159" s="91"/>
      <c r="AR159" s="91"/>
      <c r="AS159" s="91"/>
      <c r="AT159" s="91"/>
      <c r="AU159" s="91"/>
      <c r="AV159" s="91"/>
      <c r="AW159" s="91"/>
      <c r="AX159" s="91"/>
      <c r="AY159" s="91"/>
      <c r="AZ159" s="91"/>
      <c r="BA159" s="91"/>
      <c r="BB159" s="91"/>
      <c r="BC159" s="91"/>
      <c r="BD159" s="91"/>
      <c r="BE159" s="91"/>
      <c r="BF159" s="91"/>
      <c r="BG159" s="91"/>
      <c r="BH159" s="91"/>
      <c r="BI159" s="91"/>
    </row>
    <row r="160" spans="1:62" s="44" customFormat="1" ht="9" hidden="1" customHeight="1">
      <c r="A160" s="982"/>
      <c r="B160" s="484" t="s">
        <v>235</v>
      </c>
      <c r="C160" s="484"/>
      <c r="D160" s="484"/>
      <c r="E160" s="484"/>
      <c r="F160" s="484"/>
      <c r="G160" s="81">
        <f t="shared" ref="G160:L160" si="52">G161</f>
        <v>0</v>
      </c>
      <c r="H160" s="81"/>
      <c r="I160" s="81"/>
      <c r="J160" s="81"/>
      <c r="K160" s="81"/>
      <c r="L160" s="81">
        <f t="shared" si="52"/>
        <v>0</v>
      </c>
      <c r="M160" s="580"/>
      <c r="N160" s="493"/>
      <c r="O160" s="944"/>
      <c r="AJ160" s="91"/>
      <c r="AK160" s="91"/>
      <c r="AL160" s="91"/>
      <c r="AM160" s="91"/>
      <c r="AN160" s="91"/>
      <c r="AO160" s="91"/>
      <c r="AP160" s="91"/>
      <c r="AQ160" s="91"/>
      <c r="AR160" s="91"/>
      <c r="AS160" s="91"/>
      <c r="AT160" s="91"/>
      <c r="AU160" s="91"/>
      <c r="AV160" s="91"/>
      <c r="AW160" s="91"/>
      <c r="AX160" s="91"/>
      <c r="AY160" s="91"/>
      <c r="AZ160" s="91"/>
      <c r="BA160" s="91"/>
      <c r="BB160" s="91"/>
      <c r="BC160" s="91"/>
      <c r="BD160" s="91"/>
      <c r="BE160" s="91"/>
      <c r="BF160" s="91"/>
      <c r="BG160" s="91"/>
      <c r="BH160" s="91"/>
      <c r="BI160" s="91"/>
    </row>
    <row r="161" spans="1:61" s="44" customFormat="1" ht="5.25" hidden="1" customHeight="1">
      <c r="A161" s="982"/>
      <c r="B161" s="484" t="s">
        <v>34</v>
      </c>
      <c r="C161" s="484"/>
      <c r="D161" s="484"/>
      <c r="E161" s="484"/>
      <c r="F161" s="484"/>
      <c r="G161" s="81">
        <v>0</v>
      </c>
      <c r="H161" s="81"/>
      <c r="I161" s="81"/>
      <c r="J161" s="81"/>
      <c r="K161" s="81"/>
      <c r="L161" s="81">
        <v>0</v>
      </c>
      <c r="M161" s="580"/>
      <c r="N161" s="493"/>
      <c r="O161" s="944"/>
      <c r="AJ161" s="91"/>
      <c r="AK161" s="91"/>
      <c r="AL161" s="91"/>
      <c r="AM161" s="91"/>
      <c r="AN161" s="91"/>
      <c r="AO161" s="91"/>
      <c r="AP161" s="91"/>
      <c r="AQ161" s="91"/>
      <c r="AR161" s="91"/>
      <c r="AS161" s="91"/>
      <c r="AT161" s="91"/>
      <c r="AU161" s="91"/>
      <c r="AV161" s="91"/>
      <c r="AW161" s="91"/>
      <c r="AX161" s="91"/>
      <c r="AY161" s="91"/>
      <c r="AZ161" s="91"/>
      <c r="BA161" s="91"/>
      <c r="BB161" s="91"/>
      <c r="BC161" s="91"/>
      <c r="BD161" s="91"/>
      <c r="BE161" s="91"/>
      <c r="BF161" s="91"/>
      <c r="BG161" s="91"/>
      <c r="BH161" s="91"/>
      <c r="BI161" s="91"/>
    </row>
    <row r="162" spans="1:61" s="44" customFormat="1" ht="26.25" customHeight="1">
      <c r="A162" s="966" t="s">
        <v>101</v>
      </c>
      <c r="B162" s="57" t="s">
        <v>89</v>
      </c>
      <c r="C162" s="57"/>
      <c r="D162" s="57"/>
      <c r="E162" s="57"/>
      <c r="F162" s="57"/>
      <c r="G162" s="80">
        <f>G166+G170</f>
        <v>1.7</v>
      </c>
      <c r="H162" s="80">
        <f t="shared" ref="H162:K162" si="53">H166+H170</f>
        <v>0</v>
      </c>
      <c r="I162" s="80">
        <f t="shared" si="53"/>
        <v>0</v>
      </c>
      <c r="J162" s="80">
        <f t="shared" si="53"/>
        <v>0</v>
      </c>
      <c r="K162" s="80">
        <f t="shared" si="53"/>
        <v>1.7</v>
      </c>
      <c r="L162" s="80">
        <f t="shared" ref="L162" si="54">L166+L170</f>
        <v>0</v>
      </c>
      <c r="M162" s="439"/>
      <c r="N162" s="493"/>
      <c r="O162" s="57"/>
      <c r="AJ162" s="91"/>
      <c r="AK162" s="91"/>
      <c r="AL162" s="91"/>
      <c r="AM162" s="91"/>
      <c r="AN162" s="91"/>
      <c r="AO162" s="91"/>
      <c r="AP162" s="91"/>
      <c r="AQ162" s="91"/>
      <c r="AR162" s="91"/>
      <c r="AS162" s="91"/>
      <c r="AT162" s="91"/>
      <c r="AU162" s="91"/>
      <c r="AV162" s="91"/>
      <c r="AW162" s="91"/>
      <c r="AX162" s="91"/>
      <c r="AY162" s="91"/>
      <c r="AZ162" s="91"/>
      <c r="BA162" s="91"/>
      <c r="BB162" s="91"/>
      <c r="BC162" s="91"/>
      <c r="BD162" s="91"/>
      <c r="BE162" s="91"/>
      <c r="BF162" s="91"/>
      <c r="BG162" s="91"/>
      <c r="BH162" s="91"/>
      <c r="BI162" s="91"/>
    </row>
    <row r="163" spans="1:61" ht="30.75" customHeight="1">
      <c r="A163" s="966"/>
      <c r="B163" s="57" t="s">
        <v>235</v>
      </c>
      <c r="C163" s="57"/>
      <c r="D163" s="57"/>
      <c r="E163" s="57"/>
      <c r="F163" s="57"/>
      <c r="G163" s="80">
        <f t="shared" ref="G163:M163" si="55">G164+G165</f>
        <v>50562.3</v>
      </c>
      <c r="H163" s="80">
        <f t="shared" si="55"/>
        <v>0</v>
      </c>
      <c r="I163" s="80">
        <f t="shared" si="55"/>
        <v>0</v>
      </c>
      <c r="J163" s="80">
        <f t="shared" si="55"/>
        <v>0</v>
      </c>
      <c r="K163" s="80">
        <f t="shared" si="55"/>
        <v>50562.3</v>
      </c>
      <c r="L163" s="80">
        <f t="shared" si="55"/>
        <v>1091.5999999999999</v>
      </c>
      <c r="M163" s="439">
        <f t="shared" si="55"/>
        <v>0</v>
      </c>
      <c r="N163" s="493"/>
      <c r="O163" s="57"/>
    </row>
    <row r="164" spans="1:61" ht="24" customHeight="1">
      <c r="A164" s="966"/>
      <c r="B164" s="57" t="s">
        <v>10</v>
      </c>
      <c r="C164" s="57"/>
      <c r="D164" s="57"/>
      <c r="E164" s="57"/>
      <c r="F164" s="57"/>
      <c r="G164" s="80">
        <f>G168+G172+G176</f>
        <v>50562.3</v>
      </c>
      <c r="H164" s="80">
        <f t="shared" ref="H164:M164" si="56">H168+H172+H176</f>
        <v>0</v>
      </c>
      <c r="I164" s="80">
        <f t="shared" si="56"/>
        <v>0</v>
      </c>
      <c r="J164" s="80">
        <f t="shared" si="56"/>
        <v>0</v>
      </c>
      <c r="K164" s="80">
        <f t="shared" si="56"/>
        <v>50562.3</v>
      </c>
      <c r="L164" s="80">
        <f t="shared" si="56"/>
        <v>1091.5999999999999</v>
      </c>
      <c r="M164" s="80">
        <f t="shared" si="56"/>
        <v>0</v>
      </c>
      <c r="N164" s="493"/>
      <c r="O164" s="57"/>
    </row>
    <row r="165" spans="1:61" ht="25.5" customHeight="1">
      <c r="A165" s="966"/>
      <c r="B165" s="57" t="s">
        <v>436</v>
      </c>
      <c r="C165" s="57"/>
      <c r="D165" s="57"/>
      <c r="E165" s="57"/>
      <c r="F165" s="57"/>
      <c r="G165" s="80">
        <f>G169+G173</f>
        <v>0</v>
      </c>
      <c r="H165" s="80"/>
      <c r="I165" s="80"/>
      <c r="J165" s="80"/>
      <c r="K165" s="80"/>
      <c r="L165" s="80">
        <f>L169+L173</f>
        <v>0</v>
      </c>
      <c r="M165" s="439"/>
      <c r="N165" s="493"/>
      <c r="O165" s="57"/>
    </row>
    <row r="166" spans="1:61" ht="24.75" customHeight="1">
      <c r="A166" s="943" t="s">
        <v>297</v>
      </c>
      <c r="B166" s="484" t="s">
        <v>89</v>
      </c>
      <c r="C166" s="484">
        <v>176</v>
      </c>
      <c r="D166" s="484" t="s">
        <v>15</v>
      </c>
      <c r="E166" s="484">
        <v>6100404</v>
      </c>
      <c r="F166" s="484">
        <v>414</v>
      </c>
      <c r="G166" s="81"/>
      <c r="H166" s="81"/>
      <c r="I166" s="81"/>
      <c r="J166" s="81"/>
      <c r="K166" s="81"/>
      <c r="L166" s="81"/>
      <c r="M166" s="580"/>
      <c r="N166" s="493"/>
      <c r="O166" s="944" t="s">
        <v>822</v>
      </c>
    </row>
    <row r="167" spans="1:61" ht="24.75" customHeight="1">
      <c r="A167" s="943"/>
      <c r="B167" s="484" t="s">
        <v>235</v>
      </c>
      <c r="C167" s="484"/>
      <c r="D167" s="484"/>
      <c r="E167" s="484"/>
      <c r="F167" s="484"/>
      <c r="G167" s="81">
        <f t="shared" ref="G167:L167" si="57">G168+G169</f>
        <v>11003.4</v>
      </c>
      <c r="H167" s="81"/>
      <c r="I167" s="81"/>
      <c r="J167" s="81"/>
      <c r="K167" s="81">
        <f>K168</f>
        <v>11003.4</v>
      </c>
      <c r="L167" s="81">
        <f t="shared" si="57"/>
        <v>0</v>
      </c>
      <c r="M167" s="580"/>
      <c r="N167" s="493"/>
      <c r="O167" s="944"/>
      <c r="V167" s="43">
        <v>121.4</v>
      </c>
      <c r="X167" s="47"/>
    </row>
    <row r="168" spans="1:61" ht="21" customHeight="1">
      <c r="A168" s="943"/>
      <c r="B168" s="484" t="s">
        <v>10</v>
      </c>
      <c r="C168" s="484"/>
      <c r="D168" s="484"/>
      <c r="E168" s="484"/>
      <c r="F168" s="484"/>
      <c r="G168" s="81">
        <f>K168</f>
        <v>11003.4</v>
      </c>
      <c r="H168" s="81"/>
      <c r="I168" s="81"/>
      <c r="J168" s="81"/>
      <c r="K168" s="81">
        <v>11003.4</v>
      </c>
      <c r="L168" s="81">
        <v>0</v>
      </c>
      <c r="M168" s="580"/>
      <c r="N168" s="493"/>
      <c r="O168" s="944"/>
    </row>
    <row r="169" spans="1:61" ht="27.75" customHeight="1">
      <c r="A169" s="943"/>
      <c r="B169" s="484" t="s">
        <v>436</v>
      </c>
      <c r="C169" s="484"/>
      <c r="D169" s="484"/>
      <c r="E169" s="484"/>
      <c r="F169" s="484"/>
      <c r="G169" s="81"/>
      <c r="H169" s="81"/>
      <c r="I169" s="81"/>
      <c r="J169" s="81"/>
      <c r="K169" s="81"/>
      <c r="L169" s="81"/>
      <c r="M169" s="580"/>
      <c r="N169" s="493"/>
      <c r="O169" s="944"/>
    </row>
    <row r="170" spans="1:61" ht="30.75" customHeight="1">
      <c r="A170" s="943" t="s">
        <v>201</v>
      </c>
      <c r="B170" s="484" t="s">
        <v>89</v>
      </c>
      <c r="C170" s="484"/>
      <c r="D170" s="484"/>
      <c r="E170" s="484"/>
      <c r="F170" s="484"/>
      <c r="G170" s="81">
        <f>K170</f>
        <v>1.7</v>
      </c>
      <c r="H170" s="81"/>
      <c r="I170" s="81"/>
      <c r="J170" s="81"/>
      <c r="K170" s="81">
        <v>1.7</v>
      </c>
      <c r="L170" s="81"/>
      <c r="M170" s="580"/>
      <c r="N170" s="493"/>
      <c r="O170" s="933" t="s">
        <v>905</v>
      </c>
      <c r="P170" s="43">
        <f>(K171)/29200.7*1.074*1.037*1.049*1.05*1.043</f>
        <v>1.6837850647143022</v>
      </c>
    </row>
    <row r="171" spans="1:61" ht="30.75" customHeight="1">
      <c r="A171" s="943"/>
      <c r="B171" s="484" t="s">
        <v>235</v>
      </c>
      <c r="C171" s="484"/>
      <c r="D171" s="484"/>
      <c r="E171" s="484"/>
      <c r="F171" s="484"/>
      <c r="G171" s="81">
        <f>G172+G173</f>
        <v>38428</v>
      </c>
      <c r="H171" s="81"/>
      <c r="I171" s="81"/>
      <c r="J171" s="81">
        <f>J172</f>
        <v>0</v>
      </c>
      <c r="K171" s="81">
        <f>K172</f>
        <v>38428</v>
      </c>
      <c r="L171" s="81">
        <f>L172+L173</f>
        <v>0</v>
      </c>
      <c r="M171" s="580"/>
      <c r="N171" s="493"/>
      <c r="O171" s="946"/>
    </row>
    <row r="172" spans="1:61" ht="21.75" customHeight="1">
      <c r="A172" s="943"/>
      <c r="B172" s="484" t="s">
        <v>10</v>
      </c>
      <c r="C172" s="484"/>
      <c r="D172" s="484"/>
      <c r="E172" s="484"/>
      <c r="F172" s="484"/>
      <c r="G172" s="81">
        <f>H172+I172+J172+K172</f>
        <v>38428</v>
      </c>
      <c r="H172" s="81"/>
      <c r="I172" s="81"/>
      <c r="J172" s="81"/>
      <c r="K172" s="81">
        <v>38428</v>
      </c>
      <c r="L172" s="81"/>
      <c r="M172" s="580"/>
      <c r="N172" s="493"/>
      <c r="O172" s="946"/>
    </row>
    <row r="173" spans="1:61" ht="26.25" customHeight="1">
      <c r="A173" s="943"/>
      <c r="B173" s="537" t="s">
        <v>436</v>
      </c>
      <c r="C173" s="537"/>
      <c r="D173" s="537"/>
      <c r="E173" s="537"/>
      <c r="F173" s="537"/>
      <c r="G173" s="81"/>
      <c r="H173" s="81"/>
      <c r="I173" s="81"/>
      <c r="J173" s="81"/>
      <c r="K173" s="81"/>
      <c r="L173" s="81"/>
      <c r="M173" s="580"/>
      <c r="N173" s="538"/>
      <c r="O173" s="934"/>
    </row>
    <row r="174" spans="1:61" ht="21" customHeight="1">
      <c r="A174" s="967" t="s">
        <v>548</v>
      </c>
      <c r="B174" s="537" t="s">
        <v>89</v>
      </c>
      <c r="C174" s="537"/>
      <c r="D174" s="537"/>
      <c r="E174" s="537"/>
      <c r="F174" s="537"/>
      <c r="G174" s="81"/>
      <c r="H174" s="81"/>
      <c r="I174" s="81"/>
      <c r="J174" s="81"/>
      <c r="K174" s="81"/>
      <c r="L174" s="81"/>
      <c r="M174" s="580"/>
      <c r="N174" s="538"/>
      <c r="O174" s="933" t="s">
        <v>551</v>
      </c>
    </row>
    <row r="175" spans="1:61" ht="27" customHeight="1">
      <c r="A175" s="968"/>
      <c r="B175" s="484" t="s">
        <v>235</v>
      </c>
      <c r="C175" s="484"/>
      <c r="D175" s="484"/>
      <c r="E175" s="484"/>
      <c r="F175" s="484"/>
      <c r="G175" s="81">
        <f>K175</f>
        <v>1130.9000000000001</v>
      </c>
      <c r="H175" s="81"/>
      <c r="I175" s="81"/>
      <c r="J175" s="81"/>
      <c r="K175" s="81">
        <f>K176</f>
        <v>1130.9000000000001</v>
      </c>
      <c r="L175" s="81">
        <f t="shared" ref="L175:M175" si="58">L176</f>
        <v>1091.5999999999999</v>
      </c>
      <c r="M175" s="81">
        <f t="shared" si="58"/>
        <v>0</v>
      </c>
      <c r="N175" s="493"/>
      <c r="O175" s="946"/>
    </row>
    <row r="176" spans="1:61" ht="21.75" customHeight="1">
      <c r="A176" s="968"/>
      <c r="B176" s="484" t="s">
        <v>10</v>
      </c>
      <c r="C176" s="484"/>
      <c r="D176" s="484"/>
      <c r="E176" s="484"/>
      <c r="F176" s="484"/>
      <c r="G176" s="81">
        <f>K176</f>
        <v>1130.9000000000001</v>
      </c>
      <c r="H176" s="81"/>
      <c r="I176" s="81"/>
      <c r="J176" s="81"/>
      <c r="K176" s="81">
        <v>1130.9000000000001</v>
      </c>
      <c r="L176" s="81">
        <v>1091.5999999999999</v>
      </c>
      <c r="M176" s="580"/>
      <c r="N176" s="493"/>
      <c r="O176" s="946"/>
    </row>
    <row r="177" spans="1:61" ht="23.25" customHeight="1">
      <c r="A177" s="969"/>
      <c r="B177" s="484" t="s">
        <v>436</v>
      </c>
      <c r="C177" s="484"/>
      <c r="D177" s="484"/>
      <c r="E177" s="484"/>
      <c r="F177" s="484"/>
      <c r="G177" s="81"/>
      <c r="H177" s="81"/>
      <c r="I177" s="81"/>
      <c r="J177" s="81"/>
      <c r="K177" s="81"/>
      <c r="L177" s="81"/>
      <c r="M177" s="580"/>
      <c r="N177" s="493"/>
      <c r="O177" s="934"/>
    </row>
    <row r="178" spans="1:61" ht="21" customHeight="1">
      <c r="A178" s="966" t="s">
        <v>125</v>
      </c>
      <c r="B178" s="57" t="s">
        <v>89</v>
      </c>
      <c r="C178" s="484"/>
      <c r="D178" s="484"/>
      <c r="E178" s="484"/>
      <c r="F178" s="484"/>
      <c r="G178" s="80">
        <f>G182+G185</f>
        <v>0</v>
      </c>
      <c r="H178" s="80"/>
      <c r="I178" s="80"/>
      <c r="J178" s="80"/>
      <c r="K178" s="80"/>
      <c r="L178" s="80">
        <f>L182+L185+L191+L195</f>
        <v>0</v>
      </c>
      <c r="M178" s="586">
        <f>M182+M185+M191+M195</f>
        <v>0</v>
      </c>
      <c r="N178" s="493"/>
      <c r="O178" s="484"/>
    </row>
    <row r="179" spans="1:61" ht="24">
      <c r="A179" s="966"/>
      <c r="B179" s="57" t="s">
        <v>235</v>
      </c>
      <c r="C179" s="484"/>
      <c r="D179" s="484"/>
      <c r="E179" s="484"/>
      <c r="F179" s="484"/>
      <c r="G179" s="80">
        <f>G192+G196</f>
        <v>8980.7000000000007</v>
      </c>
      <c r="H179" s="80">
        <f t="shared" ref="H179:K179" si="59">H192+H196</f>
        <v>0</v>
      </c>
      <c r="I179" s="80">
        <f t="shared" si="59"/>
        <v>0</v>
      </c>
      <c r="J179" s="80">
        <f t="shared" si="59"/>
        <v>0</v>
      </c>
      <c r="K179" s="80">
        <f t="shared" si="59"/>
        <v>8980.7000000000007</v>
      </c>
      <c r="L179" s="80">
        <f>L180+L181</f>
        <v>4006.6</v>
      </c>
      <c r="M179" s="439">
        <f>M180</f>
        <v>0</v>
      </c>
      <c r="N179" s="493"/>
      <c r="O179" s="484"/>
    </row>
    <row r="180" spans="1:61" ht="22.5" customHeight="1">
      <c r="A180" s="966"/>
      <c r="B180" s="57" t="s">
        <v>10</v>
      </c>
      <c r="C180" s="484"/>
      <c r="D180" s="484"/>
      <c r="E180" s="484"/>
      <c r="F180" s="484"/>
      <c r="G180" s="80">
        <f>G193+G197</f>
        <v>8980.7000000000007</v>
      </c>
      <c r="H180" s="80">
        <f t="shared" ref="H180:K180" si="60">H193+H197</f>
        <v>0</v>
      </c>
      <c r="I180" s="80">
        <f t="shared" si="60"/>
        <v>0</v>
      </c>
      <c r="J180" s="80">
        <f t="shared" si="60"/>
        <v>0</v>
      </c>
      <c r="K180" s="80">
        <f t="shared" si="60"/>
        <v>8980.7000000000007</v>
      </c>
      <c r="L180" s="80">
        <f>L193+L197+L190</f>
        <v>4006.6</v>
      </c>
      <c r="M180" s="439">
        <f>M197</f>
        <v>0</v>
      </c>
      <c r="N180" s="493"/>
      <c r="O180" s="484"/>
    </row>
    <row r="181" spans="1:61" ht="24" customHeight="1">
      <c r="A181" s="966"/>
      <c r="B181" s="57" t="s">
        <v>436</v>
      </c>
      <c r="C181" s="484"/>
      <c r="D181" s="484"/>
      <c r="E181" s="484"/>
      <c r="F181" s="484"/>
      <c r="G181" s="80">
        <f>G184+G187+G190+G194</f>
        <v>0</v>
      </c>
      <c r="H181" s="80">
        <f t="shared" ref="H181:K181" si="61">H184+H187+H190+H194</f>
        <v>0</v>
      </c>
      <c r="I181" s="80">
        <f t="shared" si="61"/>
        <v>0</v>
      </c>
      <c r="J181" s="80">
        <f t="shared" si="61"/>
        <v>0</v>
      </c>
      <c r="K181" s="80">
        <f t="shared" si="61"/>
        <v>0</v>
      </c>
      <c r="L181" s="80">
        <f>L194</f>
        <v>0</v>
      </c>
      <c r="M181" s="439">
        <f t="shared" ref="M181" si="62">M184+M187+M190+M194</f>
        <v>0</v>
      </c>
      <c r="N181" s="493"/>
      <c r="O181" s="484"/>
    </row>
    <row r="182" spans="1:61" hidden="1">
      <c r="A182" s="957" t="s">
        <v>298</v>
      </c>
      <c r="B182" s="484" t="s">
        <v>89</v>
      </c>
      <c r="C182" s="484"/>
      <c r="D182" s="484"/>
      <c r="E182" s="484"/>
      <c r="F182" s="484"/>
      <c r="G182" s="81"/>
      <c r="H182" s="81"/>
      <c r="I182" s="81"/>
      <c r="J182" s="81"/>
      <c r="K182" s="81"/>
      <c r="L182" s="92">
        <v>0</v>
      </c>
      <c r="M182" s="579">
        <v>0</v>
      </c>
      <c r="N182" s="493"/>
      <c r="O182" s="944" t="s">
        <v>334</v>
      </c>
    </row>
    <row r="183" spans="1:61" ht="24" hidden="1">
      <c r="A183" s="958"/>
      <c r="B183" s="484" t="s">
        <v>235</v>
      </c>
      <c r="C183" s="484"/>
      <c r="D183" s="484"/>
      <c r="E183" s="484"/>
      <c r="F183" s="484"/>
      <c r="G183" s="81">
        <f t="shared" ref="G183:L183" si="63">G184</f>
        <v>0</v>
      </c>
      <c r="H183" s="81"/>
      <c r="I183" s="81"/>
      <c r="J183" s="81"/>
      <c r="K183" s="81"/>
      <c r="L183" s="81">
        <f t="shared" si="63"/>
        <v>0</v>
      </c>
      <c r="M183" s="580"/>
      <c r="N183" s="493"/>
      <c r="O183" s="944"/>
    </row>
    <row r="184" spans="1:61" ht="14.25" hidden="1" customHeight="1">
      <c r="A184" s="959"/>
      <c r="B184" s="484" t="s">
        <v>34</v>
      </c>
      <c r="C184" s="484"/>
      <c r="D184" s="484"/>
      <c r="E184" s="484"/>
      <c r="F184" s="484"/>
      <c r="G184" s="106">
        <v>0</v>
      </c>
      <c r="H184" s="262"/>
      <c r="I184" s="262"/>
      <c r="J184" s="262"/>
      <c r="K184" s="262"/>
      <c r="L184" s="81"/>
      <c r="M184" s="580"/>
      <c r="N184" s="493"/>
      <c r="O184" s="944"/>
    </row>
    <row r="185" spans="1:61" hidden="1">
      <c r="A185" s="964" t="s">
        <v>318</v>
      </c>
      <c r="B185" s="484" t="s">
        <v>89</v>
      </c>
      <c r="C185" s="484"/>
      <c r="D185" s="484"/>
      <c r="E185" s="484"/>
      <c r="F185" s="484"/>
      <c r="G185" s="81"/>
      <c r="H185" s="81"/>
      <c r="I185" s="81"/>
      <c r="J185" s="81"/>
      <c r="K185" s="81"/>
      <c r="L185" s="81">
        <v>0</v>
      </c>
      <c r="M185" s="580"/>
      <c r="N185" s="493"/>
      <c r="O185" s="944" t="s">
        <v>275</v>
      </c>
    </row>
    <row r="186" spans="1:61" ht="24" hidden="1">
      <c r="A186" s="964"/>
      <c r="B186" s="484" t="s">
        <v>235</v>
      </c>
      <c r="C186" s="484"/>
      <c r="D186" s="484"/>
      <c r="E186" s="484"/>
      <c r="F186" s="484"/>
      <c r="G186" s="81">
        <f t="shared" ref="G186:L186" si="64">G187</f>
        <v>0</v>
      </c>
      <c r="H186" s="81"/>
      <c r="I186" s="81"/>
      <c r="J186" s="81"/>
      <c r="K186" s="81"/>
      <c r="L186" s="81">
        <f t="shared" si="64"/>
        <v>0</v>
      </c>
      <c r="M186" s="580"/>
      <c r="N186" s="493"/>
      <c r="O186" s="944"/>
    </row>
    <row r="187" spans="1:61" ht="32.25" hidden="1" customHeight="1">
      <c r="A187" s="964"/>
      <c r="B187" s="484" t="s">
        <v>34</v>
      </c>
      <c r="C187" s="484"/>
      <c r="D187" s="484"/>
      <c r="E187" s="484"/>
      <c r="F187" s="484"/>
      <c r="G187" s="81"/>
      <c r="H187" s="81"/>
      <c r="I187" s="81"/>
      <c r="J187" s="81"/>
      <c r="K187" s="81"/>
      <c r="L187" s="81">
        <v>0</v>
      </c>
      <c r="M187" s="580"/>
      <c r="N187" s="493"/>
      <c r="O187" s="944"/>
    </row>
    <row r="188" spans="1:61" ht="22.5" customHeight="1">
      <c r="A188" s="957" t="s">
        <v>1070</v>
      </c>
      <c r="B188" s="484" t="s">
        <v>89</v>
      </c>
      <c r="C188" s="484"/>
      <c r="D188" s="484"/>
      <c r="E188" s="484"/>
      <c r="F188" s="484"/>
      <c r="G188" s="81"/>
      <c r="H188" s="81"/>
      <c r="I188" s="81"/>
      <c r="J188" s="81"/>
      <c r="K188" s="81"/>
      <c r="L188" s="81"/>
      <c r="M188" s="580"/>
      <c r="N188" s="493"/>
      <c r="O188" s="944" t="s">
        <v>887</v>
      </c>
    </row>
    <row r="189" spans="1:61" ht="33" customHeight="1">
      <c r="A189" s="958"/>
      <c r="B189" s="484" t="s">
        <v>235</v>
      </c>
      <c r="C189" s="484"/>
      <c r="D189" s="484"/>
      <c r="E189" s="484"/>
      <c r="F189" s="484"/>
      <c r="G189" s="81"/>
      <c r="H189" s="81"/>
      <c r="I189" s="81"/>
      <c r="J189" s="81"/>
      <c r="K189" s="81"/>
      <c r="L189" s="81">
        <f>L190</f>
        <v>2500</v>
      </c>
      <c r="M189" s="580"/>
      <c r="N189" s="493"/>
      <c r="O189" s="944"/>
    </row>
    <row r="190" spans="1:61" ht="24.75" customHeight="1">
      <c r="A190" s="959"/>
      <c r="B190" s="788" t="s">
        <v>10</v>
      </c>
      <c r="C190" s="484"/>
      <c r="D190" s="484"/>
      <c r="E190" s="484"/>
      <c r="F190" s="484"/>
      <c r="G190" s="81"/>
      <c r="H190" s="81"/>
      <c r="I190" s="81"/>
      <c r="J190" s="81"/>
      <c r="K190" s="81"/>
      <c r="L190" s="81">
        <v>2500</v>
      </c>
      <c r="M190" s="580"/>
      <c r="N190" s="493"/>
      <c r="O190" s="944"/>
    </row>
    <row r="191" spans="1:61" s="84" customFormat="1" ht="25.5" customHeight="1">
      <c r="A191" s="957" t="s">
        <v>707</v>
      </c>
      <c r="B191" s="495" t="s">
        <v>89</v>
      </c>
      <c r="C191" s="495"/>
      <c r="D191" s="495"/>
      <c r="E191" s="495"/>
      <c r="F191" s="495"/>
      <c r="G191" s="83">
        <f>K191</f>
        <v>0</v>
      </c>
      <c r="H191" s="83"/>
      <c r="I191" s="83"/>
      <c r="J191" s="83"/>
      <c r="K191" s="83"/>
      <c r="L191" s="83"/>
      <c r="M191" s="588"/>
      <c r="N191" s="493"/>
      <c r="O191" s="944" t="s">
        <v>822</v>
      </c>
      <c r="P191" s="560">
        <f>(K192+L192)/29200.7*1.074*1.037*1.049*1.05*1.044</f>
        <v>0.22698156761629021</v>
      </c>
      <c r="AJ191" s="302"/>
      <c r="AK191" s="302"/>
      <c r="AL191" s="302"/>
      <c r="AM191" s="302"/>
      <c r="AN191" s="302"/>
      <c r="AO191" s="302"/>
      <c r="AP191" s="302"/>
      <c r="AQ191" s="302"/>
      <c r="AR191" s="302"/>
      <c r="AS191" s="302"/>
      <c r="AT191" s="302"/>
      <c r="AU191" s="302"/>
      <c r="AV191" s="302"/>
      <c r="AW191" s="302"/>
      <c r="AX191" s="302"/>
      <c r="AY191" s="302"/>
      <c r="AZ191" s="302"/>
      <c r="BA191" s="302"/>
      <c r="BB191" s="302"/>
      <c r="BC191" s="302"/>
      <c r="BD191" s="302"/>
      <c r="BE191" s="302"/>
      <c r="BF191" s="302"/>
      <c r="BG191" s="302"/>
      <c r="BH191" s="302"/>
      <c r="BI191" s="302"/>
    </row>
    <row r="192" spans="1:61" s="84" customFormat="1" ht="24">
      <c r="A192" s="958"/>
      <c r="B192" s="484" t="s">
        <v>235</v>
      </c>
      <c r="C192" s="495"/>
      <c r="D192" s="495"/>
      <c r="E192" s="495"/>
      <c r="F192" s="495"/>
      <c r="G192" s="83">
        <f>K192</f>
        <v>5175.3</v>
      </c>
      <c r="H192" s="83">
        <f t="shared" ref="H192:K192" si="65">H193+H194</f>
        <v>0</v>
      </c>
      <c r="I192" s="83">
        <f t="shared" si="65"/>
        <v>0</v>
      </c>
      <c r="J192" s="83">
        <f t="shared" si="65"/>
        <v>0</v>
      </c>
      <c r="K192" s="83">
        <f t="shared" si="65"/>
        <v>5175.3</v>
      </c>
      <c r="L192" s="83">
        <f>L193+L194</f>
        <v>0</v>
      </c>
      <c r="M192" s="587">
        <f>M193</f>
        <v>0</v>
      </c>
      <c r="N192" s="493"/>
      <c r="O192" s="944"/>
      <c r="AJ192" s="302"/>
      <c r="AK192" s="302"/>
      <c r="AL192" s="302"/>
      <c r="AM192" s="302"/>
      <c r="AN192" s="302"/>
      <c r="AO192" s="302"/>
      <c r="AP192" s="302"/>
      <c r="AQ192" s="302"/>
      <c r="AR192" s="302"/>
      <c r="AS192" s="302"/>
      <c r="AT192" s="302"/>
      <c r="AU192" s="302"/>
      <c r="AV192" s="302"/>
      <c r="AW192" s="302"/>
      <c r="AX192" s="302"/>
      <c r="AY192" s="302"/>
      <c r="AZ192" s="302"/>
      <c r="BA192" s="302"/>
      <c r="BB192" s="302"/>
      <c r="BC192" s="302"/>
      <c r="BD192" s="302"/>
      <c r="BE192" s="302"/>
      <c r="BF192" s="302"/>
      <c r="BG192" s="302"/>
      <c r="BH192" s="302"/>
      <c r="BI192" s="302"/>
    </row>
    <row r="193" spans="1:61" s="84" customFormat="1" ht="27.75" customHeight="1">
      <c r="A193" s="958"/>
      <c r="B193" s="481" t="s">
        <v>10</v>
      </c>
      <c r="C193" s="487"/>
      <c r="D193" s="487"/>
      <c r="E193" s="487"/>
      <c r="F193" s="487"/>
      <c r="G193" s="83">
        <f>K193</f>
        <v>5175.3</v>
      </c>
      <c r="H193" s="87"/>
      <c r="I193" s="87"/>
      <c r="J193" s="87"/>
      <c r="K193" s="587">
        <v>5175.3</v>
      </c>
      <c r="L193" s="83"/>
      <c r="M193" s="589"/>
      <c r="N193" s="493"/>
      <c r="O193" s="944"/>
      <c r="AJ193" s="302"/>
      <c r="AK193" s="302"/>
      <c r="AL193" s="302"/>
      <c r="AM193" s="302"/>
      <c r="AN193" s="302"/>
      <c r="AO193" s="302"/>
      <c r="AP193" s="302"/>
      <c r="AQ193" s="302"/>
      <c r="AR193" s="302"/>
      <c r="AS193" s="302"/>
      <c r="AT193" s="302"/>
      <c r="AU193" s="302"/>
      <c r="AV193" s="302"/>
      <c r="AW193" s="302"/>
      <c r="AX193" s="302"/>
      <c r="AY193" s="302"/>
      <c r="AZ193" s="302"/>
      <c r="BA193" s="302"/>
      <c r="BB193" s="302"/>
      <c r="BC193" s="302"/>
      <c r="BD193" s="302"/>
      <c r="BE193" s="302"/>
      <c r="BF193" s="302"/>
      <c r="BG193" s="302"/>
      <c r="BH193" s="302"/>
      <c r="BI193" s="302"/>
    </row>
    <row r="194" spans="1:61" s="95" customFormat="1" ht="24" customHeight="1">
      <c r="A194" s="958"/>
      <c r="B194" s="96" t="s">
        <v>436</v>
      </c>
      <c r="C194" s="94"/>
      <c r="D194" s="94"/>
      <c r="E194" s="94"/>
      <c r="F194" s="94"/>
      <c r="G194" s="314">
        <f>K194</f>
        <v>0</v>
      </c>
      <c r="H194" s="314"/>
      <c r="I194" s="314"/>
      <c r="J194" s="314"/>
      <c r="K194" s="314"/>
      <c r="L194" s="315">
        <v>0</v>
      </c>
      <c r="M194" s="591"/>
      <c r="N194" s="493"/>
      <c r="O194" s="944"/>
      <c r="AJ194" s="303"/>
      <c r="AK194" s="303"/>
      <c r="AL194" s="303"/>
      <c r="AM194" s="303"/>
      <c r="AN194" s="303"/>
      <c r="AO194" s="303"/>
      <c r="AP194" s="303"/>
      <c r="AQ194" s="303"/>
      <c r="AR194" s="303"/>
      <c r="AS194" s="303"/>
      <c r="AT194" s="303"/>
      <c r="AU194" s="303"/>
      <c r="AV194" s="303"/>
      <c r="AW194" s="303"/>
      <c r="AX194" s="303"/>
      <c r="AY194" s="303"/>
      <c r="AZ194" s="303"/>
      <c r="BA194" s="303"/>
      <c r="BB194" s="303"/>
      <c r="BC194" s="303"/>
      <c r="BD194" s="303"/>
      <c r="BE194" s="303"/>
      <c r="BF194" s="303"/>
      <c r="BG194" s="303"/>
      <c r="BH194" s="303"/>
      <c r="BI194" s="303"/>
    </row>
    <row r="195" spans="1:61" s="84" customFormat="1" ht="25.5" customHeight="1">
      <c r="A195" s="957" t="s">
        <v>708</v>
      </c>
      <c r="B195" s="316" t="s">
        <v>89</v>
      </c>
      <c r="C195" s="316"/>
      <c r="D195" s="316"/>
      <c r="E195" s="316"/>
      <c r="F195" s="316"/>
      <c r="G195" s="314"/>
      <c r="H195" s="314"/>
      <c r="I195" s="314"/>
      <c r="J195" s="314"/>
      <c r="K195" s="314"/>
      <c r="L195" s="315"/>
      <c r="M195" s="592"/>
      <c r="N195" s="493"/>
      <c r="O195" s="1057" t="s">
        <v>887</v>
      </c>
      <c r="AJ195" s="302"/>
      <c r="AK195" s="302"/>
      <c r="AL195" s="302"/>
      <c r="AM195" s="302"/>
      <c r="AN195" s="302"/>
      <c r="AO195" s="302"/>
      <c r="AP195" s="302"/>
      <c r="AQ195" s="302"/>
      <c r="AR195" s="302"/>
      <c r="AS195" s="302"/>
      <c r="AT195" s="302"/>
      <c r="AU195" s="302"/>
      <c r="AV195" s="302"/>
      <c r="AW195" s="302"/>
      <c r="AX195" s="302"/>
      <c r="AY195" s="302"/>
      <c r="AZ195" s="302"/>
      <c r="BA195" s="302"/>
      <c r="BB195" s="302"/>
      <c r="BC195" s="302"/>
      <c r="BD195" s="302"/>
      <c r="BE195" s="302"/>
      <c r="BF195" s="302"/>
      <c r="BG195" s="302"/>
      <c r="BH195" s="302"/>
      <c r="BI195" s="302"/>
    </row>
    <row r="196" spans="1:61" s="84" customFormat="1" ht="24">
      <c r="A196" s="958"/>
      <c r="B196" s="317" t="s">
        <v>235</v>
      </c>
      <c r="C196" s="316"/>
      <c r="D196" s="316"/>
      <c r="E196" s="316"/>
      <c r="F196" s="316"/>
      <c r="G196" s="314">
        <f>K196</f>
        <v>3805.4</v>
      </c>
      <c r="H196" s="314"/>
      <c r="I196" s="314"/>
      <c r="J196" s="314"/>
      <c r="K196" s="314">
        <f>K197</f>
        <v>3805.4</v>
      </c>
      <c r="L196" s="315">
        <f>L197</f>
        <v>1506.6</v>
      </c>
      <c r="M196" s="592">
        <f>M197+M242</f>
        <v>0</v>
      </c>
      <c r="N196" s="493"/>
      <c r="O196" s="1057"/>
      <c r="AJ196" s="302"/>
      <c r="AK196" s="302"/>
      <c r="AL196" s="302"/>
      <c r="AM196" s="302"/>
      <c r="AN196" s="302"/>
      <c r="AO196" s="302"/>
      <c r="AP196" s="302"/>
      <c r="AQ196" s="302"/>
      <c r="AR196" s="302"/>
      <c r="AS196" s="302"/>
      <c r="AT196" s="302"/>
      <c r="AU196" s="302"/>
      <c r="AV196" s="302"/>
      <c r="AW196" s="302"/>
      <c r="AX196" s="302"/>
      <c r="AY196" s="302"/>
      <c r="AZ196" s="302"/>
      <c r="BA196" s="302"/>
      <c r="BB196" s="302"/>
      <c r="BC196" s="302"/>
      <c r="BD196" s="302"/>
      <c r="BE196" s="302"/>
      <c r="BF196" s="302"/>
      <c r="BG196" s="302"/>
      <c r="BH196" s="302"/>
      <c r="BI196" s="302"/>
    </row>
    <row r="197" spans="1:61" s="84" customFormat="1" ht="24.75" customHeight="1">
      <c r="A197" s="959"/>
      <c r="B197" s="318" t="s">
        <v>10</v>
      </c>
      <c r="C197" s="318"/>
      <c r="D197" s="318"/>
      <c r="E197" s="318"/>
      <c r="F197" s="318"/>
      <c r="G197" s="315">
        <f>K197</f>
        <v>3805.4</v>
      </c>
      <c r="H197" s="315"/>
      <c r="I197" s="315"/>
      <c r="J197" s="315"/>
      <c r="K197" s="315">
        <v>3805.4</v>
      </c>
      <c r="L197" s="315">
        <v>1506.6</v>
      </c>
      <c r="M197" s="590"/>
      <c r="N197" s="493"/>
      <c r="O197" s="1057"/>
      <c r="AJ197" s="302"/>
      <c r="AK197" s="302"/>
      <c r="AL197" s="302"/>
      <c r="AM197" s="302"/>
      <c r="AN197" s="302"/>
      <c r="AO197" s="302"/>
      <c r="AP197" s="302"/>
      <c r="AQ197" s="302"/>
      <c r="AR197" s="302"/>
      <c r="AS197" s="302"/>
      <c r="AT197" s="302"/>
      <c r="AU197" s="302"/>
      <c r="AV197" s="302"/>
      <c r="AW197" s="302"/>
      <c r="AX197" s="302"/>
      <c r="AY197" s="302"/>
      <c r="AZ197" s="302"/>
      <c r="BA197" s="302"/>
      <c r="BB197" s="302"/>
      <c r="BC197" s="302"/>
      <c r="BD197" s="302"/>
      <c r="BE197" s="302"/>
      <c r="BF197" s="302"/>
      <c r="BG197" s="302"/>
      <c r="BH197" s="302"/>
      <c r="BI197" s="302"/>
    </row>
    <row r="198" spans="1:61" ht="24.75" customHeight="1">
      <c r="A198" s="966" t="s">
        <v>127</v>
      </c>
      <c r="B198" s="78" t="s">
        <v>89</v>
      </c>
      <c r="C198" s="482"/>
      <c r="D198" s="482"/>
      <c r="E198" s="482"/>
      <c r="F198" s="482"/>
      <c r="G198" s="86">
        <f>G202+G205</f>
        <v>0</v>
      </c>
      <c r="H198" s="86">
        <f t="shared" ref="H198:M199" si="66">H202+H205</f>
        <v>0</v>
      </c>
      <c r="I198" s="86">
        <f t="shared" si="66"/>
        <v>0</v>
      </c>
      <c r="J198" s="86">
        <f t="shared" si="66"/>
        <v>0</v>
      </c>
      <c r="K198" s="86">
        <f t="shared" si="66"/>
        <v>0</v>
      </c>
      <c r="L198" s="86">
        <f t="shared" si="66"/>
        <v>0</v>
      </c>
      <c r="M198" s="584">
        <f t="shared" si="66"/>
        <v>0</v>
      </c>
      <c r="N198" s="493"/>
      <c r="O198" s="484"/>
    </row>
    <row r="199" spans="1:61" ht="33.75" customHeight="1">
      <c r="A199" s="966"/>
      <c r="B199" s="57" t="s">
        <v>235</v>
      </c>
      <c r="C199" s="484"/>
      <c r="D199" s="484"/>
      <c r="E199" s="484"/>
      <c r="F199" s="484"/>
      <c r="G199" s="80">
        <f>G203+G206</f>
        <v>100</v>
      </c>
      <c r="H199" s="80">
        <f t="shared" si="66"/>
        <v>0</v>
      </c>
      <c r="I199" s="80">
        <f t="shared" si="66"/>
        <v>0</v>
      </c>
      <c r="J199" s="80">
        <f t="shared" si="66"/>
        <v>0</v>
      </c>
      <c r="K199" s="80">
        <f t="shared" si="66"/>
        <v>100</v>
      </c>
      <c r="L199" s="80">
        <f t="shared" si="66"/>
        <v>0</v>
      </c>
      <c r="M199" s="439">
        <f t="shared" si="66"/>
        <v>10000</v>
      </c>
      <c r="N199" s="493"/>
      <c r="O199" s="484"/>
    </row>
    <row r="200" spans="1:61" ht="24.75" customHeight="1">
      <c r="A200" s="966"/>
      <c r="B200" s="57" t="s">
        <v>10</v>
      </c>
      <c r="C200" s="484"/>
      <c r="D200" s="484"/>
      <c r="E200" s="484"/>
      <c r="F200" s="484"/>
      <c r="G200" s="80">
        <f>G204</f>
        <v>100</v>
      </c>
      <c r="H200" s="80">
        <f t="shared" ref="H200:J200" si="67">H207</f>
        <v>0</v>
      </c>
      <c r="I200" s="80">
        <f t="shared" si="67"/>
        <v>0</v>
      </c>
      <c r="J200" s="80">
        <f t="shared" si="67"/>
        <v>0</v>
      </c>
      <c r="K200" s="80">
        <f>K204</f>
        <v>100</v>
      </c>
      <c r="L200" s="80">
        <f>L204</f>
        <v>0</v>
      </c>
      <c r="M200" s="439">
        <f>M204</f>
        <v>10000</v>
      </c>
      <c r="N200" s="493"/>
      <c r="O200" s="484"/>
    </row>
    <row r="201" spans="1:61" ht="27.75" customHeight="1">
      <c r="A201" s="966"/>
      <c r="B201" s="57" t="s">
        <v>436</v>
      </c>
      <c r="C201" s="484"/>
      <c r="D201" s="484"/>
      <c r="E201" s="484"/>
      <c r="F201" s="484"/>
      <c r="G201" s="80"/>
      <c r="H201" s="80"/>
      <c r="I201" s="80"/>
      <c r="J201" s="80"/>
      <c r="K201" s="80"/>
      <c r="L201" s="80"/>
      <c r="M201" s="439"/>
      <c r="N201" s="493"/>
      <c r="O201" s="484"/>
    </row>
    <row r="202" spans="1:61" ht="24" customHeight="1">
      <c r="A202" s="951" t="s">
        <v>823</v>
      </c>
      <c r="B202" s="484" t="s">
        <v>89</v>
      </c>
      <c r="C202" s="484"/>
      <c r="D202" s="484"/>
      <c r="E202" s="484"/>
      <c r="F202" s="484"/>
      <c r="G202" s="81"/>
      <c r="H202" s="81"/>
      <c r="I202" s="81"/>
      <c r="J202" s="81"/>
      <c r="K202" s="81"/>
      <c r="L202" s="81"/>
      <c r="M202" s="579"/>
      <c r="N202" s="493"/>
      <c r="O202" s="933" t="s">
        <v>822</v>
      </c>
    </row>
    <row r="203" spans="1:61" ht="30" customHeight="1">
      <c r="A203" s="952"/>
      <c r="B203" s="484" t="s">
        <v>235</v>
      </c>
      <c r="C203" s="484"/>
      <c r="D203" s="484"/>
      <c r="E203" s="484"/>
      <c r="F203" s="484"/>
      <c r="G203" s="81">
        <f>K203</f>
        <v>100</v>
      </c>
      <c r="H203" s="81"/>
      <c r="I203" s="81"/>
      <c r="J203" s="81"/>
      <c r="K203" s="81">
        <f>K204</f>
        <v>100</v>
      </c>
      <c r="L203" s="81">
        <f>L204</f>
        <v>0</v>
      </c>
      <c r="M203" s="580">
        <f>M204</f>
        <v>10000</v>
      </c>
      <c r="N203" s="493"/>
      <c r="O203" s="946"/>
    </row>
    <row r="204" spans="1:61" ht="29.25" customHeight="1">
      <c r="A204" s="953"/>
      <c r="B204" s="484" t="s">
        <v>10</v>
      </c>
      <c r="C204" s="484"/>
      <c r="D204" s="484"/>
      <c r="E204" s="484"/>
      <c r="F204" s="484"/>
      <c r="G204" s="81">
        <f t="shared" ref="G204:G208" si="68">K204</f>
        <v>100</v>
      </c>
      <c r="H204" s="81"/>
      <c r="I204" s="81"/>
      <c r="J204" s="81"/>
      <c r="K204" s="580">
        <v>100</v>
      </c>
      <c r="L204" s="81"/>
      <c r="M204" s="580">
        <v>10000</v>
      </c>
      <c r="N204" s="493"/>
      <c r="O204" s="934"/>
    </row>
    <row r="205" spans="1:61" ht="25.5" hidden="1" customHeight="1">
      <c r="A205" s="943" t="s">
        <v>216</v>
      </c>
      <c r="B205" s="484" t="s">
        <v>89</v>
      </c>
      <c r="C205" s="484"/>
      <c r="D205" s="484"/>
      <c r="E205" s="484"/>
      <c r="F205" s="484"/>
      <c r="G205" s="81">
        <f t="shared" si="68"/>
        <v>0</v>
      </c>
      <c r="H205" s="81"/>
      <c r="I205" s="81"/>
      <c r="J205" s="81"/>
      <c r="K205" s="81"/>
      <c r="L205" s="81"/>
      <c r="M205" s="580"/>
      <c r="N205" s="493"/>
      <c r="O205" s="944" t="s">
        <v>217</v>
      </c>
    </row>
    <row r="206" spans="1:61" ht="35.25" hidden="1" customHeight="1">
      <c r="A206" s="943"/>
      <c r="B206" s="484" t="s">
        <v>235</v>
      </c>
      <c r="C206" s="484"/>
      <c r="D206" s="484"/>
      <c r="E206" s="484"/>
      <c r="F206" s="484"/>
      <c r="G206" s="81">
        <f t="shared" si="68"/>
        <v>0</v>
      </c>
      <c r="H206" s="81"/>
      <c r="I206" s="81"/>
      <c r="J206" s="81"/>
      <c r="K206" s="81">
        <f>K207</f>
        <v>0</v>
      </c>
      <c r="L206" s="81">
        <f t="shared" ref="L206" si="69">L208</f>
        <v>0</v>
      </c>
      <c r="M206" s="580">
        <v>0</v>
      </c>
      <c r="N206" s="493"/>
      <c r="O206" s="944"/>
    </row>
    <row r="207" spans="1:61" hidden="1">
      <c r="A207" s="943"/>
      <c r="B207" s="484" t="s">
        <v>10</v>
      </c>
      <c r="C207" s="484"/>
      <c r="D207" s="484"/>
      <c r="E207" s="484"/>
      <c r="F207" s="484"/>
      <c r="G207" s="81">
        <f t="shared" si="68"/>
        <v>0</v>
      </c>
      <c r="H207" s="81"/>
      <c r="I207" s="81"/>
      <c r="J207" s="81"/>
      <c r="K207" s="81"/>
      <c r="L207" s="81">
        <v>0</v>
      </c>
      <c r="M207" s="580">
        <v>0</v>
      </c>
      <c r="N207" s="493"/>
      <c r="O207" s="944"/>
    </row>
    <row r="208" spans="1:61" ht="15.75" hidden="1" customHeight="1">
      <c r="A208" s="943"/>
      <c r="B208" s="484" t="s">
        <v>436</v>
      </c>
      <c r="C208" s="484"/>
      <c r="D208" s="484"/>
      <c r="E208" s="484"/>
      <c r="F208" s="484"/>
      <c r="G208" s="81">
        <f t="shared" si="68"/>
        <v>0</v>
      </c>
      <c r="H208" s="81"/>
      <c r="I208" s="81"/>
      <c r="J208" s="81"/>
      <c r="K208" s="81"/>
      <c r="L208" s="81">
        <v>0</v>
      </c>
      <c r="M208" s="580">
        <v>0</v>
      </c>
      <c r="N208" s="493"/>
      <c r="O208" s="944"/>
    </row>
    <row r="209" spans="1:61" ht="24" customHeight="1">
      <c r="A209" s="965" t="s">
        <v>129</v>
      </c>
      <c r="B209" s="57" t="s">
        <v>89</v>
      </c>
      <c r="C209" s="484"/>
      <c r="D209" s="484"/>
      <c r="E209" s="484"/>
      <c r="F209" s="484"/>
      <c r="G209" s="80">
        <f t="shared" ref="G209:L209" si="70">G213+G217+G221+G224</f>
        <v>0</v>
      </c>
      <c r="H209" s="80">
        <f t="shared" si="70"/>
        <v>0</v>
      </c>
      <c r="I209" s="80">
        <f t="shared" si="70"/>
        <v>0</v>
      </c>
      <c r="J209" s="80">
        <f t="shared" si="70"/>
        <v>0</v>
      </c>
      <c r="K209" s="80"/>
      <c r="L209" s="80">
        <f t="shared" si="70"/>
        <v>0</v>
      </c>
      <c r="M209" s="439">
        <f>M217</f>
        <v>1.8486229337778892</v>
      </c>
      <c r="N209" s="493"/>
      <c r="O209" s="484"/>
    </row>
    <row r="210" spans="1:61" ht="22.5" customHeight="1">
      <c r="A210" s="965"/>
      <c r="B210" s="57" t="s">
        <v>235</v>
      </c>
      <c r="C210" s="484"/>
      <c r="D210" s="484"/>
      <c r="E210" s="484"/>
      <c r="F210" s="484"/>
      <c r="G210" s="80">
        <f>G211+G212</f>
        <v>2819.5</v>
      </c>
      <c r="H210" s="80">
        <f t="shared" ref="H210:K210" si="71">H211+H212</f>
        <v>0</v>
      </c>
      <c r="I210" s="80">
        <f t="shared" si="71"/>
        <v>0</v>
      </c>
      <c r="J210" s="80">
        <f t="shared" si="71"/>
        <v>0</v>
      </c>
      <c r="K210" s="80">
        <f t="shared" si="71"/>
        <v>2819.5</v>
      </c>
      <c r="L210" s="80">
        <f t="shared" ref="L210:M210" si="72">L211+L212</f>
        <v>12020</v>
      </c>
      <c r="M210" s="439">
        <f t="shared" si="72"/>
        <v>35000</v>
      </c>
      <c r="N210" s="493"/>
      <c r="O210" s="484"/>
    </row>
    <row r="211" spans="1:61" ht="24" customHeight="1">
      <c r="A211" s="965"/>
      <c r="B211" s="57" t="s">
        <v>10</v>
      </c>
      <c r="C211" s="484"/>
      <c r="D211" s="484"/>
      <c r="E211" s="484"/>
      <c r="F211" s="484"/>
      <c r="G211" s="80">
        <f>G215+G219</f>
        <v>2819.5</v>
      </c>
      <c r="H211" s="80">
        <f t="shared" ref="H211:K211" si="73">H215+H219</f>
        <v>0</v>
      </c>
      <c r="I211" s="80">
        <f t="shared" si="73"/>
        <v>0</v>
      </c>
      <c r="J211" s="80">
        <f t="shared" si="73"/>
        <v>0</v>
      </c>
      <c r="K211" s="80">
        <f t="shared" si="73"/>
        <v>2819.5</v>
      </c>
      <c r="L211" s="80">
        <f t="shared" ref="L211:M211" si="74">L215+L219</f>
        <v>12020</v>
      </c>
      <c r="M211" s="439">
        <f t="shared" si="74"/>
        <v>35000</v>
      </c>
      <c r="N211" s="493"/>
      <c r="O211" s="484"/>
    </row>
    <row r="212" spans="1:61" ht="30" customHeight="1">
      <c r="A212" s="965"/>
      <c r="B212" s="57" t="s">
        <v>436</v>
      </c>
      <c r="C212" s="484"/>
      <c r="D212" s="484"/>
      <c r="E212" s="484"/>
      <c r="F212" s="484"/>
      <c r="G212" s="80">
        <f t="shared" ref="G212:L212" si="75">G216+G223+G226</f>
        <v>0</v>
      </c>
      <c r="H212" s="80"/>
      <c r="I212" s="80"/>
      <c r="J212" s="80"/>
      <c r="K212" s="80"/>
      <c r="L212" s="80">
        <f t="shared" si="75"/>
        <v>0</v>
      </c>
      <c r="M212" s="439"/>
      <c r="N212" s="493"/>
      <c r="O212" s="484"/>
    </row>
    <row r="213" spans="1:61" ht="19.5" customHeight="1">
      <c r="A213" s="964" t="s">
        <v>202</v>
      </c>
      <c r="B213" s="492" t="s">
        <v>89</v>
      </c>
      <c r="C213" s="492"/>
      <c r="D213" s="492"/>
      <c r="E213" s="492"/>
      <c r="F213" s="492"/>
      <c r="G213" s="82"/>
      <c r="H213" s="82"/>
      <c r="I213" s="82"/>
      <c r="J213" s="82"/>
      <c r="K213" s="82"/>
      <c r="L213" s="82"/>
      <c r="M213" s="593"/>
      <c r="N213" s="493"/>
      <c r="O213" s="1003" t="s">
        <v>886</v>
      </c>
    </row>
    <row r="214" spans="1:61" ht="24">
      <c r="A214" s="964"/>
      <c r="B214" s="492" t="s">
        <v>235</v>
      </c>
      <c r="C214" s="492"/>
      <c r="D214" s="492"/>
      <c r="E214" s="492"/>
      <c r="F214" s="492"/>
      <c r="G214" s="82">
        <f>G215+G216</f>
        <v>400</v>
      </c>
      <c r="H214" s="82"/>
      <c r="I214" s="82"/>
      <c r="J214" s="82"/>
      <c r="K214" s="82">
        <f>K215</f>
        <v>400</v>
      </c>
      <c r="L214" s="82">
        <f>L215+L216</f>
        <v>2000</v>
      </c>
      <c r="M214" s="593">
        <f>M215+M216</f>
        <v>0</v>
      </c>
      <c r="N214" s="493"/>
      <c r="O214" s="1003"/>
      <c r="V214" s="43">
        <v>247.3</v>
      </c>
    </row>
    <row r="215" spans="1:61" ht="22.5" customHeight="1">
      <c r="A215" s="964"/>
      <c r="B215" s="492" t="s">
        <v>10</v>
      </c>
      <c r="C215" s="492"/>
      <c r="D215" s="492"/>
      <c r="E215" s="492"/>
      <c r="F215" s="492"/>
      <c r="G215" s="82">
        <f>K215</f>
        <v>400</v>
      </c>
      <c r="H215" s="82"/>
      <c r="I215" s="82"/>
      <c r="J215" s="82"/>
      <c r="K215" s="593">
        <v>400</v>
      </c>
      <c r="L215" s="82">
        <v>2000</v>
      </c>
      <c r="M215" s="593"/>
      <c r="N215" s="493"/>
      <c r="O215" s="1003"/>
    </row>
    <row r="216" spans="1:61" ht="24.75" customHeight="1">
      <c r="A216" s="964"/>
      <c r="B216" s="492" t="s">
        <v>436</v>
      </c>
      <c r="C216" s="492"/>
      <c r="D216" s="492"/>
      <c r="E216" s="492"/>
      <c r="F216" s="492"/>
      <c r="G216" s="82"/>
      <c r="H216" s="82"/>
      <c r="I216" s="82"/>
      <c r="J216" s="82"/>
      <c r="K216" s="82"/>
      <c r="L216" s="82"/>
      <c r="M216" s="593"/>
      <c r="N216" s="493"/>
      <c r="O216" s="1003"/>
    </row>
    <row r="217" spans="1:61" ht="21.75" customHeight="1">
      <c r="A217" s="964" t="s">
        <v>824</v>
      </c>
      <c r="B217" s="484" t="s">
        <v>89</v>
      </c>
      <c r="C217" s="484"/>
      <c r="D217" s="484"/>
      <c r="E217" s="484"/>
      <c r="F217" s="484"/>
      <c r="G217" s="81">
        <f>K217</f>
        <v>0</v>
      </c>
      <c r="H217" s="81"/>
      <c r="I217" s="81"/>
      <c r="J217" s="81"/>
      <c r="K217" s="81"/>
      <c r="L217" s="81"/>
      <c r="M217" s="580">
        <f>(K218+L218+M218)/29200.7*1.044*1.044*1.044</f>
        <v>1.8486229337778892</v>
      </c>
      <c r="N217" s="493"/>
      <c r="O217" s="944" t="s">
        <v>1139</v>
      </c>
      <c r="P217" s="559">
        <f>K219/29200.7*1.074*1.037*1.05*1.044</f>
        <v>0.10115915651180281</v>
      </c>
      <c r="AC217" s="43" t="s">
        <v>873</v>
      </c>
    </row>
    <row r="218" spans="1:61" ht="24">
      <c r="A218" s="964"/>
      <c r="B218" s="484" t="s">
        <v>235</v>
      </c>
      <c r="C218" s="484"/>
      <c r="D218" s="484"/>
      <c r="E218" s="484"/>
      <c r="F218" s="484"/>
      <c r="G218" s="81">
        <f>G219</f>
        <v>2419.5</v>
      </c>
      <c r="H218" s="81"/>
      <c r="I218" s="81">
        <f>I219</f>
        <v>0</v>
      </c>
      <c r="J218" s="81"/>
      <c r="K218" s="81">
        <f>K219</f>
        <v>2419.5</v>
      </c>
      <c r="L218" s="81">
        <f>L219</f>
        <v>10020</v>
      </c>
      <c r="M218" s="580">
        <f>M219</f>
        <v>35000</v>
      </c>
      <c r="N218" s="493"/>
      <c r="O218" s="944"/>
    </row>
    <row r="219" spans="1:61" ht="27" customHeight="1">
      <c r="A219" s="964"/>
      <c r="B219" s="484" t="s">
        <v>10</v>
      </c>
      <c r="C219" s="484"/>
      <c r="D219" s="484"/>
      <c r="E219" s="484"/>
      <c r="F219" s="484"/>
      <c r="G219" s="81">
        <f>K219</f>
        <v>2419.5</v>
      </c>
      <c r="H219" s="81"/>
      <c r="I219" s="81"/>
      <c r="J219" s="81"/>
      <c r="K219" s="81">
        <v>2419.5</v>
      </c>
      <c r="L219" s="81">
        <v>10020</v>
      </c>
      <c r="M219" s="580">
        <v>35000</v>
      </c>
      <c r="N219" s="493"/>
      <c r="O219" s="944"/>
    </row>
    <row r="220" spans="1:61" ht="27" customHeight="1">
      <c r="A220" s="964"/>
      <c r="B220" s="484" t="s">
        <v>436</v>
      </c>
      <c r="C220" s="484"/>
      <c r="D220" s="484"/>
      <c r="E220" s="484"/>
      <c r="F220" s="484"/>
      <c r="G220" s="81"/>
      <c r="H220" s="81"/>
      <c r="I220" s="81"/>
      <c r="J220" s="81"/>
      <c r="K220" s="81"/>
      <c r="L220" s="81"/>
      <c r="M220" s="580"/>
      <c r="N220" s="493"/>
      <c r="O220" s="944"/>
    </row>
    <row r="221" spans="1:61" hidden="1">
      <c r="A221" s="964" t="s">
        <v>238</v>
      </c>
      <c r="B221" s="484" t="s">
        <v>89</v>
      </c>
      <c r="C221" s="484"/>
      <c r="D221" s="484"/>
      <c r="E221" s="484"/>
      <c r="F221" s="484"/>
      <c r="G221" s="81"/>
      <c r="H221" s="81"/>
      <c r="I221" s="81"/>
      <c r="J221" s="81"/>
      <c r="K221" s="81"/>
      <c r="L221" s="81"/>
      <c r="M221" s="580"/>
      <c r="N221" s="493"/>
      <c r="O221" s="944" t="s">
        <v>280</v>
      </c>
    </row>
    <row r="222" spans="1:61" ht="24" hidden="1">
      <c r="A222" s="964"/>
      <c r="B222" s="484" t="s">
        <v>235</v>
      </c>
      <c r="C222" s="484"/>
      <c r="D222" s="484"/>
      <c r="E222" s="484"/>
      <c r="F222" s="484"/>
      <c r="G222" s="81">
        <f>G223</f>
        <v>0</v>
      </c>
      <c r="H222" s="81"/>
      <c r="I222" s="81"/>
      <c r="J222" s="81"/>
      <c r="K222" s="81"/>
      <c r="L222" s="81">
        <f>L223</f>
        <v>0</v>
      </c>
      <c r="M222" s="580"/>
      <c r="N222" s="493"/>
      <c r="O222" s="944"/>
    </row>
    <row r="223" spans="1:61" hidden="1">
      <c r="A223" s="964"/>
      <c r="B223" s="484" t="s">
        <v>34</v>
      </c>
      <c r="C223" s="484"/>
      <c r="D223" s="484"/>
      <c r="E223" s="484"/>
      <c r="F223" s="484"/>
      <c r="G223" s="81"/>
      <c r="H223" s="81"/>
      <c r="I223" s="81"/>
      <c r="J223" s="81"/>
      <c r="K223" s="81"/>
      <c r="L223" s="81"/>
      <c r="M223" s="580"/>
      <c r="N223" s="493"/>
      <c r="O223" s="944"/>
    </row>
    <row r="224" spans="1:61" s="44" customFormat="1" ht="14.25" hidden="1">
      <c r="A224" s="964" t="s">
        <v>300</v>
      </c>
      <c r="B224" s="484" t="s">
        <v>89</v>
      </c>
      <c r="C224" s="484"/>
      <c r="D224" s="484"/>
      <c r="E224" s="484"/>
      <c r="F224" s="484"/>
      <c r="G224" s="81">
        <v>0</v>
      </c>
      <c r="H224" s="81"/>
      <c r="I224" s="81"/>
      <c r="J224" s="81"/>
      <c r="K224" s="81"/>
      <c r="L224" s="81"/>
      <c r="M224" s="580"/>
      <c r="N224" s="493"/>
      <c r="O224" s="944" t="s">
        <v>221</v>
      </c>
      <c r="AJ224" s="91"/>
      <c r="AK224" s="91"/>
      <c r="AL224" s="91"/>
      <c r="AM224" s="91"/>
      <c r="AN224" s="91"/>
      <c r="AO224" s="91"/>
      <c r="AP224" s="91"/>
      <c r="AQ224" s="91"/>
      <c r="AR224" s="91"/>
      <c r="AS224" s="91"/>
      <c r="AT224" s="91"/>
      <c r="AU224" s="91"/>
      <c r="AV224" s="91"/>
      <c r="AW224" s="91"/>
      <c r="AX224" s="91"/>
      <c r="AY224" s="91"/>
      <c r="AZ224" s="91"/>
      <c r="BA224" s="91"/>
      <c r="BB224" s="91"/>
      <c r="BC224" s="91"/>
      <c r="BD224" s="91"/>
      <c r="BE224" s="91"/>
      <c r="BF224" s="91"/>
      <c r="BG224" s="91"/>
      <c r="BH224" s="91"/>
      <c r="BI224" s="91"/>
    </row>
    <row r="225" spans="1:61" s="44" customFormat="1" ht="24" hidden="1">
      <c r="A225" s="964"/>
      <c r="B225" s="484" t="s">
        <v>235</v>
      </c>
      <c r="C225" s="484"/>
      <c r="D225" s="484"/>
      <c r="E225" s="484"/>
      <c r="F225" s="484"/>
      <c r="G225" s="81">
        <f>G226</f>
        <v>0</v>
      </c>
      <c r="H225" s="81"/>
      <c r="I225" s="81"/>
      <c r="J225" s="81"/>
      <c r="K225" s="81"/>
      <c r="L225" s="81">
        <f>L226</f>
        <v>0</v>
      </c>
      <c r="M225" s="580"/>
      <c r="N225" s="493"/>
      <c r="O225" s="944"/>
      <c r="AJ225" s="91"/>
      <c r="AK225" s="91"/>
      <c r="AL225" s="91"/>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91"/>
    </row>
    <row r="226" spans="1:61" s="44" customFormat="1" ht="0.75" hidden="1" customHeight="1">
      <c r="A226" s="964"/>
      <c r="B226" s="484" t="s">
        <v>34</v>
      </c>
      <c r="C226" s="484"/>
      <c r="D226" s="484"/>
      <c r="E226" s="484"/>
      <c r="F226" s="484"/>
      <c r="G226" s="81">
        <v>0</v>
      </c>
      <c r="H226" s="81"/>
      <c r="I226" s="81"/>
      <c r="J226" s="81"/>
      <c r="K226" s="81"/>
      <c r="L226" s="81"/>
      <c r="M226" s="580"/>
      <c r="N226" s="493"/>
      <c r="O226" s="944"/>
      <c r="AJ226" s="91"/>
      <c r="AK226" s="91"/>
      <c r="AL226" s="91"/>
      <c r="AM226" s="91"/>
      <c r="AN226" s="91"/>
      <c r="AO226" s="91"/>
      <c r="AP226" s="91"/>
      <c r="AQ226" s="91"/>
      <c r="AR226" s="91"/>
      <c r="AS226" s="91"/>
      <c r="AT226" s="91"/>
      <c r="AU226" s="91"/>
      <c r="AV226" s="91"/>
      <c r="AW226" s="91"/>
      <c r="AX226" s="91"/>
      <c r="AY226" s="91"/>
      <c r="AZ226" s="91"/>
      <c r="BA226" s="91"/>
      <c r="BB226" s="91"/>
      <c r="BC226" s="91"/>
      <c r="BD226" s="91"/>
      <c r="BE226" s="91"/>
      <c r="BF226" s="91"/>
      <c r="BG226" s="91"/>
      <c r="BH226" s="91"/>
      <c r="BI226" s="91"/>
    </row>
    <row r="227" spans="1:61" s="44" customFormat="1" ht="0.75" hidden="1" customHeight="1">
      <c r="A227" s="957" t="s">
        <v>286</v>
      </c>
      <c r="B227" s="484" t="s">
        <v>89</v>
      </c>
      <c r="C227" s="484"/>
      <c r="D227" s="484"/>
      <c r="E227" s="484"/>
      <c r="F227" s="484"/>
      <c r="G227" s="81"/>
      <c r="H227" s="81"/>
      <c r="I227" s="81"/>
      <c r="J227" s="81"/>
      <c r="K227" s="81"/>
      <c r="L227" s="81"/>
      <c r="M227" s="580"/>
      <c r="N227" s="493"/>
      <c r="O227" s="944" t="s">
        <v>290</v>
      </c>
      <c r="AJ227" s="91"/>
      <c r="AK227" s="91"/>
      <c r="AL227" s="91"/>
      <c r="AM227" s="91"/>
      <c r="AN227" s="91"/>
      <c r="AO227" s="91"/>
      <c r="AP227" s="91"/>
      <c r="AQ227" s="91"/>
      <c r="AR227" s="91"/>
      <c r="AS227" s="91"/>
      <c r="AT227" s="91"/>
      <c r="AU227" s="91"/>
      <c r="AV227" s="91"/>
      <c r="AW227" s="91"/>
      <c r="AX227" s="91"/>
      <c r="AY227" s="91"/>
      <c r="AZ227" s="91"/>
      <c r="BA227" s="91"/>
      <c r="BB227" s="91"/>
      <c r="BC227" s="91"/>
      <c r="BD227" s="91"/>
      <c r="BE227" s="91"/>
      <c r="BF227" s="91"/>
      <c r="BG227" s="91"/>
      <c r="BH227" s="91"/>
      <c r="BI227" s="91"/>
    </row>
    <row r="228" spans="1:61" s="44" customFormat="1" ht="24" hidden="1">
      <c r="A228" s="958"/>
      <c r="B228" s="484" t="s">
        <v>235</v>
      </c>
      <c r="C228" s="484"/>
      <c r="D228" s="484"/>
      <c r="E228" s="484"/>
      <c r="F228" s="484"/>
      <c r="G228" s="81"/>
      <c r="H228" s="81"/>
      <c r="I228" s="81"/>
      <c r="J228" s="81"/>
      <c r="K228" s="81"/>
      <c r="L228" s="81"/>
      <c r="M228" s="580"/>
      <c r="N228" s="493"/>
      <c r="O228" s="944"/>
      <c r="AJ228" s="91"/>
      <c r="AK228" s="91"/>
      <c r="AL228" s="91"/>
      <c r="AM228" s="91"/>
      <c r="AN228" s="91"/>
      <c r="AO228" s="91"/>
      <c r="AP228" s="91"/>
      <c r="AQ228" s="91"/>
      <c r="AR228" s="91"/>
      <c r="AS228" s="91"/>
      <c r="AT228" s="91"/>
      <c r="AU228" s="91"/>
      <c r="AV228" s="91"/>
      <c r="AW228" s="91"/>
      <c r="AX228" s="91"/>
      <c r="AY228" s="91"/>
      <c r="AZ228" s="91"/>
      <c r="BA228" s="91"/>
      <c r="BB228" s="91"/>
      <c r="BC228" s="91"/>
      <c r="BD228" s="91"/>
      <c r="BE228" s="91"/>
      <c r="BF228" s="91"/>
      <c r="BG228" s="91"/>
      <c r="BH228" s="91"/>
      <c r="BI228" s="91"/>
    </row>
    <row r="229" spans="1:61" s="44" customFormat="1" ht="14.25" hidden="1">
      <c r="A229" s="958"/>
      <c r="B229" s="484" t="s">
        <v>10</v>
      </c>
      <c r="C229" s="484"/>
      <c r="D229" s="484"/>
      <c r="E229" s="484"/>
      <c r="F229" s="484"/>
      <c r="G229" s="81"/>
      <c r="H229" s="81"/>
      <c r="I229" s="81"/>
      <c r="J229" s="81"/>
      <c r="K229" s="81"/>
      <c r="L229" s="81"/>
      <c r="M229" s="580"/>
      <c r="N229" s="493"/>
      <c r="O229" s="944"/>
      <c r="AJ229" s="91"/>
      <c r="AK229" s="91"/>
      <c r="AL229" s="91"/>
      <c r="AM229" s="91"/>
      <c r="AN229" s="91"/>
      <c r="AO229" s="91"/>
      <c r="AP229" s="91"/>
      <c r="AQ229" s="91"/>
      <c r="AR229" s="91"/>
      <c r="AS229" s="91"/>
      <c r="AT229" s="91"/>
      <c r="AU229" s="91"/>
      <c r="AV229" s="91"/>
      <c r="AW229" s="91"/>
      <c r="AX229" s="91"/>
      <c r="AY229" s="91"/>
      <c r="AZ229" s="91"/>
      <c r="BA229" s="91"/>
      <c r="BB229" s="91"/>
      <c r="BC229" s="91"/>
      <c r="BD229" s="91"/>
      <c r="BE229" s="91"/>
      <c r="BF229" s="91"/>
      <c r="BG229" s="91"/>
      <c r="BH229" s="91"/>
      <c r="BI229" s="91"/>
    </row>
    <row r="230" spans="1:61" s="44" customFormat="1" ht="14.25" hidden="1">
      <c r="A230" s="959"/>
      <c r="B230" s="484" t="s">
        <v>436</v>
      </c>
      <c r="C230" s="484"/>
      <c r="D230" s="484"/>
      <c r="E230" s="484"/>
      <c r="F230" s="484"/>
      <c r="G230" s="81"/>
      <c r="H230" s="81"/>
      <c r="I230" s="81"/>
      <c r="J230" s="81"/>
      <c r="K230" s="81"/>
      <c r="L230" s="81"/>
      <c r="M230" s="580"/>
      <c r="N230" s="493"/>
      <c r="O230" s="944"/>
      <c r="AJ230" s="91"/>
      <c r="AK230" s="91"/>
      <c r="AL230" s="91"/>
      <c r="AM230" s="91"/>
      <c r="AN230" s="91"/>
      <c r="AO230" s="91"/>
      <c r="AP230" s="91"/>
      <c r="AQ230" s="91"/>
      <c r="AR230" s="91"/>
      <c r="AS230" s="91"/>
      <c r="AT230" s="91"/>
      <c r="AU230" s="91"/>
      <c r="AV230" s="91"/>
      <c r="AW230" s="91"/>
      <c r="AX230" s="91"/>
      <c r="AY230" s="91"/>
      <c r="AZ230" s="91"/>
      <c r="BA230" s="91"/>
      <c r="BB230" s="91"/>
      <c r="BC230" s="91"/>
      <c r="BD230" s="91"/>
      <c r="BE230" s="91"/>
      <c r="BF230" s="91"/>
      <c r="BG230" s="91"/>
      <c r="BH230" s="91"/>
      <c r="BI230" s="91"/>
    </row>
    <row r="231" spans="1:61" s="44" customFormat="1" ht="27" hidden="1" customHeight="1">
      <c r="A231" s="1000" t="s">
        <v>102</v>
      </c>
      <c r="B231" s="57" t="s">
        <v>89</v>
      </c>
      <c r="C231" s="57"/>
      <c r="D231" s="57"/>
      <c r="E231" s="57"/>
      <c r="F231" s="57"/>
      <c r="G231" s="80">
        <f t="shared" ref="G231:L231" si="76">G235+G239</f>
        <v>0</v>
      </c>
      <c r="H231" s="80"/>
      <c r="I231" s="80"/>
      <c r="J231" s="80"/>
      <c r="K231" s="80"/>
      <c r="L231" s="80">
        <f t="shared" si="76"/>
        <v>0</v>
      </c>
      <c r="M231" s="439"/>
      <c r="N231" s="493"/>
      <c r="O231" s="57"/>
      <c r="AJ231" s="91"/>
      <c r="AK231" s="91"/>
      <c r="AL231" s="91"/>
      <c r="AM231" s="91"/>
      <c r="AN231" s="91"/>
      <c r="AO231" s="91"/>
      <c r="AP231" s="91"/>
      <c r="AQ231" s="91"/>
      <c r="AR231" s="91"/>
      <c r="AS231" s="91"/>
      <c r="AT231" s="91"/>
      <c r="AU231" s="91"/>
      <c r="AV231" s="91"/>
      <c r="AW231" s="91"/>
      <c r="AX231" s="91"/>
      <c r="AY231" s="91"/>
      <c r="AZ231" s="91"/>
      <c r="BA231" s="91"/>
      <c r="BB231" s="91"/>
      <c r="BC231" s="91"/>
      <c r="BD231" s="91"/>
      <c r="BE231" s="91"/>
      <c r="BF231" s="91"/>
      <c r="BG231" s="91"/>
      <c r="BH231" s="91"/>
      <c r="BI231" s="91"/>
    </row>
    <row r="232" spans="1:61" ht="24" hidden="1">
      <c r="A232" s="1001"/>
      <c r="B232" s="57" t="s">
        <v>235</v>
      </c>
      <c r="C232" s="57"/>
      <c r="D232" s="57"/>
      <c r="E232" s="57"/>
      <c r="F232" s="57"/>
      <c r="G232" s="80">
        <f t="shared" ref="G232:L232" si="77">G233+G234</f>
        <v>0</v>
      </c>
      <c r="H232" s="80"/>
      <c r="I232" s="80"/>
      <c r="J232" s="80"/>
      <c r="K232" s="80"/>
      <c r="L232" s="80">
        <f t="shared" si="77"/>
        <v>0</v>
      </c>
      <c r="M232" s="439"/>
      <c r="N232" s="493"/>
      <c r="O232" s="57"/>
    </row>
    <row r="233" spans="1:61" hidden="1">
      <c r="A233" s="1001"/>
      <c r="B233" s="57" t="s">
        <v>10</v>
      </c>
      <c r="C233" s="57"/>
      <c r="D233" s="57"/>
      <c r="E233" s="57"/>
      <c r="F233" s="57"/>
      <c r="G233" s="80">
        <f t="shared" ref="G233:L233" si="78">G237</f>
        <v>0</v>
      </c>
      <c r="H233" s="80"/>
      <c r="I233" s="80"/>
      <c r="J233" s="80"/>
      <c r="K233" s="80"/>
      <c r="L233" s="80">
        <f t="shared" si="78"/>
        <v>0</v>
      </c>
      <c r="M233" s="439"/>
      <c r="N233" s="493"/>
      <c r="O233" s="57"/>
    </row>
    <row r="234" spans="1:61" ht="26.25" hidden="1" customHeight="1">
      <c r="A234" s="1002"/>
      <c r="B234" s="57" t="s">
        <v>34</v>
      </c>
      <c r="C234" s="57"/>
      <c r="D234" s="57"/>
      <c r="E234" s="57"/>
      <c r="F234" s="57"/>
      <c r="G234" s="80">
        <f t="shared" ref="G234:L234" si="79">G238+G241</f>
        <v>0</v>
      </c>
      <c r="H234" s="80"/>
      <c r="I234" s="80"/>
      <c r="J234" s="80"/>
      <c r="K234" s="80"/>
      <c r="L234" s="80">
        <f t="shared" si="79"/>
        <v>0</v>
      </c>
      <c r="M234" s="439"/>
      <c r="N234" s="493"/>
      <c r="O234" s="57"/>
    </row>
    <row r="235" spans="1:61" hidden="1">
      <c r="A235" s="943" t="s">
        <v>23</v>
      </c>
      <c r="B235" s="484" t="s">
        <v>89</v>
      </c>
      <c r="C235" s="484">
        <v>176</v>
      </c>
      <c r="D235" s="484" t="s">
        <v>15</v>
      </c>
      <c r="E235" s="484">
        <v>6100404</v>
      </c>
      <c r="F235" s="484">
        <v>414</v>
      </c>
      <c r="G235" s="81">
        <v>0</v>
      </c>
      <c r="H235" s="81"/>
      <c r="I235" s="81"/>
      <c r="J235" s="81"/>
      <c r="K235" s="81"/>
      <c r="L235" s="81"/>
      <c r="M235" s="580"/>
      <c r="N235" s="493"/>
      <c r="O235" s="944" t="s">
        <v>262</v>
      </c>
    </row>
    <row r="236" spans="1:61" ht="24" hidden="1">
      <c r="A236" s="943"/>
      <c r="B236" s="484" t="s">
        <v>235</v>
      </c>
      <c r="C236" s="484"/>
      <c r="D236" s="484"/>
      <c r="E236" s="484"/>
      <c r="F236" s="484"/>
      <c r="G236" s="81">
        <f t="shared" ref="G236:L236" si="80">G237+G238</f>
        <v>0</v>
      </c>
      <c r="H236" s="81"/>
      <c r="I236" s="81"/>
      <c r="J236" s="81"/>
      <c r="K236" s="81"/>
      <c r="L236" s="81">
        <f t="shared" si="80"/>
        <v>0</v>
      </c>
      <c r="M236" s="580"/>
      <c r="N236" s="493"/>
      <c r="O236" s="944"/>
    </row>
    <row r="237" spans="1:61" hidden="1">
      <c r="A237" s="943"/>
      <c r="B237" s="484" t="s">
        <v>10</v>
      </c>
      <c r="C237" s="484"/>
      <c r="D237" s="484"/>
      <c r="E237" s="484"/>
      <c r="F237" s="484"/>
      <c r="G237" s="81"/>
      <c r="H237" s="81"/>
      <c r="I237" s="81"/>
      <c r="J237" s="81"/>
      <c r="K237" s="81"/>
      <c r="L237" s="81"/>
      <c r="M237" s="580"/>
      <c r="N237" s="493"/>
      <c r="O237" s="944"/>
    </row>
    <row r="238" spans="1:61" hidden="1">
      <c r="A238" s="943"/>
      <c r="B238" s="484" t="s">
        <v>34</v>
      </c>
      <c r="C238" s="484"/>
      <c r="D238" s="484"/>
      <c r="E238" s="484"/>
      <c r="F238" s="484"/>
      <c r="G238" s="81"/>
      <c r="H238" s="81"/>
      <c r="I238" s="81"/>
      <c r="J238" s="81"/>
      <c r="K238" s="81"/>
      <c r="L238" s="81"/>
      <c r="M238" s="580"/>
      <c r="N238" s="493"/>
      <c r="O238" s="944"/>
    </row>
    <row r="239" spans="1:61" hidden="1">
      <c r="A239" s="964" t="s">
        <v>301</v>
      </c>
      <c r="B239" s="484" t="s">
        <v>89</v>
      </c>
      <c r="C239" s="484"/>
      <c r="D239" s="484"/>
      <c r="E239" s="484"/>
      <c r="F239" s="484"/>
      <c r="G239" s="81">
        <v>0</v>
      </c>
      <c r="H239" s="81"/>
      <c r="I239" s="81"/>
      <c r="J239" s="81"/>
      <c r="K239" s="81"/>
      <c r="L239" s="81">
        <v>0</v>
      </c>
      <c r="M239" s="580"/>
      <c r="N239" s="493"/>
      <c r="O239" s="944" t="s">
        <v>219</v>
      </c>
    </row>
    <row r="240" spans="1:61" ht="19.5" hidden="1" customHeight="1">
      <c r="A240" s="964"/>
      <c r="B240" s="484" t="s">
        <v>235</v>
      </c>
      <c r="C240" s="484"/>
      <c r="D240" s="484"/>
      <c r="E240" s="484"/>
      <c r="F240" s="484"/>
      <c r="G240" s="81">
        <f t="shared" ref="G240:L240" si="81">G241</f>
        <v>0</v>
      </c>
      <c r="H240" s="81"/>
      <c r="I240" s="81"/>
      <c r="J240" s="81"/>
      <c r="K240" s="81"/>
      <c r="L240" s="81">
        <f t="shared" si="81"/>
        <v>0</v>
      </c>
      <c r="M240" s="580"/>
      <c r="N240" s="493"/>
      <c r="O240" s="944"/>
    </row>
    <row r="241" spans="1:15" ht="29.25" hidden="1" customHeight="1">
      <c r="A241" s="964"/>
      <c r="B241" s="484" t="s">
        <v>34</v>
      </c>
      <c r="C241" s="484"/>
      <c r="D241" s="484"/>
      <c r="E241" s="484"/>
      <c r="F241" s="484"/>
      <c r="G241" s="81">
        <v>0</v>
      </c>
      <c r="H241" s="81"/>
      <c r="I241" s="81"/>
      <c r="J241" s="81"/>
      <c r="K241" s="81"/>
      <c r="L241" s="81">
        <v>0</v>
      </c>
      <c r="M241" s="580"/>
      <c r="N241" s="493"/>
      <c r="O241" s="944"/>
    </row>
    <row r="242" spans="1:15" ht="24.75" customHeight="1">
      <c r="A242" s="945" t="s">
        <v>132</v>
      </c>
      <c r="B242" s="57" t="s">
        <v>89</v>
      </c>
      <c r="C242" s="484"/>
      <c r="D242" s="484"/>
      <c r="E242" s="484"/>
      <c r="F242" s="484"/>
      <c r="G242" s="80">
        <f t="shared" ref="G242:L242" si="82">G246</f>
        <v>0</v>
      </c>
      <c r="H242" s="80"/>
      <c r="I242" s="80"/>
      <c r="J242" s="80"/>
      <c r="K242" s="80"/>
      <c r="L242" s="80">
        <f t="shared" si="82"/>
        <v>0</v>
      </c>
      <c r="M242" s="439"/>
      <c r="N242" s="493"/>
      <c r="O242" s="484"/>
    </row>
    <row r="243" spans="1:15" ht="24">
      <c r="A243" s="945"/>
      <c r="B243" s="57" t="s">
        <v>235</v>
      </c>
      <c r="C243" s="484"/>
      <c r="D243" s="484"/>
      <c r="E243" s="484"/>
      <c r="F243" s="484"/>
      <c r="G243" s="80">
        <f>G247</f>
        <v>17411</v>
      </c>
      <c r="H243" s="80">
        <f t="shared" ref="H243:K243" si="83">H247</f>
        <v>0</v>
      </c>
      <c r="I243" s="80">
        <f t="shared" si="83"/>
        <v>0</v>
      </c>
      <c r="J243" s="80">
        <f t="shared" si="83"/>
        <v>0</v>
      </c>
      <c r="K243" s="80">
        <f t="shared" si="83"/>
        <v>17411</v>
      </c>
      <c r="L243" s="80">
        <f>L244+L245</f>
        <v>7000</v>
      </c>
      <c r="M243" s="439"/>
      <c r="N243" s="493"/>
      <c r="O243" s="484"/>
    </row>
    <row r="244" spans="1:15" ht="30" customHeight="1">
      <c r="A244" s="945"/>
      <c r="B244" s="57" t="s">
        <v>10</v>
      </c>
      <c r="C244" s="484"/>
      <c r="D244" s="484"/>
      <c r="E244" s="484"/>
      <c r="F244" s="484"/>
      <c r="G244" s="80">
        <f>G248</f>
        <v>17411</v>
      </c>
      <c r="H244" s="80">
        <f t="shared" ref="H244:K244" si="84">H248</f>
        <v>0</v>
      </c>
      <c r="I244" s="80">
        <f t="shared" si="84"/>
        <v>0</v>
      </c>
      <c r="J244" s="80">
        <f t="shared" si="84"/>
        <v>0</v>
      </c>
      <c r="K244" s="80">
        <f t="shared" si="84"/>
        <v>17411</v>
      </c>
      <c r="L244" s="80">
        <f>L248</f>
        <v>7000</v>
      </c>
      <c r="M244" s="439"/>
      <c r="N244" s="493"/>
      <c r="O244" s="484"/>
    </row>
    <row r="245" spans="1:15" ht="30" customHeight="1">
      <c r="A245" s="945"/>
      <c r="B245" s="57" t="s">
        <v>436</v>
      </c>
      <c r="C245" s="484"/>
      <c r="D245" s="484"/>
      <c r="E245" s="484"/>
      <c r="F245" s="484"/>
      <c r="G245" s="80">
        <f t="shared" ref="G245" si="85">G249</f>
        <v>0</v>
      </c>
      <c r="H245" s="80"/>
      <c r="I245" s="80"/>
      <c r="J245" s="80"/>
      <c r="K245" s="80"/>
      <c r="L245" s="80"/>
      <c r="M245" s="439"/>
      <c r="N245" s="493"/>
      <c r="O245" s="484"/>
    </row>
    <row r="246" spans="1:15" ht="24" customHeight="1">
      <c r="A246" s="964" t="s">
        <v>541</v>
      </c>
      <c r="B246" s="484" t="s">
        <v>89</v>
      </c>
      <c r="C246" s="484"/>
      <c r="D246" s="484"/>
      <c r="E246" s="484"/>
      <c r="F246" s="484"/>
      <c r="G246" s="81">
        <v>0</v>
      </c>
      <c r="H246" s="81"/>
      <c r="I246" s="81"/>
      <c r="J246" s="81"/>
      <c r="K246" s="81"/>
      <c r="L246" s="81"/>
      <c r="M246" s="580"/>
      <c r="N246" s="493"/>
      <c r="O246" s="944" t="s">
        <v>822</v>
      </c>
    </row>
    <row r="247" spans="1:15" ht="24">
      <c r="A247" s="964"/>
      <c r="B247" s="484" t="s">
        <v>235</v>
      </c>
      <c r="C247" s="484"/>
      <c r="D247" s="484"/>
      <c r="E247" s="484"/>
      <c r="F247" s="484"/>
      <c r="G247" s="81">
        <f>K247</f>
        <v>17411</v>
      </c>
      <c r="H247" s="81"/>
      <c r="I247" s="81"/>
      <c r="J247" s="81"/>
      <c r="K247" s="81">
        <f>K248</f>
        <v>17411</v>
      </c>
      <c r="L247" s="81">
        <f>L248+L249</f>
        <v>7000</v>
      </c>
      <c r="M247" s="580"/>
      <c r="N247" s="493"/>
      <c r="O247" s="944"/>
    </row>
    <row r="248" spans="1:15" ht="29.25" customHeight="1">
      <c r="A248" s="964"/>
      <c r="B248" s="484" t="s">
        <v>10</v>
      </c>
      <c r="C248" s="484"/>
      <c r="D248" s="484"/>
      <c r="E248" s="484"/>
      <c r="F248" s="484"/>
      <c r="G248" s="81">
        <f>K248</f>
        <v>17411</v>
      </c>
      <c r="H248" s="81"/>
      <c r="I248" s="81"/>
      <c r="J248" s="81"/>
      <c r="K248" s="81">
        <v>17411</v>
      </c>
      <c r="L248" s="81">
        <f>10000-3000</f>
        <v>7000</v>
      </c>
      <c r="M248" s="580"/>
      <c r="N248" s="493"/>
      <c r="O248" s="944"/>
    </row>
    <row r="249" spans="1:15" ht="33" customHeight="1">
      <c r="A249" s="964"/>
      <c r="B249" s="484" t="s">
        <v>436</v>
      </c>
      <c r="C249" s="484"/>
      <c r="D249" s="484"/>
      <c r="E249" s="484"/>
      <c r="F249" s="484"/>
      <c r="G249" s="81">
        <v>0</v>
      </c>
      <c r="H249" s="81"/>
      <c r="I249" s="81"/>
      <c r="J249" s="81"/>
      <c r="K249" s="81"/>
      <c r="L249" s="81">
        <v>0</v>
      </c>
      <c r="M249" s="580"/>
      <c r="N249" s="493"/>
      <c r="O249" s="944"/>
    </row>
    <row r="250" spans="1:15" hidden="1">
      <c r="A250" s="957" t="s">
        <v>289</v>
      </c>
      <c r="B250" s="484" t="s">
        <v>89</v>
      </c>
      <c r="C250" s="484"/>
      <c r="D250" s="484"/>
      <c r="E250" s="484"/>
      <c r="F250" s="484"/>
      <c r="G250" s="81"/>
      <c r="H250" s="81"/>
      <c r="I250" s="81"/>
      <c r="J250" s="81"/>
      <c r="K250" s="81"/>
      <c r="L250" s="81"/>
      <c r="M250" s="580"/>
      <c r="N250" s="493"/>
      <c r="O250" s="944" t="s">
        <v>509</v>
      </c>
    </row>
    <row r="251" spans="1:15" ht="24" hidden="1">
      <c r="A251" s="958"/>
      <c r="B251" s="484" t="s">
        <v>235</v>
      </c>
      <c r="C251" s="484"/>
      <c r="D251" s="484"/>
      <c r="E251" s="484"/>
      <c r="F251" s="484"/>
      <c r="G251" s="81"/>
      <c r="H251" s="81"/>
      <c r="I251" s="81"/>
      <c r="J251" s="81"/>
      <c r="K251" s="81"/>
      <c r="L251" s="81"/>
      <c r="M251" s="580"/>
      <c r="N251" s="493"/>
      <c r="O251" s="944"/>
    </row>
    <row r="252" spans="1:15" hidden="1">
      <c r="A252" s="958"/>
      <c r="B252" s="484" t="s">
        <v>10</v>
      </c>
      <c r="C252" s="484"/>
      <c r="D252" s="484"/>
      <c r="E252" s="484"/>
      <c r="F252" s="484"/>
      <c r="G252" s="81"/>
      <c r="H252" s="81"/>
      <c r="I252" s="81"/>
      <c r="J252" s="81"/>
      <c r="K252" s="81"/>
      <c r="L252" s="81"/>
      <c r="M252" s="580"/>
      <c r="N252" s="493"/>
      <c r="O252" s="944"/>
    </row>
    <row r="253" spans="1:15" hidden="1">
      <c r="A253" s="959"/>
      <c r="B253" s="484" t="s">
        <v>436</v>
      </c>
      <c r="C253" s="484"/>
      <c r="D253" s="484"/>
      <c r="E253" s="484"/>
      <c r="F253" s="484"/>
      <c r="G253" s="81"/>
      <c r="H253" s="81"/>
      <c r="I253" s="81"/>
      <c r="J253" s="81"/>
      <c r="K253" s="81"/>
      <c r="L253" s="81"/>
      <c r="M253" s="580"/>
      <c r="N253" s="493"/>
      <c r="O253" s="944"/>
    </row>
    <row r="254" spans="1:15" ht="21" customHeight="1">
      <c r="A254" s="887" t="s">
        <v>159</v>
      </c>
      <c r="B254" s="57" t="s">
        <v>89</v>
      </c>
      <c r="C254" s="484"/>
      <c r="D254" s="484"/>
      <c r="E254" s="484"/>
      <c r="F254" s="484"/>
      <c r="G254" s="80">
        <f t="shared" ref="G254:M254" si="86">G258</f>
        <v>0</v>
      </c>
      <c r="H254" s="80"/>
      <c r="I254" s="80"/>
      <c r="J254" s="80"/>
      <c r="K254" s="80"/>
      <c r="L254" s="80">
        <f t="shared" si="86"/>
        <v>0</v>
      </c>
      <c r="M254" s="439">
        <f t="shared" si="86"/>
        <v>0</v>
      </c>
      <c r="N254" s="493"/>
      <c r="O254" s="484"/>
    </row>
    <row r="255" spans="1:15" ht="23.25" customHeight="1">
      <c r="A255" s="888"/>
      <c r="B255" s="57" t="s">
        <v>235</v>
      </c>
      <c r="C255" s="484"/>
      <c r="D255" s="484"/>
      <c r="E255" s="484"/>
      <c r="F255" s="484"/>
      <c r="G255" s="80">
        <f t="shared" ref="G255:M255" si="87">G256+G257</f>
        <v>450</v>
      </c>
      <c r="H255" s="80">
        <f t="shared" si="87"/>
        <v>0</v>
      </c>
      <c r="I255" s="80">
        <f t="shared" si="87"/>
        <v>0</v>
      </c>
      <c r="J255" s="80">
        <f t="shared" si="87"/>
        <v>0</v>
      </c>
      <c r="K255" s="80">
        <f t="shared" si="87"/>
        <v>450</v>
      </c>
      <c r="L255" s="80">
        <f t="shared" si="87"/>
        <v>50941</v>
      </c>
      <c r="M255" s="439">
        <f t="shared" si="87"/>
        <v>600000</v>
      </c>
      <c r="N255" s="493"/>
      <c r="O255" s="484"/>
    </row>
    <row r="256" spans="1:15" ht="24" customHeight="1">
      <c r="A256" s="888"/>
      <c r="B256" s="57" t="s">
        <v>10</v>
      </c>
      <c r="C256" s="484"/>
      <c r="D256" s="484"/>
      <c r="E256" s="484"/>
      <c r="F256" s="484"/>
      <c r="G256" s="80">
        <f t="shared" ref="G256:M257" si="88">G260</f>
        <v>450</v>
      </c>
      <c r="H256" s="80">
        <f t="shared" si="88"/>
        <v>0</v>
      </c>
      <c r="I256" s="80">
        <f t="shared" si="88"/>
        <v>0</v>
      </c>
      <c r="J256" s="80">
        <f t="shared" si="88"/>
        <v>0</v>
      </c>
      <c r="K256" s="80">
        <f t="shared" si="88"/>
        <v>450</v>
      </c>
      <c r="L256" s="80">
        <f t="shared" si="88"/>
        <v>50941</v>
      </c>
      <c r="M256" s="439">
        <f t="shared" si="88"/>
        <v>600000</v>
      </c>
      <c r="N256" s="493"/>
      <c r="O256" s="484"/>
    </row>
    <row r="257" spans="1:61" ht="27" customHeight="1">
      <c r="A257" s="889"/>
      <c r="B257" s="57" t="s">
        <v>436</v>
      </c>
      <c r="C257" s="484"/>
      <c r="D257" s="484"/>
      <c r="E257" s="484"/>
      <c r="F257" s="484"/>
      <c r="G257" s="80">
        <f t="shared" si="88"/>
        <v>0</v>
      </c>
      <c r="H257" s="80"/>
      <c r="I257" s="80"/>
      <c r="J257" s="80"/>
      <c r="K257" s="80"/>
      <c r="L257" s="80">
        <f t="shared" si="88"/>
        <v>0</v>
      </c>
      <c r="M257" s="439"/>
      <c r="N257" s="493"/>
      <c r="O257" s="484"/>
    </row>
    <row r="258" spans="1:61" ht="21.75" customHeight="1">
      <c r="A258" s="964" t="s">
        <v>239</v>
      </c>
      <c r="B258" s="484" t="s">
        <v>89</v>
      </c>
      <c r="C258" s="484"/>
      <c r="D258" s="484"/>
      <c r="E258" s="484"/>
      <c r="F258" s="484"/>
      <c r="G258" s="81"/>
      <c r="H258" s="81"/>
      <c r="I258" s="81"/>
      <c r="J258" s="81"/>
      <c r="K258" s="81"/>
      <c r="L258" s="81"/>
      <c r="M258" s="580"/>
      <c r="N258" s="493"/>
      <c r="O258" s="944" t="s">
        <v>908</v>
      </c>
    </row>
    <row r="259" spans="1:61" s="44" customFormat="1" ht="26.25" customHeight="1">
      <c r="A259" s="964"/>
      <c r="B259" s="484" t="s">
        <v>235</v>
      </c>
      <c r="C259" s="484"/>
      <c r="D259" s="484"/>
      <c r="E259" s="484"/>
      <c r="F259" s="484"/>
      <c r="G259" s="81">
        <f t="shared" ref="G259:L259" si="89">G260+G261</f>
        <v>450</v>
      </c>
      <c r="H259" s="81"/>
      <c r="I259" s="81"/>
      <c r="J259" s="81"/>
      <c r="K259" s="81">
        <f>K260</f>
        <v>450</v>
      </c>
      <c r="L259" s="81">
        <f t="shared" si="89"/>
        <v>50941</v>
      </c>
      <c r="M259" s="580">
        <f>M260</f>
        <v>600000</v>
      </c>
      <c r="N259" s="493"/>
      <c r="O259" s="944"/>
      <c r="AJ259" s="91"/>
      <c r="AK259" s="91"/>
      <c r="AL259" s="91"/>
      <c r="AM259" s="91"/>
      <c r="AN259" s="91"/>
      <c r="AO259" s="91"/>
      <c r="AP259" s="91"/>
      <c r="AQ259" s="91"/>
      <c r="AR259" s="91"/>
      <c r="AS259" s="91"/>
      <c r="AT259" s="91"/>
      <c r="AU259" s="91"/>
      <c r="AV259" s="91"/>
      <c r="AW259" s="91"/>
      <c r="AX259" s="91"/>
      <c r="AY259" s="91"/>
      <c r="AZ259" s="91"/>
      <c r="BA259" s="91"/>
      <c r="BB259" s="91"/>
      <c r="BC259" s="91"/>
      <c r="BD259" s="91"/>
      <c r="BE259" s="91"/>
      <c r="BF259" s="91"/>
      <c r="BG259" s="91"/>
      <c r="BH259" s="91"/>
      <c r="BI259" s="91"/>
    </row>
    <row r="260" spans="1:61" s="44" customFormat="1" ht="26.25" customHeight="1">
      <c r="A260" s="964"/>
      <c r="B260" s="484" t="s">
        <v>10</v>
      </c>
      <c r="C260" s="484"/>
      <c r="D260" s="484"/>
      <c r="E260" s="484"/>
      <c r="F260" s="484"/>
      <c r="G260" s="81">
        <f>K260</f>
        <v>450</v>
      </c>
      <c r="H260" s="81"/>
      <c r="I260" s="81"/>
      <c r="J260" s="81"/>
      <c r="K260" s="81">
        <v>450</v>
      </c>
      <c r="L260" s="81">
        <f>100941-50000</f>
        <v>50941</v>
      </c>
      <c r="M260" s="580">
        <v>600000</v>
      </c>
      <c r="N260" s="493"/>
      <c r="O260" s="944"/>
      <c r="AJ260" s="91"/>
      <c r="AK260" s="91"/>
      <c r="AL260" s="91"/>
      <c r="AM260" s="91"/>
      <c r="AN260" s="91"/>
      <c r="AO260" s="91"/>
      <c r="AP260" s="91"/>
      <c r="AQ260" s="91"/>
      <c r="AR260" s="91"/>
      <c r="AS260" s="91"/>
      <c r="AT260" s="91"/>
      <c r="AU260" s="91"/>
      <c r="AV260" s="91"/>
      <c r="AW260" s="91"/>
      <c r="AX260" s="91"/>
      <c r="AY260" s="91"/>
      <c r="AZ260" s="91"/>
      <c r="BA260" s="91"/>
      <c r="BB260" s="91"/>
      <c r="BC260" s="91"/>
      <c r="BD260" s="91"/>
      <c r="BE260" s="91"/>
      <c r="BF260" s="91"/>
      <c r="BG260" s="91"/>
      <c r="BH260" s="91"/>
      <c r="BI260" s="91"/>
    </row>
    <row r="261" spans="1:61" s="44" customFormat="1" ht="19.5" customHeight="1">
      <c r="A261" s="964"/>
      <c r="B261" s="484" t="s">
        <v>436</v>
      </c>
      <c r="C261" s="484"/>
      <c r="D261" s="484"/>
      <c r="E261" s="484"/>
      <c r="F261" s="484"/>
      <c r="G261" s="81"/>
      <c r="H261" s="81"/>
      <c r="I261" s="81"/>
      <c r="J261" s="81"/>
      <c r="K261" s="81"/>
      <c r="L261" s="81"/>
      <c r="M261" s="580"/>
      <c r="N261" s="493"/>
      <c r="O261" s="944"/>
      <c r="AJ261" s="91"/>
      <c r="AK261" s="91"/>
      <c r="AL261" s="91"/>
      <c r="AM261" s="91"/>
      <c r="AN261" s="91"/>
      <c r="AO261" s="91"/>
      <c r="AP261" s="91"/>
      <c r="AQ261" s="91"/>
      <c r="AR261" s="91"/>
      <c r="AS261" s="91"/>
      <c r="AT261" s="91"/>
      <c r="AU261" s="91"/>
      <c r="AV261" s="91"/>
      <c r="AW261" s="91"/>
      <c r="AX261" s="91"/>
      <c r="AY261" s="91"/>
      <c r="AZ261" s="91"/>
      <c r="BA261" s="91"/>
      <c r="BB261" s="91"/>
      <c r="BC261" s="91"/>
      <c r="BD261" s="91"/>
      <c r="BE261" s="91"/>
      <c r="BF261" s="91"/>
      <c r="BG261" s="91"/>
      <c r="BH261" s="91"/>
      <c r="BI261" s="91"/>
    </row>
    <row r="262" spans="1:61" s="44" customFormat="1" ht="21.75" customHeight="1">
      <c r="A262" s="1000" t="s">
        <v>103</v>
      </c>
      <c r="B262" s="57" t="s">
        <v>89</v>
      </c>
      <c r="C262" s="57"/>
      <c r="D262" s="57"/>
      <c r="E262" s="57"/>
      <c r="F262" s="57"/>
      <c r="G262" s="80">
        <f t="shared" ref="G262:L262" si="90">G272+G277+G281+G285+G293+G297+G301+G305+G310+G314+G326</f>
        <v>0</v>
      </c>
      <c r="H262" s="80">
        <f t="shared" si="90"/>
        <v>0</v>
      </c>
      <c r="I262" s="80">
        <f t="shared" si="90"/>
        <v>0</v>
      </c>
      <c r="J262" s="80">
        <f t="shared" si="90"/>
        <v>0</v>
      </c>
      <c r="K262" s="80">
        <f t="shared" si="90"/>
        <v>0</v>
      </c>
      <c r="L262" s="80">
        <f t="shared" si="90"/>
        <v>0</v>
      </c>
      <c r="M262" s="439">
        <f>M272+M277+M281+M285+M293+M297+M301+M305+M310+M314+M326+M289</f>
        <v>0</v>
      </c>
      <c r="N262" s="493"/>
      <c r="O262" s="57"/>
      <c r="AJ262" s="91"/>
      <c r="AK262" s="91"/>
      <c r="AL262" s="91"/>
      <c r="AM262" s="91"/>
      <c r="AN262" s="91"/>
      <c r="AO262" s="91"/>
      <c r="AP262" s="91"/>
      <c r="AQ262" s="91"/>
      <c r="AR262" s="91"/>
      <c r="AS262" s="91"/>
      <c r="AT262" s="91"/>
      <c r="AU262" s="91"/>
      <c r="AV262" s="91"/>
      <c r="AW262" s="91"/>
      <c r="AX262" s="91"/>
      <c r="AY262" s="91"/>
      <c r="AZ262" s="91"/>
      <c r="BA262" s="91"/>
      <c r="BB262" s="91"/>
      <c r="BC262" s="91"/>
      <c r="BD262" s="91"/>
      <c r="BE262" s="91"/>
      <c r="BF262" s="91"/>
      <c r="BG262" s="91"/>
      <c r="BH262" s="91"/>
      <c r="BI262" s="91"/>
    </row>
    <row r="263" spans="1:61" ht="32.25" customHeight="1">
      <c r="A263" s="1001"/>
      <c r="B263" s="57" t="s">
        <v>235</v>
      </c>
      <c r="C263" s="57"/>
      <c r="D263" s="57"/>
      <c r="E263" s="57"/>
      <c r="F263" s="57"/>
      <c r="G263" s="80">
        <f>G264+G267+G266</f>
        <v>344776.8</v>
      </c>
      <c r="H263" s="80">
        <f t="shared" ref="H263:K263" si="91">H264+H267+H266</f>
        <v>0</v>
      </c>
      <c r="I263" s="80">
        <f t="shared" si="91"/>
        <v>0</v>
      </c>
      <c r="J263" s="80">
        <f t="shared" si="91"/>
        <v>0</v>
      </c>
      <c r="K263" s="80">
        <f t="shared" si="91"/>
        <v>344776.8</v>
      </c>
      <c r="L263" s="80">
        <f t="shared" ref="L263:M263" si="92">L264+L267</f>
        <v>209728.09999999998</v>
      </c>
      <c r="M263" s="439">
        <f t="shared" si="92"/>
        <v>327000</v>
      </c>
      <c r="N263" s="493"/>
      <c r="O263" s="57"/>
    </row>
    <row r="264" spans="1:61" ht="27" customHeight="1">
      <c r="A264" s="1001"/>
      <c r="B264" s="57" t="s">
        <v>10</v>
      </c>
      <c r="C264" s="57"/>
      <c r="D264" s="57"/>
      <c r="E264" s="57"/>
      <c r="F264" s="57"/>
      <c r="G264" s="80">
        <f>G270+G274+G279+G283+G287+G299+G312+G316+G320+G324+G328</f>
        <v>344776.8</v>
      </c>
      <c r="H264" s="80">
        <f t="shared" ref="H264:M264" si="93">H270+H274+H279+H283+H287+H299+H312+H316+H320+H324+H328</f>
        <v>0</v>
      </c>
      <c r="I264" s="80">
        <f t="shared" si="93"/>
        <v>0</v>
      </c>
      <c r="J264" s="80">
        <f t="shared" si="93"/>
        <v>0</v>
      </c>
      <c r="K264" s="80">
        <f t="shared" si="93"/>
        <v>344776.8</v>
      </c>
      <c r="L264" s="80">
        <f t="shared" si="93"/>
        <v>209728.09999999998</v>
      </c>
      <c r="M264" s="80">
        <f t="shared" si="93"/>
        <v>327000</v>
      </c>
      <c r="N264" s="493"/>
      <c r="O264" s="57"/>
    </row>
    <row r="265" spans="1:61" ht="27" customHeight="1">
      <c r="A265" s="1001"/>
      <c r="B265" s="57" t="s">
        <v>436</v>
      </c>
      <c r="C265" s="57"/>
      <c r="D265" s="57"/>
      <c r="E265" s="57"/>
      <c r="F265" s="57"/>
      <c r="G265" s="80">
        <f>G275+G280+G288+G292+G300+G304+G313+G317+G329</f>
        <v>0</v>
      </c>
      <c r="H265" s="80"/>
      <c r="I265" s="80"/>
      <c r="J265" s="80"/>
      <c r="K265" s="80"/>
      <c r="L265" s="80">
        <f>L275+L280+L288+L292+L300+L304+L313+L317+L329</f>
        <v>0</v>
      </c>
      <c r="M265" s="439"/>
      <c r="N265" s="493"/>
      <c r="O265" s="57"/>
    </row>
    <row r="266" spans="1:61" ht="27" hidden="1" customHeight="1">
      <c r="A266" s="1001"/>
      <c r="B266" s="57" t="s">
        <v>455</v>
      </c>
      <c r="C266" s="57"/>
      <c r="D266" s="57"/>
      <c r="E266" s="57"/>
      <c r="F266" s="57"/>
      <c r="G266" s="80">
        <f>G307</f>
        <v>0</v>
      </c>
      <c r="H266" s="80">
        <f t="shared" ref="H266:K266" si="94">H307</f>
        <v>0</v>
      </c>
      <c r="I266" s="80">
        <f t="shared" si="94"/>
        <v>0</v>
      </c>
      <c r="J266" s="80">
        <f t="shared" si="94"/>
        <v>0</v>
      </c>
      <c r="K266" s="80">
        <f t="shared" si="94"/>
        <v>0</v>
      </c>
      <c r="L266" s="80"/>
      <c r="M266" s="439"/>
      <c r="N266" s="493"/>
      <c r="O266" s="57"/>
    </row>
    <row r="267" spans="1:61" ht="27" hidden="1" customHeight="1">
      <c r="A267" s="1002"/>
      <c r="B267" s="57" t="s">
        <v>436</v>
      </c>
      <c r="C267" s="57"/>
      <c r="D267" s="57"/>
      <c r="E267" s="57"/>
      <c r="F267" s="57"/>
      <c r="G267" s="80">
        <f>G271+G276</f>
        <v>0</v>
      </c>
      <c r="H267" s="80">
        <f>H271+H276</f>
        <v>0</v>
      </c>
      <c r="I267" s="80">
        <f>I271+I276</f>
        <v>0</v>
      </c>
      <c r="J267" s="80">
        <f>J271+J276</f>
        <v>0</v>
      </c>
      <c r="K267" s="80">
        <f>K271+K276</f>
        <v>0</v>
      </c>
      <c r="L267" s="80">
        <f>L271+L276+L296</f>
        <v>0</v>
      </c>
      <c r="M267" s="439">
        <f>M271+M276+M296</f>
        <v>0</v>
      </c>
      <c r="N267" s="493"/>
      <c r="O267" s="57"/>
    </row>
    <row r="268" spans="1:61" ht="27" customHeight="1">
      <c r="A268" s="926" t="s">
        <v>482</v>
      </c>
      <c r="B268" s="484" t="s">
        <v>89</v>
      </c>
      <c r="C268" s="484">
        <v>176</v>
      </c>
      <c r="D268" s="484" t="s">
        <v>15</v>
      </c>
      <c r="E268" s="484">
        <v>6100404</v>
      </c>
      <c r="F268" s="484">
        <v>414</v>
      </c>
      <c r="G268" s="81">
        <v>0</v>
      </c>
      <c r="H268" s="81"/>
      <c r="I268" s="81"/>
      <c r="J268" s="81"/>
      <c r="K268" s="81"/>
      <c r="L268" s="81"/>
      <c r="M268" s="580"/>
      <c r="N268" s="493"/>
      <c r="O268" s="944" t="s">
        <v>822</v>
      </c>
      <c r="P268" s="47"/>
      <c r="V268" s="43">
        <v>24.7</v>
      </c>
    </row>
    <row r="269" spans="1:61" ht="27" customHeight="1">
      <c r="A269" s="927"/>
      <c r="B269" s="484" t="s">
        <v>235</v>
      </c>
      <c r="C269" s="484"/>
      <c r="D269" s="484"/>
      <c r="E269" s="484"/>
      <c r="F269" s="484"/>
      <c r="G269" s="81">
        <f>G270+G271</f>
        <v>76393.7</v>
      </c>
      <c r="H269" s="81">
        <f t="shared" ref="H269:M269" si="95">H270+H271</f>
        <v>0</v>
      </c>
      <c r="I269" s="81">
        <f t="shared" si="95"/>
        <v>0</v>
      </c>
      <c r="J269" s="81">
        <f t="shared" si="95"/>
        <v>0</v>
      </c>
      <c r="K269" s="81">
        <f t="shared" si="95"/>
        <v>76393.7</v>
      </c>
      <c r="L269" s="81">
        <f t="shared" si="95"/>
        <v>39270.400000000001</v>
      </c>
      <c r="M269" s="580">
        <f t="shared" si="95"/>
        <v>60000</v>
      </c>
      <c r="N269" s="493"/>
      <c r="O269" s="944"/>
      <c r="P269" s="98"/>
    </row>
    <row r="270" spans="1:61" ht="27" customHeight="1">
      <c r="A270" s="927"/>
      <c r="B270" s="484" t="s">
        <v>10</v>
      </c>
      <c r="C270" s="484"/>
      <c r="D270" s="484"/>
      <c r="E270" s="484"/>
      <c r="F270" s="484"/>
      <c r="G270" s="81">
        <f>I270+J270+K270</f>
        <v>76393.7</v>
      </c>
      <c r="H270" s="81"/>
      <c r="I270" s="81"/>
      <c r="J270" s="81"/>
      <c r="K270" s="81">
        <v>76393.7</v>
      </c>
      <c r="L270" s="81">
        <f>10770.4+28500</f>
        <v>39270.400000000001</v>
      </c>
      <c r="M270" s="580">
        <v>60000</v>
      </c>
      <c r="N270" s="493"/>
      <c r="O270" s="944"/>
    </row>
    <row r="271" spans="1:61" ht="27" customHeight="1">
      <c r="A271" s="928"/>
      <c r="B271" s="484" t="s">
        <v>436</v>
      </c>
      <c r="C271" s="484"/>
      <c r="D271" s="484"/>
      <c r="E271" s="484"/>
      <c r="F271" s="484"/>
      <c r="G271" s="81">
        <f>K271</f>
        <v>0</v>
      </c>
      <c r="H271" s="81"/>
      <c r="I271" s="81"/>
      <c r="J271" s="81"/>
      <c r="K271" s="81"/>
      <c r="L271" s="81"/>
      <c r="M271" s="580"/>
      <c r="N271" s="493"/>
      <c r="O271" s="944"/>
    </row>
    <row r="272" spans="1:61" ht="27" customHeight="1">
      <c r="A272" s="1006" t="s">
        <v>303</v>
      </c>
      <c r="B272" s="484" t="s">
        <v>89</v>
      </c>
      <c r="C272" s="484">
        <v>176</v>
      </c>
      <c r="D272" s="484" t="s">
        <v>15</v>
      </c>
      <c r="E272" s="484">
        <v>6100404</v>
      </c>
      <c r="F272" s="484">
        <v>414</v>
      </c>
      <c r="G272" s="81"/>
      <c r="H272" s="81"/>
      <c r="I272" s="81"/>
      <c r="J272" s="81"/>
      <c r="K272" s="81"/>
      <c r="L272" s="81"/>
      <c r="M272" s="580">
        <v>0</v>
      </c>
      <c r="N272" s="493"/>
      <c r="O272" s="944" t="s">
        <v>822</v>
      </c>
    </row>
    <row r="273" spans="1:29" ht="26.25" customHeight="1">
      <c r="A273" s="1006"/>
      <c r="B273" s="484" t="s">
        <v>235</v>
      </c>
      <c r="C273" s="484"/>
      <c r="D273" s="484"/>
      <c r="E273" s="484"/>
      <c r="F273" s="484"/>
      <c r="G273" s="81">
        <f>G274+G276+G275</f>
        <v>89466.6</v>
      </c>
      <c r="H273" s="81">
        <f>H274+H276+H275</f>
        <v>0</v>
      </c>
      <c r="I273" s="81">
        <f>I274+I276+I275</f>
        <v>0</v>
      </c>
      <c r="J273" s="81">
        <f>J274+J276+J275</f>
        <v>0</v>
      </c>
      <c r="K273" s="81">
        <f>K274+K276+K275</f>
        <v>89466.6</v>
      </c>
      <c r="L273" s="81">
        <f>L274+L276</f>
        <v>11156.8</v>
      </c>
      <c r="M273" s="580">
        <f>M274+M276</f>
        <v>65000</v>
      </c>
      <c r="N273" s="493"/>
      <c r="O273" s="944"/>
      <c r="P273" s="98"/>
    </row>
    <row r="274" spans="1:29" ht="21.75" customHeight="1">
      <c r="A274" s="1006"/>
      <c r="B274" s="484" t="s">
        <v>10</v>
      </c>
      <c r="C274" s="484"/>
      <c r="D274" s="484"/>
      <c r="E274" s="484"/>
      <c r="F274" s="484"/>
      <c r="G274" s="81">
        <f>J274+K274</f>
        <v>89466.6</v>
      </c>
      <c r="H274" s="81"/>
      <c r="I274" s="81"/>
      <c r="J274" s="81"/>
      <c r="K274" s="81">
        <v>89466.6</v>
      </c>
      <c r="L274" s="81">
        <f>6365+4791.8</f>
        <v>11156.8</v>
      </c>
      <c r="M274" s="580">
        <v>65000</v>
      </c>
      <c r="N274" s="493"/>
      <c r="O274" s="944"/>
    </row>
    <row r="275" spans="1:29" ht="23.25" hidden="1" customHeight="1">
      <c r="A275" s="1006"/>
      <c r="B275" s="484" t="s">
        <v>436</v>
      </c>
      <c r="C275" s="484"/>
      <c r="D275" s="484"/>
      <c r="E275" s="484"/>
      <c r="F275" s="484"/>
      <c r="G275" s="81">
        <v>0</v>
      </c>
      <c r="H275" s="81"/>
      <c r="I275" s="81"/>
      <c r="J275" s="81"/>
      <c r="K275" s="81"/>
      <c r="L275" s="81"/>
      <c r="M275" s="594"/>
      <c r="N275" s="493"/>
      <c r="O275" s="944"/>
    </row>
    <row r="276" spans="1:29" ht="22.5" customHeight="1">
      <c r="A276" s="1006"/>
      <c r="B276" s="484" t="s">
        <v>436</v>
      </c>
      <c r="C276" s="484"/>
      <c r="D276" s="484"/>
      <c r="E276" s="484"/>
      <c r="F276" s="484"/>
      <c r="G276" s="81">
        <f>K276</f>
        <v>0</v>
      </c>
      <c r="H276" s="81"/>
      <c r="I276" s="81"/>
      <c r="J276" s="81"/>
      <c r="K276" s="81"/>
      <c r="L276" s="81"/>
      <c r="M276" s="595"/>
      <c r="N276" s="493"/>
      <c r="O276" s="944"/>
      <c r="Q276" s="47"/>
    </row>
    <row r="277" spans="1:29" ht="24.75" customHeight="1">
      <c r="A277" s="1004" t="s">
        <v>825</v>
      </c>
      <c r="B277" s="484" t="s">
        <v>89</v>
      </c>
      <c r="C277" s="484">
        <v>176</v>
      </c>
      <c r="D277" s="484" t="s">
        <v>15</v>
      </c>
      <c r="E277" s="484">
        <v>6100404</v>
      </c>
      <c r="F277" s="484">
        <v>414</v>
      </c>
      <c r="G277" s="81"/>
      <c r="H277" s="81"/>
      <c r="I277" s="81"/>
      <c r="J277" s="81"/>
      <c r="K277" s="81"/>
      <c r="L277" s="81"/>
      <c r="M277" s="580"/>
      <c r="N277" s="493"/>
      <c r="O277" s="944" t="s">
        <v>886</v>
      </c>
    </row>
    <row r="278" spans="1:29" ht="24">
      <c r="A278" s="1004"/>
      <c r="B278" s="484" t="s">
        <v>235</v>
      </c>
      <c r="C278" s="484"/>
      <c r="D278" s="484"/>
      <c r="E278" s="484"/>
      <c r="F278" s="484"/>
      <c r="G278" s="81">
        <f t="shared" ref="G278:M278" si="96">G279+G280</f>
        <v>400</v>
      </c>
      <c r="H278" s="81"/>
      <c r="I278" s="81"/>
      <c r="J278" s="81"/>
      <c r="K278" s="81">
        <f>K279</f>
        <v>400</v>
      </c>
      <c r="L278" s="81">
        <f t="shared" si="96"/>
        <v>10000</v>
      </c>
      <c r="M278" s="580">
        <f t="shared" si="96"/>
        <v>0</v>
      </c>
      <c r="N278" s="493"/>
      <c r="O278" s="944"/>
    </row>
    <row r="279" spans="1:29" ht="23.25" customHeight="1">
      <c r="A279" s="1004"/>
      <c r="B279" s="484" t="s">
        <v>10</v>
      </c>
      <c r="C279" s="484"/>
      <c r="D279" s="484"/>
      <c r="E279" s="484"/>
      <c r="F279" s="484"/>
      <c r="G279" s="81">
        <f>K279</f>
        <v>400</v>
      </c>
      <c r="H279" s="81"/>
      <c r="I279" s="81"/>
      <c r="J279" s="81"/>
      <c r="K279" s="81">
        <v>400</v>
      </c>
      <c r="L279" s="81">
        <v>10000</v>
      </c>
      <c r="M279" s="580"/>
      <c r="N279" s="493"/>
      <c r="O279" s="944"/>
    </row>
    <row r="280" spans="1:29" ht="21" customHeight="1">
      <c r="A280" s="1004"/>
      <c r="B280" s="484" t="s">
        <v>436</v>
      </c>
      <c r="C280" s="484"/>
      <c r="D280" s="484"/>
      <c r="E280" s="484"/>
      <c r="F280" s="484"/>
      <c r="G280" s="81"/>
      <c r="H280" s="81"/>
      <c r="I280" s="81"/>
      <c r="J280" s="81"/>
      <c r="K280" s="81"/>
      <c r="L280" s="81"/>
      <c r="M280" s="580"/>
      <c r="N280" s="493"/>
      <c r="O280" s="944"/>
    </row>
    <row r="281" spans="1:29" ht="20.25" customHeight="1">
      <c r="A281" s="1005" t="s">
        <v>827</v>
      </c>
      <c r="B281" s="484" t="s">
        <v>89</v>
      </c>
      <c r="C281" s="484">
        <v>176</v>
      </c>
      <c r="D281" s="484" t="s">
        <v>15</v>
      </c>
      <c r="E281" s="484">
        <v>6100404</v>
      </c>
      <c r="F281" s="484">
        <v>414</v>
      </c>
      <c r="G281" s="81">
        <f>K281</f>
        <v>0</v>
      </c>
      <c r="H281" s="81"/>
      <c r="I281" s="81"/>
      <c r="J281" s="81"/>
      <c r="K281" s="81"/>
      <c r="L281" s="81"/>
      <c r="M281" s="580"/>
      <c r="N281" s="493"/>
      <c r="O281" s="944" t="s">
        <v>822</v>
      </c>
      <c r="AC281" s="43" t="s">
        <v>876</v>
      </c>
    </row>
    <row r="282" spans="1:29" ht="24">
      <c r="A282" s="1005"/>
      <c r="B282" s="484" t="s">
        <v>235</v>
      </c>
      <c r="C282" s="484"/>
      <c r="D282" s="484"/>
      <c r="E282" s="484"/>
      <c r="F282" s="484"/>
      <c r="G282" s="81">
        <f>G283+G284</f>
        <v>15000</v>
      </c>
      <c r="H282" s="81">
        <f t="shared" ref="H282:K282" si="97">H283+H284</f>
        <v>0</v>
      </c>
      <c r="I282" s="81">
        <f t="shared" si="97"/>
        <v>0</v>
      </c>
      <c r="J282" s="81">
        <f t="shared" si="97"/>
        <v>0</v>
      </c>
      <c r="K282" s="81">
        <f t="shared" si="97"/>
        <v>15000</v>
      </c>
      <c r="L282" s="81">
        <f>L283+L284</f>
        <v>11433.099999999999</v>
      </c>
      <c r="M282" s="580">
        <f>M283</f>
        <v>80000</v>
      </c>
      <c r="N282" s="493"/>
      <c r="O282" s="944"/>
    </row>
    <row r="283" spans="1:29" ht="22.5" customHeight="1">
      <c r="A283" s="1005"/>
      <c r="B283" s="484" t="s">
        <v>10</v>
      </c>
      <c r="C283" s="484"/>
      <c r="D283" s="484"/>
      <c r="E283" s="484"/>
      <c r="F283" s="484"/>
      <c r="G283" s="81">
        <f>I283+J283+K283</f>
        <v>15000</v>
      </c>
      <c r="H283" s="81"/>
      <c r="I283" s="81"/>
      <c r="J283" s="81"/>
      <c r="K283" s="81">
        <v>15000</v>
      </c>
      <c r="L283" s="81">
        <f>34000-22566.9</f>
        <v>11433.099999999999</v>
      </c>
      <c r="M283" s="580">
        <v>80000</v>
      </c>
      <c r="N283" s="493"/>
      <c r="O283" s="944"/>
    </row>
    <row r="284" spans="1:29" ht="24.75" customHeight="1">
      <c r="A284" s="1005"/>
      <c r="B284" s="484" t="s">
        <v>436</v>
      </c>
      <c r="C284" s="484"/>
      <c r="D284" s="484"/>
      <c r="E284" s="484"/>
      <c r="F284" s="484"/>
      <c r="G284" s="81"/>
      <c r="H284" s="81"/>
      <c r="I284" s="81"/>
      <c r="J284" s="81"/>
      <c r="K284" s="81"/>
      <c r="L284" s="81">
        <v>0</v>
      </c>
      <c r="M284" s="580"/>
      <c r="N284" s="493"/>
      <c r="O284" s="944"/>
    </row>
    <row r="285" spans="1:29" ht="20.25" customHeight="1">
      <c r="A285" s="932" t="s">
        <v>524</v>
      </c>
      <c r="B285" s="484" t="s">
        <v>89</v>
      </c>
      <c r="C285" s="484"/>
      <c r="D285" s="484"/>
      <c r="E285" s="484"/>
      <c r="F285" s="484"/>
      <c r="G285" s="81">
        <f>K285</f>
        <v>0</v>
      </c>
      <c r="H285" s="81"/>
      <c r="I285" s="81"/>
      <c r="J285" s="81"/>
      <c r="K285" s="81"/>
      <c r="L285" s="81"/>
      <c r="M285" s="580"/>
      <c r="N285" s="493"/>
      <c r="O285" s="944" t="s">
        <v>822</v>
      </c>
    </row>
    <row r="286" spans="1:29" ht="24">
      <c r="A286" s="932"/>
      <c r="B286" s="484" t="s">
        <v>235</v>
      </c>
      <c r="C286" s="484"/>
      <c r="D286" s="484"/>
      <c r="E286" s="484"/>
      <c r="F286" s="484"/>
      <c r="G286" s="81">
        <f t="shared" ref="G286:G288" si="98">K286</f>
        <v>7674.8</v>
      </c>
      <c r="H286" s="81"/>
      <c r="I286" s="81"/>
      <c r="J286" s="81"/>
      <c r="K286" s="81">
        <f>K287</f>
        <v>7674.8</v>
      </c>
      <c r="L286" s="81">
        <f>L288</f>
        <v>0</v>
      </c>
      <c r="M286" s="580">
        <f>M288</f>
        <v>0</v>
      </c>
      <c r="N286" s="493"/>
      <c r="O286" s="944"/>
    </row>
    <row r="287" spans="1:29" ht="24.75" customHeight="1">
      <c r="A287" s="932"/>
      <c r="B287" s="484" t="s">
        <v>10</v>
      </c>
      <c r="C287" s="484"/>
      <c r="D287" s="484"/>
      <c r="E287" s="484"/>
      <c r="F287" s="484"/>
      <c r="G287" s="81">
        <f t="shared" si="98"/>
        <v>7674.8</v>
      </c>
      <c r="H287" s="81"/>
      <c r="I287" s="81"/>
      <c r="J287" s="81"/>
      <c r="K287" s="81">
        <v>7674.8</v>
      </c>
      <c r="L287" s="81"/>
      <c r="M287" s="580"/>
      <c r="N287" s="493"/>
      <c r="O287" s="944"/>
    </row>
    <row r="288" spans="1:29" ht="26.25" customHeight="1">
      <c r="A288" s="932"/>
      <c r="B288" s="484" t="s">
        <v>436</v>
      </c>
      <c r="C288" s="484"/>
      <c r="D288" s="484"/>
      <c r="E288" s="484"/>
      <c r="F288" s="484"/>
      <c r="G288" s="81">
        <f t="shared" si="98"/>
        <v>0</v>
      </c>
      <c r="H288" s="81"/>
      <c r="I288" s="81"/>
      <c r="J288" s="81"/>
      <c r="K288" s="81"/>
      <c r="L288" s="81"/>
      <c r="M288" s="580"/>
      <c r="N288" s="493"/>
      <c r="O288" s="944"/>
    </row>
    <row r="289" spans="1:29" ht="24" hidden="1" customHeight="1">
      <c r="A289" s="1056"/>
      <c r="B289" s="484" t="s">
        <v>89</v>
      </c>
      <c r="C289" s="484"/>
      <c r="D289" s="484"/>
      <c r="E289" s="484"/>
      <c r="F289" s="484"/>
      <c r="G289" s="81"/>
      <c r="H289" s="81"/>
      <c r="I289" s="81"/>
      <c r="J289" s="81"/>
      <c r="K289" s="81"/>
      <c r="L289" s="81"/>
      <c r="M289" s="579"/>
      <c r="N289" s="493"/>
      <c r="O289" s="944" t="s">
        <v>322</v>
      </c>
    </row>
    <row r="290" spans="1:29" ht="24" hidden="1">
      <c r="A290" s="1056"/>
      <c r="B290" s="484" t="s">
        <v>235</v>
      </c>
      <c r="C290" s="484"/>
      <c r="D290" s="484"/>
      <c r="E290" s="484"/>
      <c r="F290" s="484"/>
      <c r="G290" s="81"/>
      <c r="H290" s="81"/>
      <c r="I290" s="81"/>
      <c r="J290" s="81"/>
      <c r="K290" s="81"/>
      <c r="L290" s="81">
        <f>L292+L291</f>
        <v>0</v>
      </c>
      <c r="M290" s="580"/>
      <c r="N290" s="493"/>
      <c r="O290" s="944"/>
    </row>
    <row r="291" spans="1:29" ht="22.5" hidden="1" customHeight="1">
      <c r="A291" s="1056"/>
      <c r="B291" s="484" t="s">
        <v>10</v>
      </c>
      <c r="C291" s="484"/>
      <c r="D291" s="484"/>
      <c r="E291" s="484"/>
      <c r="F291" s="484"/>
      <c r="G291" s="81"/>
      <c r="H291" s="81"/>
      <c r="I291" s="81"/>
      <c r="J291" s="81"/>
      <c r="K291" s="81"/>
      <c r="L291" s="81">
        <v>0</v>
      </c>
      <c r="M291" s="580"/>
      <c r="N291" s="493"/>
      <c r="O291" s="944"/>
    </row>
    <row r="292" spans="1:29" ht="25.5" hidden="1" customHeight="1">
      <c r="A292" s="1056"/>
      <c r="B292" s="484" t="s">
        <v>436</v>
      </c>
      <c r="C292" s="484"/>
      <c r="D292" s="484"/>
      <c r="E292" s="484"/>
      <c r="F292" s="484"/>
      <c r="G292" s="81"/>
      <c r="H292" s="81"/>
      <c r="I292" s="81"/>
      <c r="J292" s="81"/>
      <c r="K292" s="81"/>
      <c r="L292" s="81">
        <v>0</v>
      </c>
      <c r="M292" s="580"/>
      <c r="N292" s="493"/>
      <c r="O292" s="944"/>
    </row>
    <row r="293" spans="1:29" ht="25.5" hidden="1" customHeight="1">
      <c r="A293" s="926" t="s">
        <v>524</v>
      </c>
      <c r="B293" s="484" t="s">
        <v>89</v>
      </c>
      <c r="C293" s="484"/>
      <c r="D293" s="484"/>
      <c r="E293" s="484"/>
      <c r="F293" s="484"/>
      <c r="G293" s="81"/>
      <c r="H293" s="81"/>
      <c r="I293" s="81"/>
      <c r="J293" s="81"/>
      <c r="K293" s="81"/>
      <c r="L293" s="92"/>
      <c r="M293" s="580"/>
      <c r="N293" s="493"/>
      <c r="O293" s="944" t="s">
        <v>822</v>
      </c>
    </row>
    <row r="294" spans="1:29" ht="24" hidden="1">
      <c r="A294" s="927"/>
      <c r="B294" s="484" t="s">
        <v>235</v>
      </c>
      <c r="C294" s="484"/>
      <c r="D294" s="484"/>
      <c r="E294" s="484"/>
      <c r="F294" s="484"/>
      <c r="G294" s="81">
        <f>K294</f>
        <v>0</v>
      </c>
      <c r="H294" s="81"/>
      <c r="I294" s="81"/>
      <c r="J294" s="81"/>
      <c r="K294" s="81">
        <f>K295</f>
        <v>0</v>
      </c>
      <c r="L294" s="81">
        <f>L295</f>
        <v>0</v>
      </c>
      <c r="M294" s="580">
        <f>M295+M296</f>
        <v>0</v>
      </c>
      <c r="N294" s="493"/>
      <c r="O294" s="944"/>
    </row>
    <row r="295" spans="1:29" ht="23.25" hidden="1" customHeight="1">
      <c r="A295" s="927"/>
      <c r="B295" s="484" t="s">
        <v>10</v>
      </c>
      <c r="C295" s="484"/>
      <c r="D295" s="484"/>
      <c r="E295" s="484"/>
      <c r="F295" s="484"/>
      <c r="G295" s="81">
        <f>K295</f>
        <v>0</v>
      </c>
      <c r="H295" s="81"/>
      <c r="I295" s="81"/>
      <c r="J295" s="81"/>
      <c r="K295" s="81"/>
      <c r="L295" s="81"/>
      <c r="M295" s="580"/>
      <c r="N295" s="493"/>
      <c r="O295" s="944"/>
    </row>
    <row r="296" spans="1:29" ht="27.75" hidden="1" customHeight="1">
      <c r="A296" s="928"/>
      <c r="B296" s="484" t="s">
        <v>436</v>
      </c>
      <c r="C296" s="484"/>
      <c r="D296" s="484"/>
      <c r="E296" s="484"/>
      <c r="F296" s="484"/>
      <c r="G296" s="81"/>
      <c r="H296" s="81"/>
      <c r="I296" s="81"/>
      <c r="J296" s="81"/>
      <c r="K296" s="81"/>
      <c r="L296" s="81"/>
      <c r="M296" s="580"/>
      <c r="N296" s="493"/>
      <c r="O296" s="944"/>
    </row>
    <row r="297" spans="1:29" ht="25.5" customHeight="1">
      <c r="A297" s="926" t="s">
        <v>829</v>
      </c>
      <c r="B297" s="484" t="s">
        <v>89</v>
      </c>
      <c r="C297" s="484">
        <v>176</v>
      </c>
      <c r="D297" s="484" t="s">
        <v>15</v>
      </c>
      <c r="E297" s="484">
        <v>6100404</v>
      </c>
      <c r="F297" s="484">
        <v>414</v>
      </c>
      <c r="G297" s="81">
        <f>K297</f>
        <v>0</v>
      </c>
      <c r="H297" s="81"/>
      <c r="I297" s="81"/>
      <c r="J297" s="81"/>
      <c r="K297" s="81"/>
      <c r="L297" s="81"/>
      <c r="M297" s="580"/>
      <c r="N297" s="493"/>
      <c r="O297" s="944" t="s">
        <v>880</v>
      </c>
    </row>
    <row r="298" spans="1:29" ht="30">
      <c r="A298" s="927"/>
      <c r="B298" s="484" t="s">
        <v>235</v>
      </c>
      <c r="C298" s="484"/>
      <c r="D298" s="484"/>
      <c r="E298" s="484"/>
      <c r="F298" s="484"/>
      <c r="G298" s="81">
        <f t="shared" ref="G298:G300" si="99">K298</f>
        <v>69713.5</v>
      </c>
      <c r="H298" s="81"/>
      <c r="I298" s="81"/>
      <c r="J298" s="81">
        <f>J299</f>
        <v>0</v>
      </c>
      <c r="K298" s="81">
        <f>K299</f>
        <v>69713.5</v>
      </c>
      <c r="L298" s="81">
        <f t="shared" ref="L298:M298" si="100">L299+L300</f>
        <v>114177.8</v>
      </c>
      <c r="M298" s="580">
        <f t="shared" si="100"/>
        <v>100000</v>
      </c>
      <c r="N298" s="493"/>
      <c r="O298" s="944"/>
      <c r="AC298" s="43" t="s">
        <v>881</v>
      </c>
    </row>
    <row r="299" spans="1:29" ht="26.25" customHeight="1">
      <c r="A299" s="927"/>
      <c r="B299" s="484" t="s">
        <v>10</v>
      </c>
      <c r="C299" s="484"/>
      <c r="D299" s="484"/>
      <c r="E299" s="484"/>
      <c r="F299" s="484"/>
      <c r="G299" s="81">
        <f t="shared" si="99"/>
        <v>69713.5</v>
      </c>
      <c r="H299" s="81"/>
      <c r="I299" s="81"/>
      <c r="J299" s="81"/>
      <c r="K299" s="81">
        <v>69713.5</v>
      </c>
      <c r="L299" s="81">
        <v>114177.8</v>
      </c>
      <c r="M299" s="580">
        <v>100000</v>
      </c>
      <c r="N299" s="493"/>
      <c r="O299" s="944"/>
    </row>
    <row r="300" spans="1:29" ht="25.5" customHeight="1">
      <c r="A300" s="928"/>
      <c r="B300" s="484" t="s">
        <v>436</v>
      </c>
      <c r="C300" s="484"/>
      <c r="D300" s="484"/>
      <c r="E300" s="484"/>
      <c r="F300" s="484"/>
      <c r="G300" s="81">
        <f t="shared" si="99"/>
        <v>0</v>
      </c>
      <c r="H300" s="81"/>
      <c r="I300" s="81"/>
      <c r="J300" s="81"/>
      <c r="K300" s="81"/>
      <c r="L300" s="81"/>
      <c r="M300" s="580"/>
      <c r="N300" s="493"/>
      <c r="O300" s="944"/>
    </row>
    <row r="301" spans="1:29" hidden="1">
      <c r="A301" s="1047" t="s">
        <v>321</v>
      </c>
      <c r="B301" s="484" t="s">
        <v>89</v>
      </c>
      <c r="C301" s="484">
        <v>176</v>
      </c>
      <c r="D301" s="484" t="s">
        <v>15</v>
      </c>
      <c r="E301" s="484">
        <v>6100404</v>
      </c>
      <c r="F301" s="484">
        <v>414</v>
      </c>
      <c r="G301" s="81">
        <v>0</v>
      </c>
      <c r="H301" s="81"/>
      <c r="I301" s="81"/>
      <c r="J301" s="81"/>
      <c r="K301" s="81"/>
      <c r="L301" s="81"/>
      <c r="M301" s="579"/>
      <c r="N301" s="493"/>
      <c r="O301" s="944" t="s">
        <v>432</v>
      </c>
    </row>
    <row r="302" spans="1:29" ht="24" hidden="1">
      <c r="A302" s="1047"/>
      <c r="B302" s="484" t="s">
        <v>235</v>
      </c>
      <c r="C302" s="484"/>
      <c r="D302" s="484"/>
      <c r="E302" s="484"/>
      <c r="F302" s="484"/>
      <c r="G302" s="81">
        <f t="shared" ref="G302:M302" si="101">G303+G304</f>
        <v>0</v>
      </c>
      <c r="H302" s="81"/>
      <c r="I302" s="81"/>
      <c r="J302" s="81"/>
      <c r="K302" s="81"/>
      <c r="L302" s="81">
        <f t="shared" si="101"/>
        <v>0</v>
      </c>
      <c r="M302" s="580">
        <f t="shared" si="101"/>
        <v>0</v>
      </c>
      <c r="N302" s="493"/>
      <c r="O302" s="944"/>
      <c r="S302" s="45"/>
    </row>
    <row r="303" spans="1:29" hidden="1">
      <c r="A303" s="1047"/>
      <c r="B303" s="484" t="s">
        <v>10</v>
      </c>
      <c r="C303" s="484"/>
      <c r="D303" s="484"/>
      <c r="E303" s="484"/>
      <c r="F303" s="484"/>
      <c r="G303" s="81"/>
      <c r="H303" s="81"/>
      <c r="I303" s="81"/>
      <c r="J303" s="81"/>
      <c r="K303" s="81"/>
      <c r="L303" s="81"/>
      <c r="M303" s="580">
        <f>300000-300000</f>
        <v>0</v>
      </c>
      <c r="N303" s="493"/>
      <c r="O303" s="944"/>
      <c r="P303" s="45"/>
    </row>
    <row r="304" spans="1:29" hidden="1">
      <c r="A304" s="1047"/>
      <c r="B304" s="484" t="s">
        <v>34</v>
      </c>
      <c r="C304" s="484"/>
      <c r="D304" s="484"/>
      <c r="E304" s="484"/>
      <c r="F304" s="484"/>
      <c r="G304" s="81"/>
      <c r="H304" s="81"/>
      <c r="I304" s="81"/>
      <c r="J304" s="81"/>
      <c r="K304" s="81"/>
      <c r="L304" s="81"/>
      <c r="M304" s="580"/>
      <c r="N304" s="493"/>
      <c r="O304" s="944"/>
    </row>
    <row r="305" spans="1:61" hidden="1">
      <c r="A305" s="1047" t="s">
        <v>243</v>
      </c>
      <c r="B305" s="484" t="s">
        <v>89</v>
      </c>
      <c r="C305" s="484"/>
      <c r="D305" s="484"/>
      <c r="E305" s="484"/>
      <c r="F305" s="484"/>
      <c r="G305" s="81"/>
      <c r="H305" s="81"/>
      <c r="I305" s="81"/>
      <c r="J305" s="81"/>
      <c r="K305" s="81"/>
      <c r="L305" s="81"/>
      <c r="M305" s="580"/>
      <c r="N305" s="493"/>
      <c r="O305" s="944" t="s">
        <v>302</v>
      </c>
    </row>
    <row r="306" spans="1:61" ht="24" hidden="1">
      <c r="A306" s="1047"/>
      <c r="B306" s="484" t="s">
        <v>235</v>
      </c>
      <c r="C306" s="484"/>
      <c r="D306" s="484"/>
      <c r="E306" s="484"/>
      <c r="F306" s="484"/>
      <c r="G306" s="81">
        <f>G308+G307</f>
        <v>0</v>
      </c>
      <c r="H306" s="81">
        <f t="shared" ref="H306:L306" si="102">H308+H309</f>
        <v>0</v>
      </c>
      <c r="I306" s="81">
        <f t="shared" si="102"/>
        <v>0</v>
      </c>
      <c r="J306" s="81">
        <f t="shared" si="102"/>
        <v>0</v>
      </c>
      <c r="K306" s="81">
        <f t="shared" si="102"/>
        <v>0</v>
      </c>
      <c r="L306" s="81">
        <f t="shared" si="102"/>
        <v>0</v>
      </c>
      <c r="M306" s="580"/>
      <c r="N306" s="493"/>
      <c r="O306" s="944"/>
    </row>
    <row r="307" spans="1:61" hidden="1">
      <c r="A307" s="1047"/>
      <c r="B307" s="484" t="s">
        <v>454</v>
      </c>
      <c r="C307" s="484"/>
      <c r="D307" s="484"/>
      <c r="E307" s="484"/>
      <c r="F307" s="484"/>
      <c r="G307" s="81"/>
      <c r="H307" s="81"/>
      <c r="I307" s="81"/>
      <c r="J307" s="81"/>
      <c r="K307" s="81"/>
      <c r="L307" s="81"/>
      <c r="M307" s="580"/>
      <c r="N307" s="493"/>
      <c r="O307" s="944"/>
    </row>
    <row r="308" spans="1:61" hidden="1">
      <c r="A308" s="1047"/>
      <c r="B308" s="484" t="s">
        <v>10</v>
      </c>
      <c r="C308" s="484"/>
      <c r="D308" s="484"/>
      <c r="E308" s="484"/>
      <c r="F308" s="484"/>
      <c r="G308" s="81">
        <f>H308+I308+J308+K308</f>
        <v>0</v>
      </c>
      <c r="H308" s="81"/>
      <c r="I308" s="81"/>
      <c r="J308" s="81"/>
      <c r="K308" s="81"/>
      <c r="L308" s="81"/>
      <c r="M308" s="580"/>
      <c r="N308" s="493"/>
      <c r="O308" s="944"/>
    </row>
    <row r="309" spans="1:61" hidden="1">
      <c r="A309" s="1047"/>
      <c r="B309" s="484" t="s">
        <v>341</v>
      </c>
      <c r="C309" s="484"/>
      <c r="D309" s="484"/>
      <c r="E309" s="484"/>
      <c r="F309" s="484"/>
      <c r="G309" s="81">
        <v>0</v>
      </c>
      <c r="H309" s="81"/>
      <c r="I309" s="81"/>
      <c r="J309" s="81"/>
      <c r="K309" s="81"/>
      <c r="L309" s="81"/>
      <c r="M309" s="580"/>
      <c r="N309" s="493"/>
      <c r="O309" s="944"/>
    </row>
    <row r="310" spans="1:61" ht="21" customHeight="1">
      <c r="A310" s="926" t="s">
        <v>906</v>
      </c>
      <c r="B310" s="484" t="s">
        <v>89</v>
      </c>
      <c r="C310" s="484"/>
      <c r="D310" s="484"/>
      <c r="E310" s="484"/>
      <c r="F310" s="484"/>
      <c r="G310" s="81"/>
      <c r="H310" s="81"/>
      <c r="I310" s="81"/>
      <c r="J310" s="81"/>
      <c r="K310" s="81"/>
      <c r="L310" s="81"/>
      <c r="M310" s="580"/>
      <c r="N310" s="493"/>
      <c r="O310" s="960" t="s">
        <v>887</v>
      </c>
    </row>
    <row r="311" spans="1:61" s="44" customFormat="1" ht="29.25" customHeight="1">
      <c r="A311" s="927"/>
      <c r="B311" s="484" t="s">
        <v>235</v>
      </c>
      <c r="C311" s="484"/>
      <c r="D311" s="484"/>
      <c r="E311" s="484"/>
      <c r="F311" s="484"/>
      <c r="G311" s="81">
        <f>K311</f>
        <v>11090</v>
      </c>
      <c r="H311" s="81"/>
      <c r="I311" s="81"/>
      <c r="J311" s="81"/>
      <c r="K311" s="81">
        <f>K312</f>
        <v>11090</v>
      </c>
      <c r="L311" s="81">
        <f>L312</f>
        <v>0</v>
      </c>
      <c r="M311" s="580">
        <f>M313</f>
        <v>0</v>
      </c>
      <c r="N311" s="493"/>
      <c r="O311" s="960"/>
      <c r="AJ311" s="91"/>
      <c r="AK311" s="91"/>
      <c r="AL311" s="91"/>
      <c r="AM311" s="91"/>
      <c r="AN311" s="91"/>
      <c r="AO311" s="91"/>
      <c r="AP311" s="91"/>
      <c r="AQ311" s="91"/>
      <c r="AR311" s="91"/>
      <c r="AS311" s="91"/>
      <c r="AT311" s="91"/>
      <c r="AU311" s="91"/>
      <c r="AV311" s="91"/>
      <c r="AW311" s="91"/>
      <c r="AX311" s="91"/>
      <c r="AY311" s="91"/>
      <c r="AZ311" s="91"/>
      <c r="BA311" s="91"/>
      <c r="BB311" s="91"/>
      <c r="BC311" s="91"/>
      <c r="BD311" s="91"/>
      <c r="BE311" s="91"/>
      <c r="BF311" s="91"/>
      <c r="BG311" s="91"/>
      <c r="BH311" s="91"/>
      <c r="BI311" s="91"/>
    </row>
    <row r="312" spans="1:61" s="44" customFormat="1" ht="23.25" customHeight="1">
      <c r="A312" s="927"/>
      <c r="B312" s="484" t="s">
        <v>10</v>
      </c>
      <c r="C312" s="484"/>
      <c r="D312" s="484"/>
      <c r="E312" s="484"/>
      <c r="F312" s="484"/>
      <c r="G312" s="81">
        <f>K312</f>
        <v>11090</v>
      </c>
      <c r="H312" s="81"/>
      <c r="I312" s="81"/>
      <c r="J312" s="81"/>
      <c r="K312" s="81">
        <v>11090</v>
      </c>
      <c r="L312" s="81"/>
      <c r="M312" s="580"/>
      <c r="N312" s="493"/>
      <c r="O312" s="960"/>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91"/>
      <c r="AN312" s="91"/>
      <c r="AO312" s="91"/>
      <c r="AP312" s="91"/>
      <c r="AQ312" s="91"/>
      <c r="AR312" s="91"/>
      <c r="AS312" s="91"/>
      <c r="AT312" s="91"/>
      <c r="AU312" s="91"/>
      <c r="AV312" s="91"/>
      <c r="AW312" s="91"/>
      <c r="AX312" s="91"/>
      <c r="AY312" s="91"/>
      <c r="AZ312" s="91"/>
      <c r="BA312" s="91"/>
      <c r="BB312" s="91"/>
      <c r="BC312" s="91"/>
      <c r="BD312" s="91"/>
      <c r="BE312" s="91"/>
      <c r="BF312" s="91"/>
      <c r="BG312" s="91"/>
      <c r="BH312" s="91"/>
      <c r="BI312" s="91"/>
    </row>
    <row r="313" spans="1:61" s="44" customFormat="1" ht="21.75" customHeight="1">
      <c r="A313" s="928"/>
      <c r="B313" s="481" t="s">
        <v>436</v>
      </c>
      <c r="C313" s="481"/>
      <c r="D313" s="481"/>
      <c r="E313" s="481"/>
      <c r="F313" s="481"/>
      <c r="G313" s="97"/>
      <c r="H313" s="97"/>
      <c r="I313" s="97"/>
      <c r="J313" s="97"/>
      <c r="K313" s="97"/>
      <c r="L313" s="85">
        <v>0</v>
      </c>
      <c r="M313" s="581"/>
      <c r="N313" s="493"/>
      <c r="O313" s="960"/>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91"/>
      <c r="AN313" s="91"/>
      <c r="AO313" s="91"/>
      <c r="AP313" s="91"/>
      <c r="AQ313" s="91"/>
      <c r="AR313" s="91"/>
      <c r="AS313" s="91"/>
      <c r="AT313" s="91"/>
      <c r="AU313" s="91"/>
      <c r="AV313" s="91"/>
      <c r="AW313" s="91"/>
      <c r="AX313" s="91"/>
      <c r="AY313" s="91"/>
      <c r="AZ313" s="91"/>
      <c r="BA313" s="91"/>
      <c r="BB313" s="91"/>
      <c r="BC313" s="91"/>
      <c r="BD313" s="91"/>
      <c r="BE313" s="91"/>
      <c r="BF313" s="91"/>
      <c r="BG313" s="91"/>
      <c r="BH313" s="91"/>
      <c r="BI313" s="91"/>
    </row>
    <row r="314" spans="1:61" s="44" customFormat="1" ht="29.25" customHeight="1">
      <c r="A314" s="926" t="s">
        <v>907</v>
      </c>
      <c r="B314" s="481" t="s">
        <v>89</v>
      </c>
      <c r="C314" s="481"/>
      <c r="D314" s="481"/>
      <c r="E314" s="481"/>
      <c r="F314" s="481"/>
      <c r="G314" s="85">
        <f>K314</f>
        <v>0</v>
      </c>
      <c r="H314" s="85"/>
      <c r="I314" s="85"/>
      <c r="J314" s="85"/>
      <c r="K314" s="85"/>
      <c r="L314" s="85"/>
      <c r="M314" s="581"/>
      <c r="N314" s="493"/>
      <c r="O314" s="944" t="s">
        <v>887</v>
      </c>
      <c r="P314" s="91"/>
      <c r="Q314" s="91"/>
      <c r="R314" s="91"/>
      <c r="S314" s="91"/>
      <c r="T314" s="91"/>
      <c r="U314" s="91"/>
      <c r="V314" s="91"/>
      <c r="W314" s="91"/>
      <c r="X314" s="91"/>
      <c r="Y314" s="91"/>
      <c r="Z314" s="91"/>
      <c r="AA314" s="91"/>
      <c r="AB314" s="91"/>
      <c r="AC314" s="91"/>
      <c r="AD314" s="91"/>
      <c r="AE314" s="91"/>
      <c r="AF314" s="91"/>
      <c r="AG314" s="91"/>
      <c r="AH314" s="91"/>
      <c r="AI314" s="91"/>
      <c r="AJ314" s="91"/>
      <c r="AK314" s="91"/>
      <c r="AL314" s="91"/>
      <c r="AM314" s="91"/>
      <c r="AN314" s="91"/>
      <c r="AO314" s="91"/>
      <c r="AP314" s="91"/>
      <c r="AQ314" s="91"/>
      <c r="AR314" s="91"/>
      <c r="AS314" s="91"/>
      <c r="AT314" s="91"/>
      <c r="AU314" s="91"/>
      <c r="AV314" s="91"/>
      <c r="AW314" s="91"/>
      <c r="AX314" s="91"/>
      <c r="AY314" s="91"/>
      <c r="AZ314" s="91"/>
      <c r="BA314" s="91"/>
      <c r="BB314" s="91"/>
      <c r="BC314" s="91"/>
      <c r="BD314" s="91"/>
      <c r="BE314" s="91"/>
      <c r="BF314" s="91"/>
      <c r="BG314" s="91"/>
      <c r="BH314" s="91"/>
      <c r="BI314" s="91"/>
    </row>
    <row r="315" spans="1:61" s="44" customFormat="1" ht="24">
      <c r="A315" s="927"/>
      <c r="B315" s="481" t="s">
        <v>235</v>
      </c>
      <c r="C315" s="481"/>
      <c r="D315" s="481"/>
      <c r="E315" s="481"/>
      <c r="F315" s="481"/>
      <c r="G315" s="85">
        <f t="shared" ref="G315:G316" si="103">K315</f>
        <v>48128.2</v>
      </c>
      <c r="H315" s="85"/>
      <c r="I315" s="85"/>
      <c r="J315" s="85"/>
      <c r="K315" s="85">
        <f>K316</f>
        <v>48128.2</v>
      </c>
      <c r="L315" s="85">
        <f>L316</f>
        <v>100</v>
      </c>
      <c r="M315" s="581">
        <f>M317</f>
        <v>0</v>
      </c>
      <c r="N315" s="493"/>
      <c r="O315" s="944"/>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91"/>
      <c r="AN315" s="91"/>
      <c r="AO315" s="91"/>
      <c r="AP315" s="91"/>
      <c r="AQ315" s="91"/>
      <c r="AR315" s="91"/>
      <c r="AS315" s="91"/>
      <c r="AT315" s="91"/>
      <c r="AU315" s="91"/>
      <c r="AV315" s="91"/>
      <c r="AW315" s="91"/>
      <c r="AX315" s="91"/>
      <c r="AY315" s="91"/>
      <c r="AZ315" s="91"/>
      <c r="BA315" s="91"/>
      <c r="BB315" s="91"/>
      <c r="BC315" s="91"/>
      <c r="BD315" s="91"/>
      <c r="BE315" s="91"/>
      <c r="BF315" s="91"/>
      <c r="BG315" s="91"/>
      <c r="BH315" s="91"/>
      <c r="BI315" s="91"/>
    </row>
    <row r="316" spans="1:61" s="44" customFormat="1" ht="20.25" customHeight="1">
      <c r="A316" s="927"/>
      <c r="B316" s="481" t="s">
        <v>10</v>
      </c>
      <c r="C316" s="481"/>
      <c r="D316" s="481"/>
      <c r="E316" s="481"/>
      <c r="F316" s="481"/>
      <c r="G316" s="85">
        <f t="shared" si="103"/>
        <v>48128.2</v>
      </c>
      <c r="H316" s="85"/>
      <c r="I316" s="85"/>
      <c r="J316" s="85"/>
      <c r="K316" s="85">
        <v>48128.2</v>
      </c>
      <c r="L316" s="85">
        <v>100</v>
      </c>
      <c r="M316" s="581"/>
      <c r="N316" s="493"/>
      <c r="O316" s="944"/>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91"/>
      <c r="AN316" s="91"/>
      <c r="AO316" s="91"/>
      <c r="AP316" s="91"/>
      <c r="AQ316" s="91"/>
      <c r="AR316" s="91"/>
      <c r="AS316" s="91"/>
      <c r="AT316" s="91"/>
      <c r="AU316" s="91"/>
      <c r="AV316" s="91"/>
      <c r="AW316" s="91"/>
      <c r="AX316" s="91"/>
      <c r="AY316" s="91"/>
      <c r="AZ316" s="91"/>
      <c r="BA316" s="91"/>
      <c r="BB316" s="91"/>
      <c r="BC316" s="91"/>
      <c r="BD316" s="91"/>
      <c r="BE316" s="91"/>
      <c r="BF316" s="91"/>
      <c r="BG316" s="91"/>
      <c r="BH316" s="91"/>
      <c r="BI316" s="91"/>
    </row>
    <row r="317" spans="1:61" s="44" customFormat="1" ht="27.75" customHeight="1">
      <c r="A317" s="928"/>
      <c r="B317" s="481" t="s">
        <v>436</v>
      </c>
      <c r="C317" s="481"/>
      <c r="D317" s="481"/>
      <c r="E317" s="481"/>
      <c r="F317" s="481"/>
      <c r="G317" s="85"/>
      <c r="H317" s="85"/>
      <c r="I317" s="85"/>
      <c r="J317" s="85"/>
      <c r="K317" s="85"/>
      <c r="L317" s="85"/>
      <c r="M317" s="581"/>
      <c r="N317" s="493"/>
      <c r="O317" s="944"/>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91"/>
      <c r="AN317" s="91"/>
      <c r="AO317" s="91"/>
      <c r="AP317" s="91"/>
      <c r="AQ317" s="91"/>
      <c r="AR317" s="91"/>
      <c r="AS317" s="91"/>
      <c r="AT317" s="91"/>
      <c r="AU317" s="91"/>
      <c r="AV317" s="91"/>
      <c r="AW317" s="91"/>
      <c r="AX317" s="91"/>
      <c r="AY317" s="91"/>
      <c r="AZ317" s="91"/>
      <c r="BA317" s="91"/>
      <c r="BB317" s="91"/>
      <c r="BC317" s="91"/>
      <c r="BD317" s="91"/>
      <c r="BE317" s="91"/>
      <c r="BF317" s="91"/>
      <c r="BG317" s="91"/>
      <c r="BH317" s="91"/>
      <c r="BI317" s="91"/>
    </row>
    <row r="318" spans="1:61" s="44" customFormat="1" ht="27" customHeight="1">
      <c r="A318" s="926" t="s">
        <v>954</v>
      </c>
      <c r="B318" s="653" t="s">
        <v>89</v>
      </c>
      <c r="C318" s="653"/>
      <c r="D318" s="653"/>
      <c r="E318" s="653"/>
      <c r="F318" s="653"/>
      <c r="G318" s="85">
        <f>K318</f>
        <v>0</v>
      </c>
      <c r="H318" s="85"/>
      <c r="I318" s="85"/>
      <c r="J318" s="85"/>
      <c r="K318" s="85"/>
      <c r="L318" s="85"/>
      <c r="M318" s="581"/>
      <c r="N318" s="655"/>
      <c r="O318" s="944" t="s">
        <v>1071</v>
      </c>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c r="BI318" s="91"/>
    </row>
    <row r="319" spans="1:61" s="44" customFormat="1" ht="24">
      <c r="A319" s="927"/>
      <c r="B319" s="653" t="s">
        <v>235</v>
      </c>
      <c r="C319" s="653"/>
      <c r="D319" s="653"/>
      <c r="E319" s="653"/>
      <c r="F319" s="653"/>
      <c r="G319" s="85">
        <f t="shared" ref="G319:G320" si="104">K319</f>
        <v>22500</v>
      </c>
      <c r="H319" s="85"/>
      <c r="I319" s="85"/>
      <c r="J319" s="85"/>
      <c r="K319" s="85">
        <f>K320</f>
        <v>22500</v>
      </c>
      <c r="L319" s="85">
        <f>L320</f>
        <v>15500</v>
      </c>
      <c r="M319" s="85">
        <f>M320</f>
        <v>10000</v>
      </c>
      <c r="N319" s="655"/>
      <c r="O319" s="944"/>
      <c r="P319" s="91"/>
      <c r="Q319" s="91"/>
      <c r="R319" s="91"/>
      <c r="S319" s="91"/>
      <c r="T319" s="91"/>
      <c r="U319" s="91"/>
      <c r="V319" s="91"/>
      <c r="W319" s="91"/>
      <c r="X319" s="91"/>
      <c r="Y319" s="91"/>
      <c r="Z319" s="91"/>
      <c r="AA319" s="91"/>
      <c r="AB319" s="91"/>
      <c r="AC319" s="91"/>
      <c r="AD319" s="91"/>
      <c r="AE319" s="91"/>
      <c r="AF319" s="91"/>
      <c r="AG319" s="91"/>
      <c r="AH319" s="91"/>
      <c r="AI319" s="91"/>
      <c r="AJ319" s="91"/>
      <c r="AK319" s="91"/>
      <c r="AL319" s="91"/>
      <c r="AM319" s="91"/>
      <c r="AN319" s="91"/>
      <c r="AO319" s="91"/>
      <c r="AP319" s="91"/>
      <c r="AQ319" s="91"/>
      <c r="AR319" s="91"/>
      <c r="AS319" s="91"/>
      <c r="AT319" s="91"/>
      <c r="AU319" s="91"/>
      <c r="AV319" s="91"/>
      <c r="AW319" s="91"/>
      <c r="AX319" s="91"/>
      <c r="AY319" s="91"/>
      <c r="AZ319" s="91"/>
      <c r="BA319" s="91"/>
      <c r="BB319" s="91"/>
      <c r="BC319" s="91"/>
      <c r="BD319" s="91"/>
      <c r="BE319" s="91"/>
      <c r="BF319" s="91"/>
      <c r="BG319" s="91"/>
      <c r="BH319" s="91"/>
      <c r="BI319" s="91"/>
    </row>
    <row r="320" spans="1:61" s="44" customFormat="1" ht="21.75" customHeight="1">
      <c r="A320" s="927"/>
      <c r="B320" s="653" t="s">
        <v>10</v>
      </c>
      <c r="C320" s="653"/>
      <c r="D320" s="653"/>
      <c r="E320" s="653"/>
      <c r="F320" s="653"/>
      <c r="G320" s="85">
        <f t="shared" si="104"/>
        <v>22500</v>
      </c>
      <c r="H320" s="85"/>
      <c r="I320" s="85"/>
      <c r="J320" s="85"/>
      <c r="K320" s="85">
        <v>22500</v>
      </c>
      <c r="L320" s="85">
        <v>15500</v>
      </c>
      <c r="M320" s="581">
        <v>10000</v>
      </c>
      <c r="N320" s="655"/>
      <c r="O320" s="944"/>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91"/>
      <c r="AN320" s="91"/>
      <c r="AO320" s="91"/>
      <c r="AP320" s="91"/>
      <c r="AQ320" s="91"/>
      <c r="AR320" s="91"/>
      <c r="AS320" s="91"/>
      <c r="AT320" s="91"/>
      <c r="AU320" s="91"/>
      <c r="AV320" s="91"/>
      <c r="AW320" s="91"/>
      <c r="AX320" s="91"/>
      <c r="AY320" s="91"/>
      <c r="AZ320" s="91"/>
      <c r="BA320" s="91"/>
      <c r="BB320" s="91"/>
      <c r="BC320" s="91"/>
      <c r="BD320" s="91"/>
      <c r="BE320" s="91"/>
      <c r="BF320" s="91"/>
      <c r="BG320" s="91"/>
      <c r="BH320" s="91"/>
      <c r="BI320" s="91"/>
    </row>
    <row r="321" spans="1:64" s="88" customFormat="1" ht="20.25" customHeight="1">
      <c r="A321" s="928"/>
      <c r="B321" s="654" t="s">
        <v>436</v>
      </c>
      <c r="C321" s="654"/>
      <c r="D321" s="654"/>
      <c r="E321" s="654"/>
      <c r="F321" s="654"/>
      <c r="G321" s="81"/>
      <c r="H321" s="81"/>
      <c r="I321" s="81"/>
      <c r="J321" s="81"/>
      <c r="K321" s="81"/>
      <c r="L321" s="81"/>
      <c r="M321" s="580"/>
      <c r="N321" s="655"/>
      <c r="O321" s="944"/>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91"/>
      <c r="AN321" s="91"/>
      <c r="AO321" s="91"/>
      <c r="AP321" s="91"/>
      <c r="AQ321" s="91"/>
      <c r="AR321" s="91"/>
      <c r="AS321" s="91"/>
      <c r="AT321" s="91"/>
      <c r="AU321" s="91"/>
      <c r="AV321" s="91"/>
      <c r="AW321" s="91"/>
      <c r="AX321" s="91"/>
      <c r="AY321" s="91"/>
      <c r="AZ321" s="91"/>
      <c r="BA321" s="91"/>
      <c r="BB321" s="91"/>
      <c r="BC321" s="91"/>
      <c r="BD321" s="91"/>
      <c r="BE321" s="91"/>
      <c r="BF321" s="91"/>
      <c r="BG321" s="91"/>
      <c r="BH321" s="91"/>
      <c r="BI321" s="91"/>
      <c r="BJ321" s="91"/>
      <c r="BK321" s="91"/>
      <c r="BL321" s="90"/>
    </row>
    <row r="322" spans="1:64" s="44" customFormat="1" ht="27" customHeight="1">
      <c r="A322" s="926" t="s">
        <v>826</v>
      </c>
      <c r="B322" s="653" t="s">
        <v>89</v>
      </c>
      <c r="C322" s="653"/>
      <c r="D322" s="653"/>
      <c r="E322" s="653"/>
      <c r="F322" s="653"/>
      <c r="G322" s="85">
        <f>K322</f>
        <v>0</v>
      </c>
      <c r="H322" s="85"/>
      <c r="I322" s="85"/>
      <c r="J322" s="85"/>
      <c r="K322" s="85"/>
      <c r="L322" s="85"/>
      <c r="M322" s="581"/>
      <c r="N322" s="655"/>
      <c r="O322" s="944" t="s">
        <v>886</v>
      </c>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91"/>
      <c r="AN322" s="91"/>
      <c r="AO322" s="91"/>
      <c r="AP322" s="91"/>
      <c r="AQ322" s="91"/>
      <c r="AR322" s="91"/>
      <c r="AS322" s="91"/>
      <c r="AT322" s="91"/>
      <c r="AU322" s="91"/>
      <c r="AV322" s="91"/>
      <c r="AW322" s="91"/>
      <c r="AX322" s="91"/>
      <c r="AY322" s="91"/>
      <c r="AZ322" s="91"/>
      <c r="BA322" s="91"/>
      <c r="BB322" s="91"/>
      <c r="BC322" s="91"/>
      <c r="BD322" s="91"/>
      <c r="BE322" s="91"/>
      <c r="BF322" s="91"/>
      <c r="BG322" s="91"/>
      <c r="BH322" s="91"/>
      <c r="BI322" s="91"/>
    </row>
    <row r="323" spans="1:64" s="44" customFormat="1" ht="24">
      <c r="A323" s="927"/>
      <c r="B323" s="653" t="s">
        <v>235</v>
      </c>
      <c r="C323" s="653"/>
      <c r="D323" s="653"/>
      <c r="E323" s="653"/>
      <c r="F323" s="653"/>
      <c r="G323" s="85">
        <f t="shared" ref="G323:G324" si="105">K323</f>
        <v>2500</v>
      </c>
      <c r="H323" s="85"/>
      <c r="I323" s="85"/>
      <c r="J323" s="85"/>
      <c r="K323" s="85">
        <f>K324</f>
        <v>2500</v>
      </c>
      <c r="L323" s="85">
        <f>L324</f>
        <v>3000</v>
      </c>
      <c r="M323" s="581">
        <f>M325</f>
        <v>0</v>
      </c>
      <c r="N323" s="655"/>
      <c r="O323" s="944"/>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91"/>
      <c r="AN323" s="91"/>
      <c r="AO323" s="91"/>
      <c r="AP323" s="91"/>
      <c r="AQ323" s="91"/>
      <c r="AR323" s="91"/>
      <c r="AS323" s="91"/>
      <c r="AT323" s="91"/>
      <c r="AU323" s="91"/>
      <c r="AV323" s="91"/>
      <c r="AW323" s="91"/>
      <c r="AX323" s="91"/>
      <c r="AY323" s="91"/>
      <c r="AZ323" s="91"/>
      <c r="BA323" s="91"/>
      <c r="BB323" s="91"/>
      <c r="BC323" s="91"/>
      <c r="BD323" s="91"/>
      <c r="BE323" s="91"/>
      <c r="BF323" s="91"/>
      <c r="BG323" s="91"/>
      <c r="BH323" s="91"/>
      <c r="BI323" s="91"/>
    </row>
    <row r="324" spans="1:64" s="44" customFormat="1" ht="21.75" customHeight="1">
      <c r="A324" s="927"/>
      <c r="B324" s="653" t="s">
        <v>10</v>
      </c>
      <c r="C324" s="653"/>
      <c r="D324" s="653"/>
      <c r="E324" s="653"/>
      <c r="F324" s="653"/>
      <c r="G324" s="85">
        <f t="shared" si="105"/>
        <v>2500</v>
      </c>
      <c r="H324" s="85"/>
      <c r="I324" s="85"/>
      <c r="J324" s="85"/>
      <c r="K324" s="85">
        <v>2500</v>
      </c>
      <c r="L324" s="85">
        <f>5000-2000</f>
        <v>3000</v>
      </c>
      <c r="M324" s="581"/>
      <c r="N324" s="655"/>
      <c r="O324" s="944"/>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91"/>
      <c r="AN324" s="91"/>
      <c r="AO324" s="91"/>
      <c r="AP324" s="91"/>
      <c r="AQ324" s="91"/>
      <c r="AR324" s="91"/>
      <c r="AS324" s="91"/>
      <c r="AT324" s="91"/>
      <c r="AU324" s="91"/>
      <c r="AV324" s="91"/>
      <c r="AW324" s="91"/>
      <c r="AX324" s="91"/>
      <c r="AY324" s="91"/>
      <c r="AZ324" s="91"/>
      <c r="BA324" s="91"/>
      <c r="BB324" s="91"/>
      <c r="BC324" s="91"/>
      <c r="BD324" s="91"/>
      <c r="BE324" s="91"/>
      <c r="BF324" s="91"/>
      <c r="BG324" s="91"/>
      <c r="BH324" s="91"/>
      <c r="BI324" s="91"/>
    </row>
    <row r="325" spans="1:64" s="88" customFormat="1" ht="20.25" customHeight="1">
      <c r="A325" s="928"/>
      <c r="B325" s="654" t="s">
        <v>436</v>
      </c>
      <c r="C325" s="654"/>
      <c r="D325" s="654"/>
      <c r="E325" s="654"/>
      <c r="F325" s="654"/>
      <c r="G325" s="81"/>
      <c r="H325" s="81"/>
      <c r="I325" s="81"/>
      <c r="J325" s="81"/>
      <c r="K325" s="81"/>
      <c r="L325" s="81"/>
      <c r="M325" s="580"/>
      <c r="N325" s="655"/>
      <c r="O325" s="944"/>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91"/>
      <c r="AN325" s="91"/>
      <c r="AO325" s="91"/>
      <c r="AP325" s="91"/>
      <c r="AQ325" s="91"/>
      <c r="AR325" s="91"/>
      <c r="AS325" s="91"/>
      <c r="AT325" s="91"/>
      <c r="AU325" s="91"/>
      <c r="AV325" s="91"/>
      <c r="AW325" s="91"/>
      <c r="AX325" s="91"/>
      <c r="AY325" s="91"/>
      <c r="AZ325" s="91"/>
      <c r="BA325" s="91"/>
      <c r="BB325" s="91"/>
      <c r="BC325" s="91"/>
      <c r="BD325" s="91"/>
      <c r="BE325" s="91"/>
      <c r="BF325" s="91"/>
      <c r="BG325" s="91"/>
      <c r="BH325" s="91"/>
      <c r="BI325" s="91"/>
      <c r="BJ325" s="91"/>
      <c r="BK325" s="91"/>
      <c r="BL325" s="90"/>
    </row>
    <row r="326" spans="1:64" s="44" customFormat="1" ht="27" customHeight="1">
      <c r="A326" s="926" t="s">
        <v>955</v>
      </c>
      <c r="B326" s="481" t="s">
        <v>89</v>
      </c>
      <c r="C326" s="481"/>
      <c r="D326" s="481"/>
      <c r="E326" s="481"/>
      <c r="F326" s="481"/>
      <c r="G326" s="85">
        <f>K326</f>
        <v>0</v>
      </c>
      <c r="H326" s="85"/>
      <c r="I326" s="85"/>
      <c r="J326" s="85"/>
      <c r="K326" s="85"/>
      <c r="L326" s="85"/>
      <c r="M326" s="581"/>
      <c r="N326" s="493"/>
      <c r="O326" s="944" t="s">
        <v>887</v>
      </c>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91"/>
      <c r="AN326" s="91"/>
      <c r="AO326" s="91"/>
      <c r="AP326" s="91"/>
      <c r="AQ326" s="91"/>
      <c r="AR326" s="91"/>
      <c r="AS326" s="91"/>
      <c r="AT326" s="91"/>
      <c r="AU326" s="91"/>
      <c r="AV326" s="91"/>
      <c r="AW326" s="91"/>
      <c r="AX326" s="91"/>
      <c r="AY326" s="91"/>
      <c r="AZ326" s="91"/>
      <c r="BA326" s="91"/>
      <c r="BB326" s="91"/>
      <c r="BC326" s="91"/>
      <c r="BD326" s="91"/>
      <c r="BE326" s="91"/>
      <c r="BF326" s="91"/>
      <c r="BG326" s="91"/>
      <c r="BH326" s="91"/>
      <c r="BI326" s="91"/>
    </row>
    <row r="327" spans="1:64" s="44" customFormat="1" ht="24">
      <c r="A327" s="927"/>
      <c r="B327" s="481" t="s">
        <v>235</v>
      </c>
      <c r="C327" s="481"/>
      <c r="D327" s="481"/>
      <c r="E327" s="481"/>
      <c r="F327" s="481"/>
      <c r="G327" s="85">
        <f t="shared" ref="G327:G328" si="106">K327</f>
        <v>1910</v>
      </c>
      <c r="H327" s="85"/>
      <c r="I327" s="85"/>
      <c r="J327" s="85"/>
      <c r="K327" s="85">
        <f>K328</f>
        <v>1910</v>
      </c>
      <c r="L327" s="85">
        <f>L328</f>
        <v>5090</v>
      </c>
      <c r="M327" s="85">
        <f>M328</f>
        <v>12000</v>
      </c>
      <c r="N327" s="493"/>
      <c r="O327" s="944"/>
      <c r="P327" s="91"/>
      <c r="Q327" s="91"/>
      <c r="R327" s="91"/>
      <c r="S327" s="91"/>
      <c r="T327" s="91"/>
      <c r="U327" s="91"/>
      <c r="V327" s="91"/>
      <c r="W327" s="91"/>
      <c r="X327" s="91"/>
      <c r="Y327" s="91"/>
      <c r="Z327" s="91"/>
      <c r="AA327" s="91"/>
      <c r="AB327" s="91"/>
      <c r="AC327" s="91"/>
      <c r="AD327" s="91"/>
      <c r="AE327" s="91"/>
      <c r="AF327" s="91"/>
      <c r="AG327" s="91"/>
      <c r="AH327" s="91"/>
      <c r="AI327" s="91"/>
      <c r="AJ327" s="91"/>
      <c r="AK327" s="91"/>
      <c r="AL327" s="91"/>
      <c r="AM327" s="91"/>
      <c r="AN327" s="91"/>
      <c r="AO327" s="91"/>
      <c r="AP327" s="91"/>
      <c r="AQ327" s="91"/>
      <c r="AR327" s="91"/>
      <c r="AS327" s="91"/>
      <c r="AT327" s="91"/>
      <c r="AU327" s="91"/>
      <c r="AV327" s="91"/>
      <c r="AW327" s="91"/>
      <c r="AX327" s="91"/>
      <c r="AY327" s="91"/>
      <c r="AZ327" s="91"/>
      <c r="BA327" s="91"/>
      <c r="BB327" s="91"/>
      <c r="BC327" s="91"/>
      <c r="BD327" s="91"/>
      <c r="BE327" s="91"/>
      <c r="BF327" s="91"/>
      <c r="BG327" s="91"/>
      <c r="BH327" s="91"/>
      <c r="BI327" s="91"/>
    </row>
    <row r="328" spans="1:64" s="44" customFormat="1" ht="21.75" customHeight="1">
      <c r="A328" s="927"/>
      <c r="B328" s="481" t="s">
        <v>10</v>
      </c>
      <c r="C328" s="481"/>
      <c r="D328" s="481"/>
      <c r="E328" s="481"/>
      <c r="F328" s="481"/>
      <c r="G328" s="85">
        <f t="shared" si="106"/>
        <v>1910</v>
      </c>
      <c r="H328" s="85"/>
      <c r="I328" s="85"/>
      <c r="J328" s="85"/>
      <c r="K328" s="85">
        <v>1910</v>
      </c>
      <c r="L328" s="85">
        <v>5090</v>
      </c>
      <c r="M328" s="581">
        <v>12000</v>
      </c>
      <c r="N328" s="493"/>
      <c r="O328" s="944"/>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91"/>
      <c r="AN328" s="91"/>
      <c r="AO328" s="91"/>
      <c r="AP328" s="91"/>
      <c r="AQ328" s="91"/>
      <c r="AR328" s="91"/>
      <c r="AS328" s="91"/>
      <c r="AT328" s="91"/>
      <c r="AU328" s="91"/>
      <c r="AV328" s="91"/>
      <c r="AW328" s="91"/>
      <c r="AX328" s="91"/>
      <c r="AY328" s="91"/>
      <c r="AZ328" s="91"/>
      <c r="BA328" s="91"/>
      <c r="BB328" s="91"/>
      <c r="BC328" s="91"/>
      <c r="BD328" s="91"/>
      <c r="BE328" s="91"/>
      <c r="BF328" s="91"/>
      <c r="BG328" s="91"/>
      <c r="BH328" s="91"/>
      <c r="BI328" s="91"/>
    </row>
    <row r="329" spans="1:64" s="88" customFormat="1" ht="20.25" customHeight="1">
      <c r="A329" s="928"/>
      <c r="B329" s="484" t="s">
        <v>436</v>
      </c>
      <c r="C329" s="484"/>
      <c r="D329" s="484"/>
      <c r="E329" s="484"/>
      <c r="F329" s="484"/>
      <c r="G329" s="81"/>
      <c r="H329" s="81"/>
      <c r="I329" s="81"/>
      <c r="J329" s="81"/>
      <c r="K329" s="81"/>
      <c r="L329" s="81"/>
      <c r="M329" s="580"/>
      <c r="N329" s="493"/>
      <c r="O329" s="944"/>
      <c r="P329" s="91"/>
      <c r="Q329" s="91"/>
      <c r="R329" s="91"/>
      <c r="S329" s="91"/>
      <c r="T329" s="91"/>
      <c r="U329" s="91"/>
      <c r="V329" s="91"/>
      <c r="W329" s="91"/>
      <c r="X329" s="91"/>
      <c r="Y329" s="91"/>
      <c r="Z329" s="91"/>
      <c r="AA329" s="91"/>
      <c r="AB329" s="91"/>
      <c r="AC329" s="91"/>
      <c r="AD329" s="91"/>
      <c r="AE329" s="91"/>
      <c r="AF329" s="91"/>
      <c r="AG329" s="91"/>
      <c r="AH329" s="91"/>
      <c r="AI329" s="91"/>
      <c r="AJ329" s="91"/>
      <c r="AK329" s="91"/>
      <c r="AL329" s="91"/>
      <c r="AM329" s="91"/>
      <c r="AN329" s="91"/>
      <c r="AO329" s="91"/>
      <c r="AP329" s="91"/>
      <c r="AQ329" s="91"/>
      <c r="AR329" s="91"/>
      <c r="AS329" s="91"/>
      <c r="AT329" s="91"/>
      <c r="AU329" s="91"/>
      <c r="AV329" s="91"/>
      <c r="AW329" s="91"/>
      <c r="AX329" s="91"/>
      <c r="AY329" s="91"/>
      <c r="AZ329" s="91"/>
      <c r="BA329" s="91"/>
      <c r="BB329" s="91"/>
      <c r="BC329" s="91"/>
      <c r="BD329" s="91"/>
      <c r="BE329" s="91"/>
      <c r="BF329" s="91"/>
      <c r="BG329" s="91"/>
      <c r="BH329" s="91"/>
      <c r="BI329" s="91"/>
      <c r="BJ329" s="91"/>
      <c r="BK329" s="91"/>
      <c r="BL329" s="90"/>
    </row>
    <row r="330" spans="1:64" s="44" customFormat="1" ht="21.75" customHeight="1">
      <c r="A330" s="1000" t="s">
        <v>104</v>
      </c>
      <c r="B330" s="78" t="s">
        <v>89</v>
      </c>
      <c r="C330" s="78"/>
      <c r="D330" s="78"/>
      <c r="E330" s="78"/>
      <c r="F330" s="78"/>
      <c r="G330" s="86">
        <f t="shared" ref="G330:L330" si="107">G342+G346</f>
        <v>0</v>
      </c>
      <c r="H330" s="86"/>
      <c r="I330" s="86"/>
      <c r="J330" s="86"/>
      <c r="K330" s="86"/>
      <c r="L330" s="86">
        <f t="shared" si="107"/>
        <v>0</v>
      </c>
      <c r="M330" s="584"/>
      <c r="N330" s="493"/>
      <c r="O330" s="57"/>
      <c r="AJ330" s="91"/>
      <c r="AK330" s="91"/>
      <c r="AL330" s="91"/>
      <c r="AM330" s="91"/>
      <c r="AN330" s="91"/>
      <c r="AO330" s="91"/>
      <c r="AP330" s="91"/>
      <c r="AQ330" s="91"/>
      <c r="AR330" s="91"/>
      <c r="AS330" s="91"/>
      <c r="AT330" s="91"/>
      <c r="AU330" s="91"/>
      <c r="AV330" s="91"/>
      <c r="AW330" s="91"/>
      <c r="AX330" s="91"/>
      <c r="AY330" s="91"/>
      <c r="AZ330" s="91"/>
      <c r="BA330" s="91"/>
      <c r="BB330" s="91"/>
      <c r="BC330" s="91"/>
      <c r="BD330" s="91"/>
      <c r="BE330" s="91"/>
      <c r="BF330" s="91"/>
      <c r="BG330" s="91"/>
      <c r="BH330" s="91"/>
      <c r="BI330" s="91"/>
    </row>
    <row r="331" spans="1:64" ht="24">
      <c r="A331" s="1001"/>
      <c r="B331" s="57" t="s">
        <v>235</v>
      </c>
      <c r="C331" s="57"/>
      <c r="D331" s="57"/>
      <c r="E331" s="57"/>
      <c r="F331" s="57"/>
      <c r="G331" s="439">
        <f t="shared" ref="G331:M331" si="108">G332+G333</f>
        <v>200</v>
      </c>
      <c r="H331" s="439">
        <f t="shared" si="108"/>
        <v>0</v>
      </c>
      <c r="I331" s="439">
        <f t="shared" si="108"/>
        <v>0</v>
      </c>
      <c r="J331" s="439">
        <f t="shared" si="108"/>
        <v>0</v>
      </c>
      <c r="K331" s="439">
        <f t="shared" si="108"/>
        <v>200</v>
      </c>
      <c r="L331" s="80">
        <f t="shared" si="108"/>
        <v>2000</v>
      </c>
      <c r="M331" s="439">
        <f t="shared" si="108"/>
        <v>0</v>
      </c>
      <c r="N331" s="493"/>
      <c r="O331" s="57"/>
      <c r="V331" s="43">
        <v>55</v>
      </c>
    </row>
    <row r="332" spans="1:64" ht="21" customHeight="1">
      <c r="A332" s="1001"/>
      <c r="B332" s="57" t="s">
        <v>10</v>
      </c>
      <c r="C332" s="57"/>
      <c r="D332" s="57"/>
      <c r="E332" s="57"/>
      <c r="F332" s="57"/>
      <c r="G332" s="439">
        <f t="shared" ref="G332:K332" si="109">G344</f>
        <v>200</v>
      </c>
      <c r="H332" s="439">
        <f t="shared" si="109"/>
        <v>0</v>
      </c>
      <c r="I332" s="439">
        <f t="shared" si="109"/>
        <v>0</v>
      </c>
      <c r="J332" s="439">
        <f t="shared" si="109"/>
        <v>0</v>
      </c>
      <c r="K332" s="439">
        <f t="shared" si="109"/>
        <v>200</v>
      </c>
      <c r="L332" s="80">
        <f>L344</f>
        <v>2000</v>
      </c>
      <c r="M332" s="439">
        <f>M344</f>
        <v>0</v>
      </c>
      <c r="N332" s="493"/>
      <c r="O332" s="57"/>
    </row>
    <row r="333" spans="1:64" ht="24" customHeight="1">
      <c r="A333" s="1002"/>
      <c r="B333" s="57" t="s">
        <v>436</v>
      </c>
      <c r="C333" s="57"/>
      <c r="D333" s="57"/>
      <c r="E333" s="57"/>
      <c r="F333" s="57"/>
      <c r="G333" s="80">
        <f t="shared" ref="G333:L333" si="110">G349+G345</f>
        <v>0</v>
      </c>
      <c r="H333" s="80"/>
      <c r="I333" s="80"/>
      <c r="J333" s="80"/>
      <c r="K333" s="80"/>
      <c r="L333" s="80">
        <f t="shared" si="110"/>
        <v>0</v>
      </c>
      <c r="M333" s="439"/>
      <c r="N333" s="493"/>
      <c r="O333" s="57"/>
    </row>
    <row r="334" spans="1:64" ht="21.75" hidden="1" customHeight="1">
      <c r="A334" s="926"/>
      <c r="B334" s="537" t="s">
        <v>89</v>
      </c>
      <c r="C334" s="57"/>
      <c r="D334" s="57"/>
      <c r="E334" s="57"/>
      <c r="F334" s="57"/>
      <c r="G334" s="80"/>
      <c r="H334" s="80"/>
      <c r="I334" s="80"/>
      <c r="J334" s="80"/>
      <c r="K334" s="80"/>
      <c r="L334" s="80"/>
      <c r="M334" s="439"/>
      <c r="N334" s="538"/>
      <c r="O334" s="1053"/>
    </row>
    <row r="335" spans="1:64" ht="24" hidden="1">
      <c r="A335" s="927"/>
      <c r="B335" s="537" t="s">
        <v>235</v>
      </c>
      <c r="C335" s="57"/>
      <c r="D335" s="57"/>
      <c r="E335" s="57"/>
      <c r="F335" s="57"/>
      <c r="G335" s="80"/>
      <c r="H335" s="80"/>
      <c r="I335" s="80"/>
      <c r="J335" s="80"/>
      <c r="K335" s="80"/>
      <c r="L335" s="80"/>
      <c r="M335" s="439"/>
      <c r="N335" s="538"/>
      <c r="O335" s="1054"/>
    </row>
    <row r="336" spans="1:64" hidden="1">
      <c r="A336" s="927"/>
      <c r="B336" s="537" t="s">
        <v>10</v>
      </c>
      <c r="C336" s="57"/>
      <c r="D336" s="57"/>
      <c r="E336" s="57"/>
      <c r="F336" s="57"/>
      <c r="G336" s="80"/>
      <c r="H336" s="80"/>
      <c r="I336" s="80"/>
      <c r="J336" s="80"/>
      <c r="K336" s="80"/>
      <c r="L336" s="80"/>
      <c r="M336" s="439"/>
      <c r="N336" s="538"/>
      <c r="O336" s="1054"/>
    </row>
    <row r="337" spans="1:15" hidden="1">
      <c r="A337" s="927"/>
      <c r="B337" s="537" t="s">
        <v>436</v>
      </c>
      <c r="C337" s="57"/>
      <c r="D337" s="57"/>
      <c r="E337" s="57"/>
      <c r="F337" s="57"/>
      <c r="G337" s="80"/>
      <c r="H337" s="80"/>
      <c r="I337" s="80"/>
      <c r="J337" s="80"/>
      <c r="K337" s="80"/>
      <c r="L337" s="80"/>
      <c r="M337" s="439"/>
      <c r="N337" s="538"/>
      <c r="O337" s="1055"/>
    </row>
    <row r="338" spans="1:15" hidden="1">
      <c r="A338" s="926"/>
      <c r="B338" s="537" t="s">
        <v>89</v>
      </c>
      <c r="C338" s="57"/>
      <c r="D338" s="57"/>
      <c r="E338" s="57"/>
      <c r="F338" s="57"/>
      <c r="G338" s="80"/>
      <c r="H338" s="80"/>
      <c r="I338" s="80"/>
      <c r="J338" s="80"/>
      <c r="K338" s="80"/>
      <c r="L338" s="80"/>
      <c r="M338" s="439"/>
      <c r="N338" s="538"/>
      <c r="O338" s="1053"/>
    </row>
    <row r="339" spans="1:15" ht="24" hidden="1">
      <c r="A339" s="927"/>
      <c r="B339" s="537" t="s">
        <v>235</v>
      </c>
      <c r="C339" s="57"/>
      <c r="D339" s="57"/>
      <c r="E339" s="57"/>
      <c r="F339" s="57"/>
      <c r="G339" s="80"/>
      <c r="H339" s="80"/>
      <c r="I339" s="80"/>
      <c r="J339" s="80"/>
      <c r="K339" s="80"/>
      <c r="L339" s="80"/>
      <c r="M339" s="439"/>
      <c r="N339" s="538"/>
      <c r="O339" s="1054"/>
    </row>
    <row r="340" spans="1:15" ht="19.5" hidden="1" customHeight="1">
      <c r="A340" s="927"/>
      <c r="B340" s="537" t="s">
        <v>10</v>
      </c>
      <c r="C340" s="57"/>
      <c r="D340" s="57"/>
      <c r="E340" s="57"/>
      <c r="F340" s="57"/>
      <c r="G340" s="80"/>
      <c r="H340" s="80"/>
      <c r="I340" s="80"/>
      <c r="J340" s="80"/>
      <c r="K340" s="80"/>
      <c r="L340" s="80"/>
      <c r="M340" s="439"/>
      <c r="N340" s="538"/>
      <c r="O340" s="1054"/>
    </row>
    <row r="341" spans="1:15" ht="24" hidden="1" customHeight="1">
      <c r="A341" s="927"/>
      <c r="B341" s="537" t="s">
        <v>436</v>
      </c>
      <c r="C341" s="57"/>
      <c r="D341" s="57"/>
      <c r="E341" s="57"/>
      <c r="F341" s="57"/>
      <c r="G341" s="80"/>
      <c r="H341" s="80"/>
      <c r="I341" s="80"/>
      <c r="J341" s="80"/>
      <c r="K341" s="80"/>
      <c r="L341" s="80"/>
      <c r="M341" s="439"/>
      <c r="N341" s="538"/>
      <c r="O341" s="1055"/>
    </row>
    <row r="342" spans="1:15" ht="19.5" customHeight="1">
      <c r="A342" s="943" t="s">
        <v>240</v>
      </c>
      <c r="B342" s="484" t="s">
        <v>89</v>
      </c>
      <c r="C342" s="484">
        <v>176</v>
      </c>
      <c r="D342" s="484" t="s">
        <v>15</v>
      </c>
      <c r="E342" s="484">
        <v>6100404</v>
      </c>
      <c r="F342" s="484">
        <v>414</v>
      </c>
      <c r="G342" s="81"/>
      <c r="H342" s="81"/>
      <c r="I342" s="81"/>
      <c r="J342" s="81"/>
      <c r="K342" s="81"/>
      <c r="L342" s="81">
        <v>0</v>
      </c>
      <c r="M342" s="580"/>
      <c r="N342" s="493"/>
      <c r="O342" s="944" t="s">
        <v>507</v>
      </c>
    </row>
    <row r="343" spans="1:15" ht="27" customHeight="1">
      <c r="A343" s="943"/>
      <c r="B343" s="484" t="s">
        <v>235</v>
      </c>
      <c r="C343" s="484"/>
      <c r="D343" s="484"/>
      <c r="E343" s="484"/>
      <c r="F343" s="484"/>
      <c r="G343" s="81">
        <f>K343</f>
        <v>200</v>
      </c>
      <c r="H343" s="81"/>
      <c r="I343" s="81"/>
      <c r="J343" s="81"/>
      <c r="K343" s="81">
        <f>K344</f>
        <v>200</v>
      </c>
      <c r="L343" s="81">
        <f>L344</f>
        <v>2000</v>
      </c>
      <c r="M343" s="580">
        <f>M344</f>
        <v>0</v>
      </c>
      <c r="N343" s="493"/>
      <c r="O343" s="944"/>
    </row>
    <row r="344" spans="1:15" ht="20.25" customHeight="1">
      <c r="A344" s="943"/>
      <c r="B344" s="484" t="s">
        <v>10</v>
      </c>
      <c r="C344" s="484"/>
      <c r="D344" s="484"/>
      <c r="E344" s="484"/>
      <c r="F344" s="484"/>
      <c r="G344" s="81">
        <f>K344</f>
        <v>200</v>
      </c>
      <c r="H344" s="81"/>
      <c r="I344" s="81"/>
      <c r="J344" s="81"/>
      <c r="K344" s="81">
        <v>200</v>
      </c>
      <c r="L344" s="81">
        <v>2000</v>
      </c>
      <c r="M344" s="580">
        <v>0</v>
      </c>
      <c r="N344" s="493"/>
      <c r="O344" s="944"/>
    </row>
    <row r="345" spans="1:15" ht="22.5" customHeight="1">
      <c r="A345" s="943"/>
      <c r="B345" s="484" t="s">
        <v>436</v>
      </c>
      <c r="C345" s="484"/>
      <c r="D345" s="484"/>
      <c r="E345" s="484"/>
      <c r="F345" s="484"/>
      <c r="G345" s="81"/>
      <c r="H345" s="81"/>
      <c r="I345" s="81"/>
      <c r="J345" s="81"/>
      <c r="K345" s="81"/>
      <c r="L345" s="81">
        <v>0</v>
      </c>
      <c r="M345" s="580"/>
      <c r="N345" s="493"/>
      <c r="O345" s="944"/>
    </row>
    <row r="346" spans="1:15" ht="21" hidden="1" customHeight="1">
      <c r="A346" s="943"/>
      <c r="B346" s="484" t="s">
        <v>89</v>
      </c>
      <c r="C346" s="484"/>
      <c r="D346" s="484"/>
      <c r="E346" s="484"/>
      <c r="F346" s="484"/>
      <c r="G346" s="81">
        <v>0</v>
      </c>
      <c r="H346" s="81"/>
      <c r="I346" s="81"/>
      <c r="J346" s="81"/>
      <c r="K346" s="81"/>
      <c r="L346" s="81"/>
      <c r="M346" s="580"/>
      <c r="N346" s="493"/>
      <c r="O346" s="944" t="s">
        <v>511</v>
      </c>
    </row>
    <row r="347" spans="1:15" ht="24" hidden="1">
      <c r="A347" s="943"/>
      <c r="B347" s="484" t="s">
        <v>235</v>
      </c>
      <c r="C347" s="484"/>
      <c r="D347" s="484"/>
      <c r="E347" s="484"/>
      <c r="F347" s="484"/>
      <c r="G347" s="81">
        <f>G349</f>
        <v>0</v>
      </c>
      <c r="H347" s="81"/>
      <c r="I347" s="81"/>
      <c r="J347" s="81"/>
      <c r="K347" s="81"/>
      <c r="L347" s="81">
        <f>L349</f>
        <v>0</v>
      </c>
      <c r="M347" s="580"/>
      <c r="N347" s="493"/>
      <c r="O347" s="944"/>
    </row>
    <row r="348" spans="1:15" ht="20.25" hidden="1" customHeight="1">
      <c r="A348" s="943"/>
      <c r="B348" s="484" t="s">
        <v>10</v>
      </c>
      <c r="C348" s="484"/>
      <c r="D348" s="484"/>
      <c r="E348" s="484"/>
      <c r="F348" s="484"/>
      <c r="G348" s="81"/>
      <c r="H348" s="81"/>
      <c r="I348" s="81"/>
      <c r="J348" s="81"/>
      <c r="K348" s="81"/>
      <c r="L348" s="81"/>
      <c r="M348" s="580"/>
      <c r="N348" s="493"/>
      <c r="O348" s="944"/>
    </row>
    <row r="349" spans="1:15" ht="22.5" hidden="1" customHeight="1">
      <c r="A349" s="943"/>
      <c r="B349" s="484" t="s">
        <v>436</v>
      </c>
      <c r="C349" s="484"/>
      <c r="D349" s="484"/>
      <c r="E349" s="484"/>
      <c r="F349" s="484"/>
      <c r="G349" s="81"/>
      <c r="H349" s="81"/>
      <c r="I349" s="81"/>
      <c r="J349" s="81"/>
      <c r="K349" s="81"/>
      <c r="L349" s="81"/>
      <c r="M349" s="580"/>
      <c r="N349" s="493"/>
      <c r="O349" s="944"/>
    </row>
    <row r="350" spans="1:15" ht="23.25" customHeight="1">
      <c r="A350" s="945" t="s">
        <v>161</v>
      </c>
      <c r="B350" s="57" t="s">
        <v>89</v>
      </c>
      <c r="C350" s="484"/>
      <c r="D350" s="484"/>
      <c r="E350" s="484"/>
      <c r="F350" s="484"/>
      <c r="G350" s="80">
        <f t="shared" ref="G350:M350" si="111">G362</f>
        <v>0</v>
      </c>
      <c r="H350" s="80"/>
      <c r="I350" s="80"/>
      <c r="J350" s="80"/>
      <c r="K350" s="80"/>
      <c r="L350" s="80">
        <f t="shared" si="111"/>
        <v>0</v>
      </c>
      <c r="M350" s="439">
        <f t="shared" si="111"/>
        <v>0</v>
      </c>
      <c r="N350" s="493"/>
      <c r="O350" s="484"/>
    </row>
    <row r="351" spans="1:15" ht="24">
      <c r="A351" s="945"/>
      <c r="B351" s="57" t="s">
        <v>235</v>
      </c>
      <c r="C351" s="484"/>
      <c r="D351" s="484"/>
      <c r="E351" s="484"/>
      <c r="F351" s="484"/>
      <c r="G351" s="80">
        <f>G352+G353</f>
        <v>50</v>
      </c>
      <c r="H351" s="80">
        <f t="shared" ref="H351:K351" si="112">H352+H353</f>
        <v>0</v>
      </c>
      <c r="I351" s="80">
        <f t="shared" si="112"/>
        <v>0</v>
      </c>
      <c r="J351" s="80">
        <f t="shared" si="112"/>
        <v>0</v>
      </c>
      <c r="K351" s="80">
        <f t="shared" si="112"/>
        <v>50</v>
      </c>
      <c r="L351" s="80">
        <f t="shared" ref="L351:M351" si="113">L359+L363</f>
        <v>5500</v>
      </c>
      <c r="M351" s="80">
        <f t="shared" si="113"/>
        <v>0</v>
      </c>
      <c r="N351" s="493"/>
      <c r="O351" s="484"/>
    </row>
    <row r="352" spans="1:15" ht="25.5" customHeight="1">
      <c r="A352" s="945"/>
      <c r="B352" s="57" t="s">
        <v>10</v>
      </c>
      <c r="C352" s="484"/>
      <c r="D352" s="484"/>
      <c r="E352" s="484"/>
      <c r="F352" s="484"/>
      <c r="G352" s="80">
        <f>G356+G360+G364</f>
        <v>50</v>
      </c>
      <c r="H352" s="80">
        <f t="shared" ref="H352:K352" si="114">H356+H360+H364</f>
        <v>0</v>
      </c>
      <c r="I352" s="80">
        <f t="shared" si="114"/>
        <v>0</v>
      </c>
      <c r="J352" s="80">
        <f t="shared" si="114"/>
        <v>0</v>
      </c>
      <c r="K352" s="80">
        <f t="shared" si="114"/>
        <v>50</v>
      </c>
      <c r="L352" s="80">
        <f t="shared" ref="L352" si="115">L360+L364</f>
        <v>5500</v>
      </c>
      <c r="M352" s="439">
        <f>M360+M364</f>
        <v>0</v>
      </c>
      <c r="N352" s="493"/>
      <c r="O352" s="484"/>
    </row>
    <row r="353" spans="1:61" ht="27" customHeight="1">
      <c r="A353" s="945"/>
      <c r="B353" s="57" t="s">
        <v>436</v>
      </c>
      <c r="C353" s="484"/>
      <c r="D353" s="484"/>
      <c r="E353" s="484"/>
      <c r="F353" s="484"/>
      <c r="G353" s="80">
        <f t="shared" ref="G353:M353" si="116">G365</f>
        <v>0</v>
      </c>
      <c r="H353" s="80"/>
      <c r="I353" s="80"/>
      <c r="J353" s="80"/>
      <c r="K353" s="80"/>
      <c r="L353" s="80">
        <f t="shared" si="116"/>
        <v>0</v>
      </c>
      <c r="M353" s="439">
        <f t="shared" si="116"/>
        <v>0</v>
      </c>
      <c r="N353" s="493"/>
      <c r="O353" s="484"/>
    </row>
    <row r="354" spans="1:61" ht="30" customHeight="1">
      <c r="A354" s="926" t="s">
        <v>1120</v>
      </c>
      <c r="B354" s="802" t="s">
        <v>89</v>
      </c>
      <c r="C354" s="802"/>
      <c r="D354" s="802"/>
      <c r="E354" s="802"/>
      <c r="F354" s="802"/>
      <c r="G354" s="80"/>
      <c r="H354" s="80"/>
      <c r="I354" s="80"/>
      <c r="J354" s="80"/>
      <c r="K354" s="80"/>
      <c r="L354" s="80"/>
      <c r="M354" s="439"/>
      <c r="N354" s="803"/>
      <c r="O354" s="933" t="s">
        <v>882</v>
      </c>
    </row>
    <row r="355" spans="1:61" ht="24">
      <c r="A355" s="927"/>
      <c r="B355" s="802" t="s">
        <v>235</v>
      </c>
      <c r="C355" s="802"/>
      <c r="D355" s="802"/>
      <c r="E355" s="802"/>
      <c r="F355" s="802"/>
      <c r="G355" s="81">
        <f>K355</f>
        <v>50</v>
      </c>
      <c r="H355" s="81"/>
      <c r="I355" s="81"/>
      <c r="J355" s="81"/>
      <c r="K355" s="81">
        <f>K356</f>
        <v>50</v>
      </c>
      <c r="L355" s="81">
        <f>L356</f>
        <v>0</v>
      </c>
      <c r="M355" s="439">
        <f>M356</f>
        <v>0</v>
      </c>
      <c r="N355" s="803"/>
      <c r="O355" s="946"/>
      <c r="AC355" s="43" t="s">
        <v>877</v>
      </c>
    </row>
    <row r="356" spans="1:61" ht="23.25" customHeight="1">
      <c r="A356" s="927"/>
      <c r="B356" s="802" t="s">
        <v>10</v>
      </c>
      <c r="C356" s="802"/>
      <c r="D356" s="802"/>
      <c r="E356" s="802"/>
      <c r="F356" s="802"/>
      <c r="G356" s="81">
        <f>K356</f>
        <v>50</v>
      </c>
      <c r="H356" s="81"/>
      <c r="I356" s="81"/>
      <c r="J356" s="81"/>
      <c r="K356" s="81">
        <v>50</v>
      </c>
      <c r="L356" s="81"/>
      <c r="M356" s="580">
        <v>0</v>
      </c>
      <c r="N356" s="803"/>
      <c r="O356" s="946"/>
    </row>
    <row r="357" spans="1:61" ht="21.75" customHeight="1">
      <c r="A357" s="928"/>
      <c r="B357" s="802" t="s">
        <v>436</v>
      </c>
      <c r="C357" s="802"/>
      <c r="D357" s="802"/>
      <c r="E357" s="802"/>
      <c r="F357" s="802"/>
      <c r="G357" s="80"/>
      <c r="H357" s="80"/>
      <c r="I357" s="80"/>
      <c r="J357" s="80"/>
      <c r="K357" s="80"/>
      <c r="L357" s="80"/>
      <c r="M357" s="439"/>
      <c r="N357" s="803"/>
      <c r="O357" s="934"/>
    </row>
    <row r="358" spans="1:61" ht="30" customHeight="1">
      <c r="A358" s="926" t="s">
        <v>834</v>
      </c>
      <c r="B358" s="537" t="s">
        <v>89</v>
      </c>
      <c r="C358" s="537"/>
      <c r="D358" s="537"/>
      <c r="E358" s="537"/>
      <c r="F358" s="537"/>
      <c r="G358" s="80"/>
      <c r="H358" s="80"/>
      <c r="I358" s="80"/>
      <c r="J358" s="80"/>
      <c r="K358" s="80"/>
      <c r="L358" s="80"/>
      <c r="M358" s="439"/>
      <c r="N358" s="538"/>
      <c r="O358" s="933" t="s">
        <v>882</v>
      </c>
    </row>
    <row r="359" spans="1:61" ht="24">
      <c r="A359" s="927"/>
      <c r="B359" s="537" t="s">
        <v>235</v>
      </c>
      <c r="C359" s="537"/>
      <c r="D359" s="537"/>
      <c r="E359" s="537"/>
      <c r="F359" s="537"/>
      <c r="G359" s="80"/>
      <c r="H359" s="80"/>
      <c r="I359" s="80"/>
      <c r="J359" s="80"/>
      <c r="K359" s="80"/>
      <c r="L359" s="81">
        <f>L360</f>
        <v>3000</v>
      </c>
      <c r="M359" s="439">
        <f>M360</f>
        <v>0</v>
      </c>
      <c r="N359" s="538"/>
      <c r="O359" s="946"/>
      <c r="AC359" s="43" t="s">
        <v>877</v>
      </c>
    </row>
    <row r="360" spans="1:61" ht="23.25" customHeight="1">
      <c r="A360" s="927"/>
      <c r="B360" s="537" t="s">
        <v>10</v>
      </c>
      <c r="C360" s="537"/>
      <c r="D360" s="537"/>
      <c r="E360" s="537"/>
      <c r="F360" s="537"/>
      <c r="G360" s="80"/>
      <c r="H360" s="80"/>
      <c r="I360" s="80"/>
      <c r="J360" s="80"/>
      <c r="K360" s="80"/>
      <c r="L360" s="81">
        <v>3000</v>
      </c>
      <c r="M360" s="580">
        <v>0</v>
      </c>
      <c r="N360" s="538"/>
      <c r="O360" s="946"/>
    </row>
    <row r="361" spans="1:61" ht="21.75" customHeight="1">
      <c r="A361" s="928"/>
      <c r="B361" s="537" t="s">
        <v>436</v>
      </c>
      <c r="C361" s="537"/>
      <c r="D361" s="537"/>
      <c r="E361" s="537"/>
      <c r="F361" s="537"/>
      <c r="G361" s="80"/>
      <c r="H361" s="80"/>
      <c r="I361" s="80"/>
      <c r="J361" s="80"/>
      <c r="K361" s="80"/>
      <c r="L361" s="80"/>
      <c r="M361" s="439"/>
      <c r="N361" s="538"/>
      <c r="O361" s="934"/>
    </row>
    <row r="362" spans="1:61" ht="20.25" customHeight="1">
      <c r="A362" s="943" t="s">
        <v>1073</v>
      </c>
      <c r="B362" s="484" t="s">
        <v>89</v>
      </c>
      <c r="C362" s="484"/>
      <c r="D362" s="484"/>
      <c r="E362" s="484"/>
      <c r="F362" s="484"/>
      <c r="G362" s="81">
        <v>0</v>
      </c>
      <c r="H362" s="81"/>
      <c r="I362" s="81"/>
      <c r="J362" s="81"/>
      <c r="K362" s="81"/>
      <c r="L362" s="81"/>
      <c r="M362" s="580"/>
      <c r="N362" s="493"/>
      <c r="O362" s="944" t="s">
        <v>882</v>
      </c>
    </row>
    <row r="363" spans="1:61" s="44" customFormat="1" ht="24">
      <c r="A363" s="943"/>
      <c r="B363" s="484" t="s">
        <v>235</v>
      </c>
      <c r="C363" s="484"/>
      <c r="D363" s="484"/>
      <c r="E363" s="484"/>
      <c r="F363" s="484"/>
      <c r="G363" s="81">
        <f t="shared" ref="G363:J363" si="117">G364</f>
        <v>0</v>
      </c>
      <c r="H363" s="81">
        <f t="shared" si="117"/>
        <v>0</v>
      </c>
      <c r="I363" s="81">
        <f t="shared" si="117"/>
        <v>0</v>
      </c>
      <c r="J363" s="81">
        <f t="shared" si="117"/>
        <v>0</v>
      </c>
      <c r="K363" s="81">
        <f>K364</f>
        <v>0</v>
      </c>
      <c r="L363" s="81">
        <f t="shared" ref="L363:M363" si="118">L364+L365</f>
        <v>2500</v>
      </c>
      <c r="M363" s="580">
        <f t="shared" si="118"/>
        <v>0</v>
      </c>
      <c r="N363" s="493"/>
      <c r="O363" s="944"/>
      <c r="AJ363" s="91"/>
      <c r="AK363" s="91"/>
      <c r="AL363" s="91"/>
      <c r="AM363" s="91"/>
      <c r="AN363" s="91"/>
      <c r="AO363" s="91"/>
      <c r="AP363" s="91"/>
      <c r="AQ363" s="91"/>
      <c r="AR363" s="91"/>
      <c r="AS363" s="91"/>
      <c r="AT363" s="91"/>
      <c r="AU363" s="91"/>
      <c r="AV363" s="91"/>
      <c r="AW363" s="91"/>
      <c r="AX363" s="91"/>
      <c r="AY363" s="91"/>
      <c r="AZ363" s="91"/>
      <c r="BA363" s="91"/>
      <c r="BB363" s="91"/>
      <c r="BC363" s="91"/>
      <c r="BD363" s="91"/>
      <c r="BE363" s="91"/>
      <c r="BF363" s="91"/>
      <c r="BG363" s="91"/>
      <c r="BH363" s="91"/>
      <c r="BI363" s="91"/>
    </row>
    <row r="364" spans="1:61" s="44" customFormat="1" ht="24.75" customHeight="1">
      <c r="A364" s="943"/>
      <c r="B364" s="484" t="s">
        <v>10</v>
      </c>
      <c r="C364" s="484"/>
      <c r="D364" s="484"/>
      <c r="E364" s="484"/>
      <c r="F364" s="484"/>
      <c r="G364" s="81">
        <f>K364</f>
        <v>0</v>
      </c>
      <c r="H364" s="81"/>
      <c r="I364" s="81"/>
      <c r="J364" s="81"/>
      <c r="K364" s="81"/>
      <c r="L364" s="81">
        <v>2500</v>
      </c>
      <c r="M364" s="580"/>
      <c r="N364" s="493"/>
      <c r="O364" s="944"/>
      <c r="AJ364" s="91"/>
      <c r="AK364" s="91"/>
      <c r="AL364" s="91"/>
      <c r="AM364" s="91"/>
      <c r="AN364" s="91"/>
      <c r="AO364" s="91"/>
      <c r="AP364" s="91"/>
      <c r="AQ364" s="91"/>
      <c r="AR364" s="91"/>
      <c r="AS364" s="91"/>
      <c r="AT364" s="91"/>
      <c r="AU364" s="91"/>
      <c r="AV364" s="91"/>
      <c r="AW364" s="91"/>
      <c r="AX364" s="91"/>
      <c r="AY364" s="91"/>
      <c r="AZ364" s="91"/>
      <c r="BA364" s="91"/>
      <c r="BB364" s="91"/>
      <c r="BC364" s="91"/>
      <c r="BD364" s="91"/>
      <c r="BE364" s="91"/>
      <c r="BF364" s="91"/>
      <c r="BG364" s="91"/>
      <c r="BH364" s="91"/>
      <c r="BI364" s="91"/>
    </row>
    <row r="365" spans="1:61" s="44" customFormat="1" ht="22.5" customHeight="1">
      <c r="A365" s="943"/>
      <c r="B365" s="484" t="s">
        <v>436</v>
      </c>
      <c r="C365" s="484"/>
      <c r="D365" s="484"/>
      <c r="E365" s="484"/>
      <c r="F365" s="484"/>
      <c r="G365" s="81">
        <v>0</v>
      </c>
      <c r="H365" s="81"/>
      <c r="I365" s="81"/>
      <c r="J365" s="81"/>
      <c r="K365" s="81"/>
      <c r="L365" s="81"/>
      <c r="M365" s="580"/>
      <c r="N365" s="493"/>
      <c r="O365" s="944"/>
      <c r="AJ365" s="91"/>
      <c r="AK365" s="91"/>
      <c r="AL365" s="91"/>
      <c r="AM365" s="91"/>
      <c r="AN365" s="91"/>
      <c r="AO365" s="91"/>
      <c r="AP365" s="91"/>
      <c r="AQ365" s="91"/>
      <c r="AR365" s="91"/>
      <c r="AS365" s="91"/>
      <c r="AT365" s="91"/>
      <c r="AU365" s="91"/>
      <c r="AV365" s="91"/>
      <c r="AW365" s="91"/>
      <c r="AX365" s="91"/>
      <c r="AY365" s="91"/>
      <c r="AZ365" s="91"/>
      <c r="BA365" s="91"/>
      <c r="BB365" s="91"/>
      <c r="BC365" s="91"/>
      <c r="BD365" s="91"/>
      <c r="BE365" s="91"/>
      <c r="BF365" s="91"/>
      <c r="BG365" s="91"/>
      <c r="BH365" s="91"/>
      <c r="BI365" s="91"/>
    </row>
    <row r="366" spans="1:61" s="44" customFormat="1" ht="24.75" customHeight="1">
      <c r="A366" s="945" t="s">
        <v>105</v>
      </c>
      <c r="B366" s="57" t="s">
        <v>89</v>
      </c>
      <c r="C366" s="57"/>
      <c r="D366" s="57"/>
      <c r="E366" s="57"/>
      <c r="F366" s="57"/>
      <c r="G366" s="80">
        <f>+G378</f>
        <v>0</v>
      </c>
      <c r="H366" s="80">
        <f t="shared" ref="H366:M366" si="119">+H378</f>
        <v>0</v>
      </c>
      <c r="I366" s="80">
        <f t="shared" si="119"/>
        <v>0</v>
      </c>
      <c r="J366" s="80">
        <f t="shared" si="119"/>
        <v>0</v>
      </c>
      <c r="K366" s="80">
        <f t="shared" si="119"/>
        <v>0</v>
      </c>
      <c r="L366" s="80">
        <f t="shared" si="119"/>
        <v>0</v>
      </c>
      <c r="M366" s="439">
        <f t="shared" si="119"/>
        <v>0</v>
      </c>
      <c r="N366" s="493"/>
      <c r="O366" s="57"/>
      <c r="AJ366" s="91"/>
      <c r="AK366" s="91"/>
      <c r="AL366" s="91"/>
      <c r="AM366" s="91"/>
      <c r="AN366" s="91"/>
      <c r="AO366" s="91"/>
      <c r="AP366" s="91"/>
      <c r="AQ366" s="91"/>
      <c r="AR366" s="91"/>
      <c r="AS366" s="91"/>
      <c r="AT366" s="91"/>
      <c r="AU366" s="91"/>
      <c r="AV366" s="91"/>
      <c r="AW366" s="91"/>
      <c r="AX366" s="91"/>
      <c r="AY366" s="91"/>
      <c r="AZ366" s="91"/>
      <c r="BA366" s="91"/>
      <c r="BB366" s="91"/>
      <c r="BC366" s="91"/>
      <c r="BD366" s="91"/>
      <c r="BE366" s="91"/>
      <c r="BF366" s="91"/>
      <c r="BG366" s="91"/>
      <c r="BH366" s="91"/>
      <c r="BI366" s="91"/>
    </row>
    <row r="367" spans="1:61" ht="24">
      <c r="A367" s="945"/>
      <c r="B367" s="57" t="s">
        <v>235</v>
      </c>
      <c r="C367" s="57"/>
      <c r="D367" s="57"/>
      <c r="E367" s="57"/>
      <c r="F367" s="57"/>
      <c r="G367" s="80">
        <f>G368+G369</f>
        <v>400</v>
      </c>
      <c r="H367" s="80">
        <f t="shared" ref="H367:M367" si="120">H368+H369</f>
        <v>0</v>
      </c>
      <c r="I367" s="80">
        <f t="shared" si="120"/>
        <v>0</v>
      </c>
      <c r="J367" s="80">
        <f t="shared" si="120"/>
        <v>0</v>
      </c>
      <c r="K367" s="80">
        <f t="shared" si="120"/>
        <v>400</v>
      </c>
      <c r="L367" s="80">
        <f t="shared" si="120"/>
        <v>0</v>
      </c>
      <c r="M367" s="439">
        <f t="shared" si="120"/>
        <v>0</v>
      </c>
      <c r="N367" s="493"/>
      <c r="O367" s="57"/>
    </row>
    <row r="368" spans="1:61" ht="18.75" customHeight="1">
      <c r="A368" s="945"/>
      <c r="B368" s="57" t="s">
        <v>10</v>
      </c>
      <c r="C368" s="57"/>
      <c r="D368" s="57"/>
      <c r="E368" s="57"/>
      <c r="F368" s="57"/>
      <c r="G368" s="80">
        <f>G380</f>
        <v>400</v>
      </c>
      <c r="H368" s="80">
        <f t="shared" ref="H368:M369" si="121">H380</f>
        <v>0</v>
      </c>
      <c r="I368" s="80">
        <f t="shared" si="121"/>
        <v>0</v>
      </c>
      <c r="J368" s="80">
        <f t="shared" si="121"/>
        <v>0</v>
      </c>
      <c r="K368" s="80">
        <f t="shared" si="121"/>
        <v>400</v>
      </c>
      <c r="L368" s="80">
        <f t="shared" si="121"/>
        <v>0</v>
      </c>
      <c r="M368" s="439">
        <f t="shared" si="121"/>
        <v>0</v>
      </c>
      <c r="N368" s="493"/>
      <c r="O368" s="57"/>
    </row>
    <row r="369" spans="1:61" ht="19.5" customHeight="1">
      <c r="A369" s="945"/>
      <c r="B369" s="57" t="s">
        <v>436</v>
      </c>
      <c r="C369" s="57"/>
      <c r="D369" s="57"/>
      <c r="E369" s="57"/>
      <c r="F369" s="57"/>
      <c r="G369" s="80">
        <f>G381</f>
        <v>0</v>
      </c>
      <c r="H369" s="80"/>
      <c r="I369" s="80"/>
      <c r="J369" s="80"/>
      <c r="K369" s="80"/>
      <c r="L369" s="80">
        <f t="shared" si="121"/>
        <v>0</v>
      </c>
      <c r="M369" s="439">
        <f t="shared" si="121"/>
        <v>0</v>
      </c>
      <c r="N369" s="493"/>
      <c r="O369" s="57"/>
    </row>
    <row r="370" spans="1:61" hidden="1">
      <c r="A370" s="967" t="s">
        <v>20</v>
      </c>
      <c r="B370" s="484" t="s">
        <v>89</v>
      </c>
      <c r="C370" s="484">
        <v>176</v>
      </c>
      <c r="D370" s="484" t="s">
        <v>15</v>
      </c>
      <c r="E370" s="484">
        <v>6100404</v>
      </c>
      <c r="F370" s="484">
        <v>414</v>
      </c>
      <c r="G370" s="81">
        <v>0</v>
      </c>
      <c r="H370" s="81"/>
      <c r="I370" s="81"/>
      <c r="J370" s="81"/>
      <c r="K370" s="81"/>
      <c r="L370" s="81"/>
      <c r="M370" s="580"/>
      <c r="N370" s="493"/>
      <c r="O370" s="944" t="s">
        <v>195</v>
      </c>
    </row>
    <row r="371" spans="1:61" ht="24" hidden="1">
      <c r="A371" s="968"/>
      <c r="B371" s="484" t="s">
        <v>235</v>
      </c>
      <c r="C371" s="484"/>
      <c r="D371" s="484"/>
      <c r="E371" s="484"/>
      <c r="F371" s="484"/>
      <c r="G371" s="81">
        <f t="shared" ref="G371:L371" si="122">G372+G373</f>
        <v>0</v>
      </c>
      <c r="H371" s="81"/>
      <c r="I371" s="81"/>
      <c r="J371" s="81"/>
      <c r="K371" s="81"/>
      <c r="L371" s="81">
        <f t="shared" si="122"/>
        <v>0</v>
      </c>
      <c r="M371" s="580"/>
      <c r="N371" s="493"/>
      <c r="O371" s="944"/>
    </row>
    <row r="372" spans="1:61" hidden="1">
      <c r="A372" s="968"/>
      <c r="B372" s="484" t="s">
        <v>10</v>
      </c>
      <c r="C372" s="484"/>
      <c r="D372" s="484"/>
      <c r="E372" s="484"/>
      <c r="F372" s="484"/>
      <c r="G372" s="81"/>
      <c r="H372" s="81"/>
      <c r="I372" s="81"/>
      <c r="J372" s="81"/>
      <c r="K372" s="81"/>
      <c r="L372" s="81"/>
      <c r="M372" s="580"/>
      <c r="N372" s="493"/>
      <c r="O372" s="944"/>
    </row>
    <row r="373" spans="1:61" hidden="1">
      <c r="A373" s="969"/>
      <c r="B373" s="484" t="s">
        <v>34</v>
      </c>
      <c r="C373" s="484"/>
      <c r="D373" s="484"/>
      <c r="E373" s="484"/>
      <c r="F373" s="484"/>
      <c r="G373" s="81"/>
      <c r="H373" s="81"/>
      <c r="I373" s="81"/>
      <c r="J373" s="81"/>
      <c r="K373" s="81"/>
      <c r="L373" s="81"/>
      <c r="M373" s="580"/>
      <c r="N373" s="493"/>
      <c r="O373" s="944"/>
    </row>
    <row r="374" spans="1:61" hidden="1">
      <c r="A374" s="943" t="s">
        <v>220</v>
      </c>
      <c r="B374" s="484" t="s">
        <v>89</v>
      </c>
      <c r="C374" s="484"/>
      <c r="D374" s="484"/>
      <c r="E374" s="484"/>
      <c r="F374" s="484"/>
      <c r="G374" s="81"/>
      <c r="H374" s="81"/>
      <c r="I374" s="81"/>
      <c r="J374" s="81"/>
      <c r="K374" s="81"/>
      <c r="L374" s="81"/>
      <c r="M374" s="580"/>
      <c r="N374" s="493"/>
      <c r="O374" s="944" t="s">
        <v>212</v>
      </c>
    </row>
    <row r="375" spans="1:61" s="44" customFormat="1" ht="24" hidden="1">
      <c r="A375" s="943"/>
      <c r="B375" s="484" t="s">
        <v>235</v>
      </c>
      <c r="C375" s="484"/>
      <c r="D375" s="484"/>
      <c r="E375" s="484"/>
      <c r="F375" s="484"/>
      <c r="G375" s="81">
        <f t="shared" ref="G375:L375" si="123">G376+G377</f>
        <v>0</v>
      </c>
      <c r="H375" s="81"/>
      <c r="I375" s="81"/>
      <c r="J375" s="81"/>
      <c r="K375" s="81"/>
      <c r="L375" s="81">
        <f t="shared" si="123"/>
        <v>0</v>
      </c>
      <c r="M375" s="580"/>
      <c r="N375" s="493"/>
      <c r="O375" s="944"/>
      <c r="AJ375" s="91"/>
      <c r="AK375" s="91"/>
      <c r="AL375" s="91"/>
      <c r="AM375" s="91"/>
      <c r="AN375" s="91"/>
      <c r="AO375" s="91"/>
      <c r="AP375" s="91"/>
      <c r="AQ375" s="91"/>
      <c r="AR375" s="91"/>
      <c r="AS375" s="91"/>
      <c r="AT375" s="91"/>
      <c r="AU375" s="91"/>
      <c r="AV375" s="91"/>
      <c r="AW375" s="91"/>
      <c r="AX375" s="91"/>
      <c r="AY375" s="91"/>
      <c r="AZ375" s="91"/>
      <c r="BA375" s="91"/>
      <c r="BB375" s="91"/>
      <c r="BC375" s="91"/>
      <c r="BD375" s="91"/>
      <c r="BE375" s="91"/>
      <c r="BF375" s="91"/>
      <c r="BG375" s="91"/>
      <c r="BH375" s="91"/>
      <c r="BI375" s="91"/>
    </row>
    <row r="376" spans="1:61" s="44" customFormat="1" ht="14.25" hidden="1">
      <c r="A376" s="943"/>
      <c r="B376" s="484" t="s">
        <v>10</v>
      </c>
      <c r="C376" s="484"/>
      <c r="D376" s="484"/>
      <c r="E376" s="484"/>
      <c r="F376" s="484"/>
      <c r="G376" s="81"/>
      <c r="H376" s="81"/>
      <c r="I376" s="81"/>
      <c r="J376" s="81"/>
      <c r="K376" s="81"/>
      <c r="L376" s="81"/>
      <c r="M376" s="580"/>
      <c r="N376" s="493"/>
      <c r="O376" s="944"/>
      <c r="AJ376" s="91"/>
      <c r="AK376" s="91"/>
      <c r="AL376" s="91"/>
      <c r="AM376" s="91"/>
      <c r="AN376" s="91"/>
      <c r="AO376" s="91"/>
      <c r="AP376" s="91"/>
      <c r="AQ376" s="91"/>
      <c r="AR376" s="91"/>
      <c r="AS376" s="91"/>
      <c r="AT376" s="91"/>
      <c r="AU376" s="91"/>
      <c r="AV376" s="91"/>
      <c r="AW376" s="91"/>
      <c r="AX376" s="91"/>
      <c r="AY376" s="91"/>
      <c r="AZ376" s="91"/>
      <c r="BA376" s="91"/>
      <c r="BB376" s="91"/>
      <c r="BC376" s="91"/>
      <c r="BD376" s="91"/>
      <c r="BE376" s="91"/>
      <c r="BF376" s="91"/>
      <c r="BG376" s="91"/>
      <c r="BH376" s="91"/>
      <c r="BI376" s="91"/>
    </row>
    <row r="377" spans="1:61" s="44" customFormat="1" ht="14.25" hidden="1">
      <c r="A377" s="943"/>
      <c r="B377" s="484" t="s">
        <v>34</v>
      </c>
      <c r="C377" s="484"/>
      <c r="D377" s="484"/>
      <c r="E377" s="484"/>
      <c r="F377" s="484"/>
      <c r="G377" s="81"/>
      <c r="H377" s="81"/>
      <c r="I377" s="81"/>
      <c r="J377" s="81"/>
      <c r="K377" s="81"/>
      <c r="L377" s="81"/>
      <c r="M377" s="580"/>
      <c r="N377" s="493"/>
      <c r="O377" s="944"/>
      <c r="AJ377" s="91"/>
      <c r="AK377" s="91"/>
      <c r="AL377" s="91"/>
      <c r="AM377" s="91"/>
      <c r="AN377" s="91"/>
      <c r="AO377" s="91"/>
      <c r="AP377" s="91"/>
      <c r="AQ377" s="91"/>
      <c r="AR377" s="91"/>
      <c r="AS377" s="91"/>
      <c r="AT377" s="91"/>
      <c r="AU377" s="91"/>
      <c r="AV377" s="91"/>
      <c r="AW377" s="91"/>
      <c r="AX377" s="91"/>
      <c r="AY377" s="91"/>
      <c r="AZ377" s="91"/>
      <c r="BA377" s="91"/>
      <c r="BB377" s="91"/>
      <c r="BC377" s="91"/>
      <c r="BD377" s="91"/>
      <c r="BE377" s="91"/>
      <c r="BF377" s="91"/>
      <c r="BG377" s="91"/>
      <c r="BH377" s="91"/>
      <c r="BI377" s="91"/>
    </row>
    <row r="378" spans="1:61" s="44" customFormat="1" ht="21.75" customHeight="1">
      <c r="A378" s="967" t="s">
        <v>306</v>
      </c>
      <c r="B378" s="484" t="s">
        <v>89</v>
      </c>
      <c r="C378" s="484"/>
      <c r="D378" s="484"/>
      <c r="E378" s="484"/>
      <c r="F378" s="484"/>
      <c r="G378" s="81">
        <f>K378</f>
        <v>0</v>
      </c>
      <c r="H378" s="81"/>
      <c r="I378" s="81"/>
      <c r="J378" s="81"/>
      <c r="K378" s="81"/>
      <c r="L378" s="81"/>
      <c r="M378" s="580"/>
      <c r="N378" s="493"/>
      <c r="O378" s="944" t="s">
        <v>886</v>
      </c>
      <c r="AJ378" s="91"/>
      <c r="AK378" s="91"/>
      <c r="AL378" s="91"/>
      <c r="AM378" s="91"/>
      <c r="AN378" s="91"/>
      <c r="AO378" s="91"/>
      <c r="AP378" s="91"/>
      <c r="AQ378" s="91"/>
      <c r="AR378" s="91"/>
      <c r="AS378" s="91"/>
      <c r="AT378" s="91"/>
      <c r="AU378" s="91"/>
      <c r="AV378" s="91"/>
      <c r="AW378" s="91"/>
      <c r="AX378" s="91"/>
      <c r="AY378" s="91"/>
      <c r="AZ378" s="91"/>
      <c r="BA378" s="91"/>
      <c r="BB378" s="91"/>
      <c r="BC378" s="91"/>
      <c r="BD378" s="91"/>
      <c r="BE378" s="91"/>
      <c r="BF378" s="91"/>
      <c r="BG378" s="91"/>
      <c r="BH378" s="91"/>
      <c r="BI378" s="91"/>
    </row>
    <row r="379" spans="1:61" s="44" customFormat="1" ht="33.75" customHeight="1">
      <c r="A379" s="968"/>
      <c r="B379" s="484" t="s">
        <v>235</v>
      </c>
      <c r="C379" s="484"/>
      <c r="D379" s="484"/>
      <c r="E379" s="484"/>
      <c r="F379" s="484"/>
      <c r="G379" s="81">
        <f>G380</f>
        <v>400</v>
      </c>
      <c r="H379" s="81">
        <f t="shared" ref="H379:K379" si="124">H380</f>
        <v>0</v>
      </c>
      <c r="I379" s="81">
        <f t="shared" si="124"/>
        <v>0</v>
      </c>
      <c r="J379" s="81">
        <f t="shared" si="124"/>
        <v>0</v>
      </c>
      <c r="K379" s="81">
        <f t="shared" si="124"/>
        <v>400</v>
      </c>
      <c r="L379" s="81">
        <f>L380</f>
        <v>0</v>
      </c>
      <c r="M379" s="580"/>
      <c r="N379" s="493"/>
      <c r="O379" s="944"/>
      <c r="AJ379" s="91"/>
      <c r="AK379" s="91"/>
      <c r="AL379" s="91"/>
      <c r="AM379" s="91"/>
      <c r="AN379" s="91"/>
      <c r="AO379" s="91"/>
      <c r="AP379" s="91"/>
      <c r="AQ379" s="91"/>
      <c r="AR379" s="91"/>
      <c r="AS379" s="91"/>
      <c r="AT379" s="91"/>
      <c r="AU379" s="91"/>
      <c r="AV379" s="91"/>
      <c r="AW379" s="91"/>
      <c r="AX379" s="91"/>
      <c r="AY379" s="91"/>
      <c r="AZ379" s="91"/>
      <c r="BA379" s="91"/>
      <c r="BB379" s="91"/>
      <c r="BC379" s="91"/>
      <c r="BD379" s="91"/>
      <c r="BE379" s="91"/>
      <c r="BF379" s="91"/>
      <c r="BG379" s="91"/>
      <c r="BH379" s="91"/>
      <c r="BI379" s="91"/>
    </row>
    <row r="380" spans="1:61" s="44" customFormat="1" ht="24" customHeight="1">
      <c r="A380" s="968"/>
      <c r="B380" s="484" t="s">
        <v>10</v>
      </c>
      <c r="C380" s="484"/>
      <c r="D380" s="484"/>
      <c r="E380" s="484"/>
      <c r="F380" s="484"/>
      <c r="G380" s="81">
        <f>J380+K380</f>
        <v>400</v>
      </c>
      <c r="H380" s="81"/>
      <c r="I380" s="81"/>
      <c r="J380" s="81"/>
      <c r="K380" s="81">
        <v>400</v>
      </c>
      <c r="L380" s="81"/>
      <c r="M380" s="580"/>
      <c r="N380" s="493"/>
      <c r="O380" s="944"/>
      <c r="AJ380" s="91"/>
      <c r="AK380" s="91"/>
      <c r="AL380" s="91"/>
      <c r="AM380" s="91"/>
      <c r="AN380" s="91"/>
      <c r="AO380" s="91"/>
      <c r="AP380" s="91"/>
      <c r="AQ380" s="91"/>
      <c r="AR380" s="91"/>
      <c r="AS380" s="91"/>
      <c r="AT380" s="91"/>
      <c r="AU380" s="91"/>
      <c r="AV380" s="91"/>
      <c r="AW380" s="91"/>
      <c r="AX380" s="91"/>
      <c r="AY380" s="91"/>
      <c r="AZ380" s="91"/>
      <c r="BA380" s="91"/>
      <c r="BB380" s="91"/>
      <c r="BC380" s="91"/>
      <c r="BD380" s="91"/>
      <c r="BE380" s="91"/>
      <c r="BF380" s="91"/>
      <c r="BG380" s="91"/>
      <c r="BH380" s="91"/>
      <c r="BI380" s="91"/>
    </row>
    <row r="381" spans="1:61" s="44" customFormat="1" ht="21" customHeight="1">
      <c r="A381" s="969"/>
      <c r="B381" s="484" t="s">
        <v>436</v>
      </c>
      <c r="C381" s="484"/>
      <c r="D381" s="484"/>
      <c r="E381" s="484"/>
      <c r="F381" s="484"/>
      <c r="G381" s="81"/>
      <c r="H381" s="81"/>
      <c r="I381" s="81"/>
      <c r="J381" s="81"/>
      <c r="K381" s="81"/>
      <c r="L381" s="81"/>
      <c r="M381" s="580"/>
      <c r="N381" s="493"/>
      <c r="O381" s="944"/>
      <c r="AJ381" s="91"/>
      <c r="AK381" s="91"/>
      <c r="AL381" s="91"/>
      <c r="AM381" s="91"/>
      <c r="AN381" s="91"/>
      <c r="AO381" s="91"/>
      <c r="AP381" s="91"/>
      <c r="AQ381" s="91"/>
      <c r="AR381" s="91"/>
      <c r="AS381" s="91"/>
      <c r="AT381" s="91"/>
      <c r="AU381" s="91"/>
      <c r="AV381" s="91"/>
      <c r="AW381" s="91"/>
      <c r="AX381" s="91"/>
      <c r="AY381" s="91"/>
      <c r="AZ381" s="91"/>
      <c r="BA381" s="91"/>
      <c r="BB381" s="91"/>
      <c r="BC381" s="91"/>
      <c r="BD381" s="91"/>
      <c r="BE381" s="91"/>
      <c r="BF381" s="91"/>
      <c r="BG381" s="91"/>
      <c r="BH381" s="91"/>
      <c r="BI381" s="91"/>
    </row>
    <row r="382" spans="1:61" s="44" customFormat="1" ht="23.25" customHeight="1">
      <c r="A382" s="887" t="s">
        <v>106</v>
      </c>
      <c r="B382" s="57" t="s">
        <v>89</v>
      </c>
      <c r="C382" s="57"/>
      <c r="D382" s="57"/>
      <c r="E382" s="57"/>
      <c r="F382" s="57"/>
      <c r="G382" s="80">
        <f>G386+G390</f>
        <v>0</v>
      </c>
      <c r="H382" s="80">
        <f t="shared" ref="H382:K382" si="125">H386+H390</f>
        <v>0</v>
      </c>
      <c r="I382" s="80">
        <f t="shared" si="125"/>
        <v>0</v>
      </c>
      <c r="J382" s="80">
        <f t="shared" si="125"/>
        <v>0</v>
      </c>
      <c r="K382" s="80">
        <f t="shared" si="125"/>
        <v>0</v>
      </c>
      <c r="L382" s="80">
        <f>L386+L390</f>
        <v>0</v>
      </c>
      <c r="M382" s="439">
        <f>M386+M390</f>
        <v>0</v>
      </c>
      <c r="N382" s="493"/>
      <c r="O382" s="57"/>
      <c r="AJ382" s="91"/>
      <c r="AK382" s="91"/>
      <c r="AL382" s="91"/>
      <c r="AM382" s="91"/>
      <c r="AN382" s="91"/>
      <c r="AO382" s="91"/>
      <c r="AP382" s="91"/>
      <c r="AQ382" s="91"/>
      <c r="AR382" s="91"/>
      <c r="AS382" s="91"/>
      <c r="AT382" s="91"/>
      <c r="AU382" s="91"/>
      <c r="AV382" s="91"/>
      <c r="AW382" s="91"/>
      <c r="AX382" s="91"/>
      <c r="AY382" s="91"/>
      <c r="AZ382" s="91"/>
      <c r="BA382" s="91"/>
      <c r="BB382" s="91"/>
      <c r="BC382" s="91"/>
      <c r="BD382" s="91"/>
      <c r="BE382" s="91"/>
      <c r="BF382" s="91"/>
      <c r="BG382" s="91"/>
      <c r="BH382" s="91"/>
      <c r="BI382" s="91"/>
    </row>
    <row r="383" spans="1:61" ht="24">
      <c r="A383" s="888"/>
      <c r="B383" s="57" t="s">
        <v>235</v>
      </c>
      <c r="C383" s="57"/>
      <c r="D383" s="57"/>
      <c r="E383" s="57"/>
      <c r="F383" s="57"/>
      <c r="G383" s="80">
        <f t="shared" ref="G383:M383" si="126">G385+G384</f>
        <v>84857.2</v>
      </c>
      <c r="H383" s="80">
        <f t="shared" si="126"/>
        <v>0</v>
      </c>
      <c r="I383" s="80">
        <f t="shared" si="126"/>
        <v>0</v>
      </c>
      <c r="J383" s="80">
        <f t="shared" si="126"/>
        <v>0</v>
      </c>
      <c r="K383" s="80">
        <f t="shared" si="126"/>
        <v>84857.2</v>
      </c>
      <c r="L383" s="80">
        <f t="shared" si="126"/>
        <v>0</v>
      </c>
      <c r="M383" s="439">
        <f t="shared" si="126"/>
        <v>0</v>
      </c>
      <c r="N383" s="493"/>
      <c r="O383" s="57"/>
    </row>
    <row r="384" spans="1:61" ht="23.25" customHeight="1">
      <c r="A384" s="888"/>
      <c r="B384" s="57" t="s">
        <v>10</v>
      </c>
      <c r="C384" s="57"/>
      <c r="D384" s="57"/>
      <c r="E384" s="57"/>
      <c r="F384" s="57"/>
      <c r="G384" s="80">
        <f t="shared" ref="G384:M385" si="127">G388+G392</f>
        <v>84857.2</v>
      </c>
      <c r="H384" s="80">
        <f t="shared" si="127"/>
        <v>0</v>
      </c>
      <c r="I384" s="80">
        <f t="shared" si="127"/>
        <v>0</v>
      </c>
      <c r="J384" s="80">
        <f t="shared" si="127"/>
        <v>0</v>
      </c>
      <c r="K384" s="80">
        <f t="shared" si="127"/>
        <v>84857.2</v>
      </c>
      <c r="L384" s="80">
        <f t="shared" si="127"/>
        <v>0</v>
      </c>
      <c r="M384" s="439">
        <f t="shared" si="127"/>
        <v>0</v>
      </c>
      <c r="N384" s="493"/>
      <c r="O384" s="57"/>
    </row>
    <row r="385" spans="1:61" ht="19.5" customHeight="1">
      <c r="A385" s="889"/>
      <c r="B385" s="57" t="s">
        <v>436</v>
      </c>
      <c r="C385" s="57"/>
      <c r="D385" s="57"/>
      <c r="E385" s="57"/>
      <c r="F385" s="57"/>
      <c r="G385" s="80">
        <f t="shared" si="127"/>
        <v>0</v>
      </c>
      <c r="H385" s="80">
        <f t="shared" si="127"/>
        <v>0</v>
      </c>
      <c r="I385" s="80">
        <f t="shared" si="127"/>
        <v>0</v>
      </c>
      <c r="J385" s="80">
        <f t="shared" si="127"/>
        <v>0</v>
      </c>
      <c r="K385" s="80">
        <f t="shared" si="127"/>
        <v>0</v>
      </c>
      <c r="L385" s="80">
        <f t="shared" si="127"/>
        <v>0</v>
      </c>
      <c r="M385" s="439">
        <f t="shared" si="127"/>
        <v>0</v>
      </c>
      <c r="N385" s="493"/>
      <c r="O385" s="57"/>
    </row>
    <row r="386" spans="1:61" hidden="1">
      <c r="A386" s="943" t="s">
        <v>21</v>
      </c>
      <c r="B386" s="492" t="s">
        <v>89</v>
      </c>
      <c r="C386" s="492">
        <v>176</v>
      </c>
      <c r="D386" s="492" t="s">
        <v>15</v>
      </c>
      <c r="E386" s="492">
        <v>6100404</v>
      </c>
      <c r="F386" s="492">
        <v>414</v>
      </c>
      <c r="G386" s="82"/>
      <c r="H386" s="82"/>
      <c r="I386" s="82"/>
      <c r="J386" s="82"/>
      <c r="K386" s="82"/>
      <c r="L386" s="82"/>
      <c r="M386" s="593"/>
      <c r="N386" s="493"/>
      <c r="O386" s="1003" t="s">
        <v>198</v>
      </c>
    </row>
    <row r="387" spans="1:61" ht="24" hidden="1">
      <c r="A387" s="943"/>
      <c r="B387" s="492" t="s">
        <v>235</v>
      </c>
      <c r="C387" s="492"/>
      <c r="D387" s="492"/>
      <c r="E387" s="492"/>
      <c r="F387" s="492"/>
      <c r="G387" s="82">
        <f t="shared" ref="G387:L387" si="128">G388+G389</f>
        <v>0</v>
      </c>
      <c r="H387" s="82"/>
      <c r="I387" s="82"/>
      <c r="J387" s="82"/>
      <c r="K387" s="82"/>
      <c r="L387" s="82">
        <f t="shared" si="128"/>
        <v>0</v>
      </c>
      <c r="M387" s="593"/>
      <c r="N387" s="493"/>
      <c r="O387" s="1003"/>
    </row>
    <row r="388" spans="1:61" hidden="1">
      <c r="A388" s="943"/>
      <c r="B388" s="492" t="s">
        <v>10</v>
      </c>
      <c r="C388" s="492"/>
      <c r="D388" s="492"/>
      <c r="E388" s="492"/>
      <c r="F388" s="492"/>
      <c r="G388" s="82"/>
      <c r="H388" s="82"/>
      <c r="I388" s="82"/>
      <c r="J388" s="82"/>
      <c r="K388" s="82"/>
      <c r="L388" s="82"/>
      <c r="M388" s="593"/>
      <c r="N388" s="493"/>
      <c r="O388" s="1003"/>
    </row>
    <row r="389" spans="1:61" hidden="1">
      <c r="A389" s="943"/>
      <c r="B389" s="492" t="s">
        <v>34</v>
      </c>
      <c r="C389" s="492"/>
      <c r="D389" s="492"/>
      <c r="E389" s="492"/>
      <c r="F389" s="492"/>
      <c r="G389" s="82"/>
      <c r="H389" s="82"/>
      <c r="I389" s="82"/>
      <c r="J389" s="82"/>
      <c r="K389" s="82"/>
      <c r="L389" s="82"/>
      <c r="M389" s="593"/>
      <c r="N389" s="493"/>
      <c r="O389" s="1003"/>
    </row>
    <row r="390" spans="1:61" ht="21.75" customHeight="1">
      <c r="A390" s="943" t="s">
        <v>1091</v>
      </c>
      <c r="B390" s="484" t="s">
        <v>89</v>
      </c>
      <c r="C390" s="484"/>
      <c r="D390" s="484"/>
      <c r="E390" s="484"/>
      <c r="F390" s="484"/>
      <c r="G390" s="81">
        <f>K390</f>
        <v>0</v>
      </c>
      <c r="H390" s="81"/>
      <c r="I390" s="81"/>
      <c r="J390" s="81"/>
      <c r="K390" s="81"/>
      <c r="L390" s="81"/>
      <c r="M390" s="580"/>
      <c r="N390" s="493"/>
      <c r="O390" s="944" t="s">
        <v>822</v>
      </c>
    </row>
    <row r="391" spans="1:61" ht="24">
      <c r="A391" s="943"/>
      <c r="B391" s="484" t="s">
        <v>235</v>
      </c>
      <c r="C391" s="484"/>
      <c r="D391" s="484"/>
      <c r="E391" s="484"/>
      <c r="F391" s="484"/>
      <c r="G391" s="81">
        <f>K391</f>
        <v>84857.2</v>
      </c>
      <c r="H391" s="81"/>
      <c r="I391" s="81"/>
      <c r="J391" s="81"/>
      <c r="K391" s="81">
        <f>K392+K393</f>
        <v>84857.2</v>
      </c>
      <c r="L391" s="81">
        <f t="shared" ref="L391:M391" si="129">L392+L393</f>
        <v>0</v>
      </c>
      <c r="M391" s="580">
        <f t="shared" si="129"/>
        <v>0</v>
      </c>
      <c r="N391" s="493"/>
      <c r="O391" s="944"/>
    </row>
    <row r="392" spans="1:61" ht="23.25" customHeight="1">
      <c r="A392" s="943"/>
      <c r="B392" s="484" t="s">
        <v>10</v>
      </c>
      <c r="C392" s="484"/>
      <c r="D392" s="484"/>
      <c r="E392" s="484"/>
      <c r="F392" s="484"/>
      <c r="G392" s="81">
        <f t="shared" ref="G392:G393" si="130">K392</f>
        <v>84857.2</v>
      </c>
      <c r="H392" s="81"/>
      <c r="I392" s="81"/>
      <c r="J392" s="81"/>
      <c r="K392" s="81">
        <v>84857.2</v>
      </c>
      <c r="L392" s="81"/>
      <c r="M392" s="580">
        <v>0</v>
      </c>
      <c r="N392" s="493"/>
      <c r="O392" s="944"/>
    </row>
    <row r="393" spans="1:61" ht="25.5" customHeight="1">
      <c r="A393" s="943"/>
      <c r="B393" s="484" t="s">
        <v>436</v>
      </c>
      <c r="C393" s="484"/>
      <c r="D393" s="484"/>
      <c r="E393" s="484"/>
      <c r="F393" s="484"/>
      <c r="G393" s="81">
        <f t="shared" si="130"/>
        <v>0</v>
      </c>
      <c r="H393" s="81"/>
      <c r="I393" s="81"/>
      <c r="J393" s="81"/>
      <c r="K393" s="81"/>
      <c r="L393" s="81"/>
      <c r="M393" s="580"/>
      <c r="N393" s="493"/>
      <c r="O393" s="944"/>
    </row>
    <row r="394" spans="1:61" s="44" customFormat="1" ht="24" customHeight="1">
      <c r="A394" s="945" t="s">
        <v>137</v>
      </c>
      <c r="B394" s="57" t="s">
        <v>89</v>
      </c>
      <c r="C394" s="57"/>
      <c r="D394" s="57"/>
      <c r="E394" s="57"/>
      <c r="F394" s="57"/>
      <c r="G394" s="80">
        <f t="shared" ref="G394:K394" si="131">G406</f>
        <v>0</v>
      </c>
      <c r="H394" s="80">
        <f t="shared" si="131"/>
        <v>0</v>
      </c>
      <c r="I394" s="80">
        <f t="shared" si="131"/>
        <v>0</v>
      </c>
      <c r="J394" s="80">
        <f t="shared" si="131"/>
        <v>0</v>
      </c>
      <c r="K394" s="80">
        <f t="shared" si="131"/>
        <v>0</v>
      </c>
      <c r="L394" s="80">
        <f>L402+L406</f>
        <v>0</v>
      </c>
      <c r="M394" s="439">
        <f>M402+M406</f>
        <v>0</v>
      </c>
      <c r="N394" s="493"/>
      <c r="O394" s="57"/>
      <c r="AJ394" s="91"/>
      <c r="AK394" s="91"/>
      <c r="AL394" s="91"/>
      <c r="AM394" s="91"/>
      <c r="AN394" s="91"/>
      <c r="AO394" s="91"/>
      <c r="AP394" s="91"/>
      <c r="AQ394" s="91"/>
      <c r="AR394" s="91"/>
      <c r="AS394" s="91"/>
      <c r="AT394" s="91"/>
      <c r="AU394" s="91"/>
      <c r="AV394" s="91"/>
      <c r="AW394" s="91"/>
      <c r="AX394" s="91"/>
      <c r="AY394" s="91"/>
      <c r="AZ394" s="91"/>
      <c r="BA394" s="91"/>
      <c r="BB394" s="91"/>
      <c r="BC394" s="91"/>
      <c r="BD394" s="91"/>
      <c r="BE394" s="91"/>
      <c r="BF394" s="91"/>
      <c r="BG394" s="91"/>
      <c r="BH394" s="91"/>
      <c r="BI394" s="91"/>
    </row>
    <row r="395" spans="1:61" ht="24">
      <c r="A395" s="945"/>
      <c r="B395" s="57" t="s">
        <v>235</v>
      </c>
      <c r="C395" s="57"/>
      <c r="D395" s="57"/>
      <c r="E395" s="57"/>
      <c r="F395" s="57"/>
      <c r="G395" s="80">
        <f t="shared" ref="G395:M395" si="132">G396+G397</f>
        <v>7929.4</v>
      </c>
      <c r="H395" s="80">
        <f t="shared" si="132"/>
        <v>0</v>
      </c>
      <c r="I395" s="80">
        <f t="shared" si="132"/>
        <v>0</v>
      </c>
      <c r="J395" s="80">
        <f t="shared" si="132"/>
        <v>0</v>
      </c>
      <c r="K395" s="80">
        <f t="shared" si="132"/>
        <v>7929.4</v>
      </c>
      <c r="L395" s="80">
        <f t="shared" si="132"/>
        <v>9000</v>
      </c>
      <c r="M395" s="439">
        <f t="shared" si="132"/>
        <v>0</v>
      </c>
      <c r="N395" s="493"/>
      <c r="O395" s="57"/>
    </row>
    <row r="396" spans="1:61" ht="24.75" customHeight="1">
      <c r="A396" s="945"/>
      <c r="B396" s="57" t="s">
        <v>10</v>
      </c>
      <c r="C396" s="57"/>
      <c r="D396" s="57"/>
      <c r="E396" s="57"/>
      <c r="F396" s="57"/>
      <c r="G396" s="439">
        <f t="shared" ref="G396:K396" si="133">G404+G408</f>
        <v>7929.4</v>
      </c>
      <c r="H396" s="439">
        <f t="shared" si="133"/>
        <v>0</v>
      </c>
      <c r="I396" s="439">
        <f t="shared" si="133"/>
        <v>0</v>
      </c>
      <c r="J396" s="439">
        <f t="shared" si="133"/>
        <v>0</v>
      </c>
      <c r="K396" s="439">
        <f t="shared" si="133"/>
        <v>7929.4</v>
      </c>
      <c r="L396" s="80">
        <f>L404+L408</f>
        <v>9000</v>
      </c>
      <c r="M396" s="439">
        <f>M403+M408</f>
        <v>0</v>
      </c>
      <c r="N396" s="493"/>
      <c r="O396" s="57"/>
    </row>
    <row r="397" spans="1:61" ht="24.75" customHeight="1">
      <c r="A397" s="945"/>
      <c r="B397" s="57" t="s">
        <v>436</v>
      </c>
      <c r="C397" s="57"/>
      <c r="D397" s="57"/>
      <c r="E397" s="57"/>
      <c r="F397" s="57"/>
      <c r="G397" s="80">
        <f>G409</f>
        <v>0</v>
      </c>
      <c r="H397" s="80">
        <f>H409</f>
        <v>0</v>
      </c>
      <c r="I397" s="80">
        <f>I409</f>
        <v>0</v>
      </c>
      <c r="J397" s="80">
        <f>J409</f>
        <v>0</v>
      </c>
      <c r="K397" s="80">
        <f>K409</f>
        <v>0</v>
      </c>
      <c r="L397" s="80">
        <f>L405+L409</f>
        <v>0</v>
      </c>
      <c r="M397" s="439">
        <f>M405+M409</f>
        <v>0</v>
      </c>
      <c r="N397" s="493"/>
      <c r="O397" s="57"/>
    </row>
    <row r="398" spans="1:61" hidden="1">
      <c r="A398" s="926"/>
      <c r="B398" s="537" t="s">
        <v>89</v>
      </c>
      <c r="C398" s="57"/>
      <c r="D398" s="57"/>
      <c r="E398" s="57"/>
      <c r="F398" s="57"/>
      <c r="G398" s="80"/>
      <c r="H398" s="80"/>
      <c r="I398" s="80"/>
      <c r="J398" s="80"/>
      <c r="K398" s="80"/>
      <c r="L398" s="80"/>
      <c r="M398" s="439"/>
      <c r="N398" s="538"/>
      <c r="O398" s="1053"/>
    </row>
    <row r="399" spans="1:61" ht="24" hidden="1">
      <c r="A399" s="927"/>
      <c r="B399" s="537" t="s">
        <v>235</v>
      </c>
      <c r="C399" s="57"/>
      <c r="D399" s="57"/>
      <c r="E399" s="57"/>
      <c r="F399" s="57"/>
      <c r="G399" s="80"/>
      <c r="H399" s="80"/>
      <c r="I399" s="80"/>
      <c r="J399" s="80"/>
      <c r="K399" s="80"/>
      <c r="L399" s="80"/>
      <c r="M399" s="439"/>
      <c r="N399" s="538"/>
      <c r="O399" s="1054"/>
    </row>
    <row r="400" spans="1:61" ht="18" hidden="1" customHeight="1">
      <c r="A400" s="927"/>
      <c r="B400" s="537" t="s">
        <v>10</v>
      </c>
      <c r="C400" s="57"/>
      <c r="D400" s="57"/>
      <c r="E400" s="57"/>
      <c r="F400" s="57"/>
      <c r="G400" s="80"/>
      <c r="H400" s="80"/>
      <c r="I400" s="80"/>
      <c r="J400" s="80"/>
      <c r="K400" s="80"/>
      <c r="L400" s="80"/>
      <c r="M400" s="439"/>
      <c r="N400" s="538"/>
      <c r="O400" s="1054"/>
    </row>
    <row r="401" spans="1:15" ht="17.25" hidden="1" customHeight="1">
      <c r="A401" s="928"/>
      <c r="B401" s="537" t="s">
        <v>436</v>
      </c>
      <c r="C401" s="57"/>
      <c r="D401" s="57"/>
      <c r="E401" s="57"/>
      <c r="F401" s="57"/>
      <c r="G401" s="80"/>
      <c r="H401" s="80"/>
      <c r="I401" s="80"/>
      <c r="J401" s="80"/>
      <c r="K401" s="80"/>
      <c r="L401" s="80"/>
      <c r="M401" s="439"/>
      <c r="N401" s="538"/>
      <c r="O401" s="1055"/>
    </row>
    <row r="402" spans="1:15" ht="21" customHeight="1">
      <c r="A402" s="943" t="s">
        <v>524</v>
      </c>
      <c r="B402" s="484" t="s">
        <v>89</v>
      </c>
      <c r="C402" s="484">
        <v>176</v>
      </c>
      <c r="D402" s="484" t="s">
        <v>15</v>
      </c>
      <c r="E402" s="484">
        <v>6100404</v>
      </c>
      <c r="F402" s="484">
        <v>414</v>
      </c>
      <c r="G402" s="81">
        <f>K402</f>
        <v>0</v>
      </c>
      <c r="H402" s="81"/>
      <c r="I402" s="81"/>
      <c r="J402" s="81"/>
      <c r="K402" s="81"/>
      <c r="L402" s="81"/>
      <c r="M402" s="580"/>
      <c r="N402" s="493"/>
      <c r="O402" s="944" t="s">
        <v>888</v>
      </c>
    </row>
    <row r="403" spans="1:15" ht="24">
      <c r="A403" s="943"/>
      <c r="B403" s="484" t="s">
        <v>235</v>
      </c>
      <c r="C403" s="484"/>
      <c r="D403" s="484"/>
      <c r="E403" s="484"/>
      <c r="F403" s="484"/>
      <c r="G403" s="81">
        <f t="shared" ref="G403" si="134">G404+G405</f>
        <v>7929.4</v>
      </c>
      <c r="H403" s="81"/>
      <c r="I403" s="81"/>
      <c r="J403" s="81"/>
      <c r="K403" s="81">
        <f>K404</f>
        <v>7929.4</v>
      </c>
      <c r="L403" s="81">
        <f>L404+L405</f>
        <v>5000</v>
      </c>
      <c r="M403" s="580">
        <f>M404+M405</f>
        <v>0</v>
      </c>
      <c r="N403" s="493"/>
      <c r="O403" s="944"/>
    </row>
    <row r="404" spans="1:15" ht="25.5" customHeight="1">
      <c r="A404" s="943"/>
      <c r="B404" s="484" t="s">
        <v>10</v>
      </c>
      <c r="C404" s="484"/>
      <c r="D404" s="484"/>
      <c r="E404" s="484"/>
      <c r="F404" s="484"/>
      <c r="G404" s="81">
        <f>J404+K404</f>
        <v>7929.4</v>
      </c>
      <c r="H404" s="81"/>
      <c r="I404" s="81"/>
      <c r="J404" s="81"/>
      <c r="K404" s="81">
        <v>7929.4</v>
      </c>
      <c r="L404" s="81">
        <v>5000</v>
      </c>
      <c r="M404" s="580">
        <v>0</v>
      </c>
      <c r="N404" s="493"/>
      <c r="O404" s="944"/>
    </row>
    <row r="405" spans="1:15" ht="22.5" customHeight="1">
      <c r="A405" s="943"/>
      <c r="B405" s="484" t="s">
        <v>436</v>
      </c>
      <c r="C405" s="484"/>
      <c r="D405" s="484"/>
      <c r="E405" s="484"/>
      <c r="F405" s="484"/>
      <c r="G405" s="81">
        <f>J405+K405</f>
        <v>0</v>
      </c>
      <c r="H405" s="81"/>
      <c r="I405" s="81"/>
      <c r="J405" s="81"/>
      <c r="K405" s="81"/>
      <c r="L405" s="81"/>
      <c r="M405" s="580"/>
      <c r="N405" s="493"/>
      <c r="O405" s="944"/>
    </row>
    <row r="406" spans="1:15" ht="21.75" customHeight="1">
      <c r="A406" s="943" t="s">
        <v>1074</v>
      </c>
      <c r="B406" s="484" t="s">
        <v>89</v>
      </c>
      <c r="C406" s="484">
        <v>176</v>
      </c>
      <c r="D406" s="484" t="s">
        <v>15</v>
      </c>
      <c r="E406" s="484">
        <v>6100404</v>
      </c>
      <c r="F406" s="484">
        <v>414</v>
      </c>
      <c r="G406" s="81">
        <f>K406</f>
        <v>0</v>
      </c>
      <c r="H406" s="81"/>
      <c r="I406" s="81"/>
      <c r="J406" s="81"/>
      <c r="K406" s="81"/>
      <c r="L406" s="81"/>
      <c r="M406" s="580"/>
      <c r="N406" s="493"/>
      <c r="O406" s="944" t="s">
        <v>887</v>
      </c>
    </row>
    <row r="407" spans="1:15" ht="27.75" customHeight="1">
      <c r="A407" s="943"/>
      <c r="B407" s="484" t="s">
        <v>235</v>
      </c>
      <c r="C407" s="484"/>
      <c r="D407" s="484"/>
      <c r="E407" s="484"/>
      <c r="F407" s="484"/>
      <c r="G407" s="81">
        <f>G408+G409</f>
        <v>0</v>
      </c>
      <c r="H407" s="81"/>
      <c r="I407" s="81"/>
      <c r="J407" s="81"/>
      <c r="K407" s="81">
        <f>K408</f>
        <v>0</v>
      </c>
      <c r="L407" s="81">
        <f>L408</f>
        <v>4000</v>
      </c>
      <c r="M407" s="580">
        <f>M408</f>
        <v>0</v>
      </c>
      <c r="N407" s="493"/>
      <c r="O407" s="944"/>
    </row>
    <row r="408" spans="1:15" ht="20.25" customHeight="1">
      <c r="A408" s="943"/>
      <c r="B408" s="484" t="s">
        <v>10</v>
      </c>
      <c r="C408" s="484"/>
      <c r="D408" s="484"/>
      <c r="E408" s="484"/>
      <c r="F408" s="484"/>
      <c r="G408" s="81">
        <f>J408+K408</f>
        <v>0</v>
      </c>
      <c r="H408" s="81"/>
      <c r="I408" s="81"/>
      <c r="J408" s="81"/>
      <c r="K408" s="81"/>
      <c r="L408" s="81">
        <v>4000</v>
      </c>
      <c r="M408" s="580"/>
      <c r="N408" s="493"/>
      <c r="O408" s="944"/>
    </row>
    <row r="409" spans="1:15" ht="21" customHeight="1">
      <c r="A409" s="943"/>
      <c r="B409" s="537" t="s">
        <v>436</v>
      </c>
      <c r="C409" s="537"/>
      <c r="D409" s="537"/>
      <c r="E409" s="537"/>
      <c r="F409" s="537"/>
      <c r="G409" s="81">
        <f>J409+K409</f>
        <v>0</v>
      </c>
      <c r="H409" s="81"/>
      <c r="I409" s="81"/>
      <c r="J409" s="81"/>
      <c r="K409" s="81"/>
      <c r="L409" s="81"/>
      <c r="M409" s="580"/>
      <c r="N409" s="538"/>
      <c r="O409" s="944"/>
    </row>
    <row r="410" spans="1:15" ht="24.75" customHeight="1">
      <c r="A410" s="887" t="s">
        <v>138</v>
      </c>
      <c r="B410" s="645" t="s">
        <v>89</v>
      </c>
      <c r="C410" s="643"/>
      <c r="D410" s="643"/>
      <c r="E410" s="643"/>
      <c r="F410" s="643"/>
      <c r="G410" s="81"/>
      <c r="H410" s="81"/>
      <c r="I410" s="81"/>
      <c r="J410" s="81"/>
      <c r="K410" s="81"/>
      <c r="L410" s="81"/>
      <c r="M410" s="439">
        <f>M414</f>
        <v>1.5</v>
      </c>
      <c r="N410" s="644"/>
      <c r="O410" s="643"/>
    </row>
    <row r="411" spans="1:15" ht="24">
      <c r="A411" s="888"/>
      <c r="B411" s="645" t="s">
        <v>235</v>
      </c>
      <c r="C411" s="643"/>
      <c r="D411" s="643"/>
      <c r="E411" s="643"/>
      <c r="F411" s="643"/>
      <c r="G411" s="80">
        <f>G415</f>
        <v>1322.9</v>
      </c>
      <c r="H411" s="80">
        <f t="shared" ref="H411:M411" si="135">H415</f>
        <v>0</v>
      </c>
      <c r="I411" s="80">
        <f t="shared" si="135"/>
        <v>0</v>
      </c>
      <c r="J411" s="80">
        <f t="shared" si="135"/>
        <v>0</v>
      </c>
      <c r="K411" s="80">
        <f t="shared" si="135"/>
        <v>1322.9</v>
      </c>
      <c r="L411" s="80">
        <f t="shared" si="135"/>
        <v>2668.6</v>
      </c>
      <c r="M411" s="80">
        <f t="shared" si="135"/>
        <v>59300</v>
      </c>
      <c r="N411" s="644"/>
      <c r="O411" s="643"/>
    </row>
    <row r="412" spans="1:15" ht="19.5" customHeight="1">
      <c r="A412" s="888"/>
      <c r="B412" s="645" t="s">
        <v>10</v>
      </c>
      <c r="C412" s="643"/>
      <c r="D412" s="643"/>
      <c r="E412" s="643"/>
      <c r="F412" s="643"/>
      <c r="G412" s="80">
        <f>G416</f>
        <v>1322.9</v>
      </c>
      <c r="H412" s="80">
        <f t="shared" ref="H412:M412" si="136">H416</f>
        <v>0</v>
      </c>
      <c r="I412" s="80">
        <f t="shared" si="136"/>
        <v>0</v>
      </c>
      <c r="J412" s="80">
        <f t="shared" si="136"/>
        <v>0</v>
      </c>
      <c r="K412" s="80">
        <f t="shared" si="136"/>
        <v>1322.9</v>
      </c>
      <c r="L412" s="80">
        <f t="shared" si="136"/>
        <v>2668.6</v>
      </c>
      <c r="M412" s="80">
        <f t="shared" si="136"/>
        <v>59300</v>
      </c>
      <c r="N412" s="644"/>
      <c r="O412" s="643"/>
    </row>
    <row r="413" spans="1:15" ht="24.75" customHeight="1">
      <c r="A413" s="889"/>
      <c r="B413" s="645" t="s">
        <v>436</v>
      </c>
      <c r="C413" s="643"/>
      <c r="D413" s="643"/>
      <c r="E413" s="643"/>
      <c r="F413" s="643"/>
      <c r="G413" s="81"/>
      <c r="H413" s="81"/>
      <c r="I413" s="81"/>
      <c r="J413" s="81"/>
      <c r="K413" s="81"/>
      <c r="L413" s="81"/>
      <c r="M413" s="580"/>
      <c r="N413" s="644"/>
      <c r="O413" s="643"/>
    </row>
    <row r="414" spans="1:15" ht="24.75" customHeight="1">
      <c r="A414" s="926" t="s">
        <v>1093</v>
      </c>
      <c r="B414" s="643" t="s">
        <v>89</v>
      </c>
      <c r="C414" s="643"/>
      <c r="D414" s="643"/>
      <c r="E414" s="643"/>
      <c r="F414" s="643"/>
      <c r="G414" s="81"/>
      <c r="H414" s="81"/>
      <c r="I414" s="81"/>
      <c r="J414" s="81"/>
      <c r="K414" s="81"/>
      <c r="L414" s="81"/>
      <c r="M414" s="580">
        <v>1.5</v>
      </c>
      <c r="N414" s="644"/>
      <c r="O414" s="933" t="s">
        <v>299</v>
      </c>
    </row>
    <row r="415" spans="1:15" ht="24">
      <c r="A415" s="927"/>
      <c r="B415" s="643" t="s">
        <v>235</v>
      </c>
      <c r="C415" s="643"/>
      <c r="D415" s="643"/>
      <c r="E415" s="643"/>
      <c r="F415" s="643"/>
      <c r="G415" s="81">
        <f>K415</f>
        <v>1322.9</v>
      </c>
      <c r="H415" s="81"/>
      <c r="I415" s="81"/>
      <c r="J415" s="81"/>
      <c r="K415" s="81">
        <f>K416</f>
        <v>1322.9</v>
      </c>
      <c r="L415" s="81">
        <f t="shared" ref="L415:M415" si="137">L416</f>
        <v>2668.6</v>
      </c>
      <c r="M415" s="81">
        <f t="shared" si="137"/>
        <v>59300</v>
      </c>
      <c r="N415" s="644"/>
      <c r="O415" s="946"/>
    </row>
    <row r="416" spans="1:15" ht="19.5" customHeight="1">
      <c r="A416" s="927"/>
      <c r="B416" s="643" t="s">
        <v>10</v>
      </c>
      <c r="C416" s="643"/>
      <c r="D416" s="643"/>
      <c r="E416" s="643"/>
      <c r="F416" s="643"/>
      <c r="G416" s="81">
        <f>K416</f>
        <v>1322.9</v>
      </c>
      <c r="H416" s="81"/>
      <c r="I416" s="81"/>
      <c r="J416" s="81"/>
      <c r="K416" s="81">
        <v>1322.9</v>
      </c>
      <c r="L416" s="81">
        <f>559+2109.6</f>
        <v>2668.6</v>
      </c>
      <c r="M416" s="580">
        <f>50000+9300</f>
        <v>59300</v>
      </c>
      <c r="N416" s="644"/>
      <c r="O416" s="946"/>
    </row>
    <row r="417" spans="1:15" ht="24.75" customHeight="1">
      <c r="A417" s="928"/>
      <c r="B417" s="643" t="s">
        <v>436</v>
      </c>
      <c r="C417" s="643"/>
      <c r="D417" s="643"/>
      <c r="E417" s="643"/>
      <c r="F417" s="643"/>
      <c r="G417" s="81"/>
      <c r="H417" s="81"/>
      <c r="I417" s="81"/>
      <c r="J417" s="81"/>
      <c r="K417" s="81"/>
      <c r="L417" s="81"/>
      <c r="M417" s="580"/>
      <c r="N417" s="644"/>
      <c r="O417" s="934"/>
    </row>
    <row r="418" spans="1:15" ht="24.75" customHeight="1">
      <c r="A418" s="887" t="s">
        <v>794</v>
      </c>
      <c r="B418" s="57" t="s">
        <v>89</v>
      </c>
      <c r="C418" s="537"/>
      <c r="D418" s="537"/>
      <c r="E418" s="537"/>
      <c r="F418" s="537"/>
      <c r="G418" s="81"/>
      <c r="H418" s="81"/>
      <c r="I418" s="81"/>
      <c r="J418" s="81"/>
      <c r="K418" s="81"/>
      <c r="L418" s="81"/>
      <c r="M418" s="580"/>
      <c r="N418" s="538"/>
      <c r="O418" s="537"/>
    </row>
    <row r="419" spans="1:15" ht="24">
      <c r="A419" s="888"/>
      <c r="B419" s="57" t="s">
        <v>235</v>
      </c>
      <c r="C419" s="537"/>
      <c r="D419" s="537"/>
      <c r="E419" s="537"/>
      <c r="F419" s="537"/>
      <c r="G419" s="81"/>
      <c r="H419" s="81"/>
      <c r="I419" s="81"/>
      <c r="J419" s="81"/>
      <c r="K419" s="81"/>
      <c r="L419" s="80">
        <f>L427</f>
        <v>2950.9</v>
      </c>
      <c r="M419" s="439">
        <f>M427</f>
        <v>0</v>
      </c>
      <c r="N419" s="538"/>
      <c r="O419" s="537"/>
    </row>
    <row r="420" spans="1:15" ht="22.5" customHeight="1">
      <c r="A420" s="888"/>
      <c r="B420" s="57" t="s">
        <v>10</v>
      </c>
      <c r="C420" s="537"/>
      <c r="D420" s="537"/>
      <c r="E420" s="537"/>
      <c r="F420" s="537"/>
      <c r="G420" s="81"/>
      <c r="H420" s="81"/>
      <c r="I420" s="81"/>
      <c r="J420" s="81"/>
      <c r="K420" s="81"/>
      <c r="L420" s="80">
        <f>L428</f>
        <v>2950.9</v>
      </c>
      <c r="M420" s="439">
        <f>M428</f>
        <v>0</v>
      </c>
      <c r="N420" s="538"/>
      <c r="O420" s="537"/>
    </row>
    <row r="421" spans="1:15" ht="24.75" customHeight="1">
      <c r="A421" s="889"/>
      <c r="B421" s="57" t="s">
        <v>436</v>
      </c>
      <c r="C421" s="537"/>
      <c r="D421" s="537"/>
      <c r="E421" s="537"/>
      <c r="F421" s="537"/>
      <c r="G421" s="81"/>
      <c r="H421" s="81"/>
      <c r="I421" s="81"/>
      <c r="J421" s="81"/>
      <c r="K421" s="81"/>
      <c r="L421" s="81"/>
      <c r="M421" s="580"/>
      <c r="N421" s="538"/>
      <c r="O421" s="537"/>
    </row>
    <row r="422" spans="1:15" hidden="1">
      <c r="A422" s="967" t="s">
        <v>836</v>
      </c>
      <c r="B422" s="537" t="s">
        <v>89</v>
      </c>
      <c r="C422" s="537"/>
      <c r="D422" s="537"/>
      <c r="E422" s="537"/>
      <c r="F422" s="537"/>
      <c r="G422" s="81"/>
      <c r="H422" s="81"/>
      <c r="I422" s="81"/>
      <c r="J422" s="81"/>
      <c r="K422" s="81"/>
      <c r="L422" s="81"/>
      <c r="M422" s="580"/>
      <c r="N422" s="538"/>
      <c r="O422" s="933"/>
    </row>
    <row r="423" spans="1:15" ht="24" hidden="1">
      <c r="A423" s="968"/>
      <c r="B423" s="537" t="s">
        <v>235</v>
      </c>
      <c r="C423" s="537"/>
      <c r="D423" s="537"/>
      <c r="E423" s="537"/>
      <c r="F423" s="537"/>
      <c r="G423" s="81"/>
      <c r="H423" s="81"/>
      <c r="I423" s="81"/>
      <c r="J423" s="81"/>
      <c r="K423" s="81"/>
      <c r="L423" s="81"/>
      <c r="M423" s="580"/>
      <c r="N423" s="538"/>
      <c r="O423" s="946"/>
    </row>
    <row r="424" spans="1:15" hidden="1">
      <c r="A424" s="968"/>
      <c r="B424" s="537" t="s">
        <v>10</v>
      </c>
      <c r="C424" s="537"/>
      <c r="D424" s="537"/>
      <c r="E424" s="537"/>
      <c r="F424" s="537"/>
      <c r="G424" s="81"/>
      <c r="H424" s="81"/>
      <c r="I424" s="81"/>
      <c r="J424" s="81"/>
      <c r="K424" s="81"/>
      <c r="L424" s="81"/>
      <c r="M424" s="580"/>
      <c r="N424" s="538"/>
      <c r="O424" s="946"/>
    </row>
    <row r="425" spans="1:15" hidden="1">
      <c r="A425" s="969"/>
      <c r="B425" s="537" t="s">
        <v>436</v>
      </c>
      <c r="C425" s="537"/>
      <c r="D425" s="537"/>
      <c r="E425" s="537"/>
      <c r="F425" s="537"/>
      <c r="G425" s="81"/>
      <c r="H425" s="81"/>
      <c r="I425" s="81"/>
      <c r="J425" s="81"/>
      <c r="K425" s="81"/>
      <c r="L425" s="81"/>
      <c r="M425" s="580"/>
      <c r="N425" s="538"/>
      <c r="O425" s="934"/>
    </row>
    <row r="426" spans="1:15" ht="27" customHeight="1">
      <c r="A426" s="967" t="s">
        <v>821</v>
      </c>
      <c r="B426" s="537" t="s">
        <v>89</v>
      </c>
      <c r="C426" s="537"/>
      <c r="D426" s="537"/>
      <c r="E426" s="537"/>
      <c r="F426" s="537"/>
      <c r="G426" s="81"/>
      <c r="H426" s="81"/>
      <c r="I426" s="81"/>
      <c r="J426" s="81"/>
      <c r="K426" s="81"/>
      <c r="L426" s="81"/>
      <c r="M426" s="580"/>
      <c r="N426" s="538"/>
      <c r="O426" s="933" t="s">
        <v>551</v>
      </c>
    </row>
    <row r="427" spans="1:15" ht="24">
      <c r="A427" s="968"/>
      <c r="B427" s="537" t="s">
        <v>235</v>
      </c>
      <c r="C427" s="537"/>
      <c r="D427" s="537"/>
      <c r="E427" s="537"/>
      <c r="F427" s="537"/>
      <c r="G427" s="81"/>
      <c r="H427" s="81"/>
      <c r="I427" s="81"/>
      <c r="J427" s="81"/>
      <c r="K427" s="81"/>
      <c r="L427" s="81">
        <f>L428</f>
        <v>2950.9</v>
      </c>
      <c r="M427" s="580">
        <f>M428</f>
        <v>0</v>
      </c>
      <c r="N427" s="538"/>
      <c r="O427" s="946"/>
    </row>
    <row r="428" spans="1:15" ht="22.5" customHeight="1">
      <c r="A428" s="968"/>
      <c r="B428" s="537" t="s">
        <v>10</v>
      </c>
      <c r="C428" s="537"/>
      <c r="D428" s="537"/>
      <c r="E428" s="537"/>
      <c r="F428" s="537"/>
      <c r="G428" s="81"/>
      <c r="H428" s="81"/>
      <c r="I428" s="81"/>
      <c r="J428" s="81"/>
      <c r="K428" s="81"/>
      <c r="L428" s="81">
        <v>2950.9</v>
      </c>
      <c r="M428" s="580"/>
      <c r="N428" s="538"/>
      <c r="O428" s="946"/>
    </row>
    <row r="429" spans="1:15" ht="23.25" customHeight="1">
      <c r="A429" s="969"/>
      <c r="B429" s="537" t="s">
        <v>436</v>
      </c>
      <c r="C429" s="537"/>
      <c r="D429" s="537"/>
      <c r="E429" s="537"/>
      <c r="F429" s="537"/>
      <c r="G429" s="81"/>
      <c r="H429" s="81"/>
      <c r="I429" s="81"/>
      <c r="J429" s="81"/>
      <c r="K429" s="81"/>
      <c r="L429" s="81"/>
      <c r="M429" s="580"/>
      <c r="N429" s="538"/>
      <c r="O429" s="934"/>
    </row>
    <row r="430" spans="1:15" ht="18.75" customHeight="1">
      <c r="A430" s="887" t="s">
        <v>140</v>
      </c>
      <c r="B430" s="57" t="s">
        <v>89</v>
      </c>
      <c r="C430" s="537"/>
      <c r="D430" s="537"/>
      <c r="E430" s="537"/>
      <c r="F430" s="537"/>
      <c r="G430" s="80">
        <f t="shared" ref="G430" si="138">G434</f>
        <v>0</v>
      </c>
      <c r="H430" s="80"/>
      <c r="I430" s="80"/>
      <c r="J430" s="80"/>
      <c r="K430" s="80"/>
      <c r="L430" s="80">
        <f>L438</f>
        <v>0</v>
      </c>
      <c r="M430" s="439"/>
      <c r="N430" s="538"/>
      <c r="O430" s="537"/>
    </row>
    <row r="431" spans="1:15" ht="24">
      <c r="A431" s="888"/>
      <c r="B431" s="57" t="s">
        <v>235</v>
      </c>
      <c r="C431" s="537"/>
      <c r="D431" s="537"/>
      <c r="E431" s="537"/>
      <c r="F431" s="537"/>
      <c r="G431" s="80">
        <f>G435</f>
        <v>100</v>
      </c>
      <c r="H431" s="80">
        <f t="shared" ref="H431:M431" si="139">H435</f>
        <v>0</v>
      </c>
      <c r="I431" s="80">
        <f t="shared" si="139"/>
        <v>0</v>
      </c>
      <c r="J431" s="80">
        <f t="shared" si="139"/>
        <v>0</v>
      </c>
      <c r="K431" s="80">
        <f t="shared" si="139"/>
        <v>100</v>
      </c>
      <c r="L431" s="80">
        <f t="shared" si="139"/>
        <v>0</v>
      </c>
      <c r="M431" s="80">
        <f t="shared" si="139"/>
        <v>0</v>
      </c>
      <c r="N431" s="538"/>
      <c r="O431" s="537"/>
    </row>
    <row r="432" spans="1:15" ht="24.75" customHeight="1">
      <c r="A432" s="888"/>
      <c r="B432" s="57" t="s">
        <v>10</v>
      </c>
      <c r="C432" s="537"/>
      <c r="D432" s="537"/>
      <c r="E432" s="537"/>
      <c r="F432" s="537"/>
      <c r="G432" s="80">
        <f>G436</f>
        <v>100</v>
      </c>
      <c r="H432" s="80">
        <f t="shared" ref="H432:M432" si="140">H436</f>
        <v>0</v>
      </c>
      <c r="I432" s="80">
        <f t="shared" si="140"/>
        <v>0</v>
      </c>
      <c r="J432" s="80">
        <f t="shared" si="140"/>
        <v>0</v>
      </c>
      <c r="K432" s="80">
        <f t="shared" si="140"/>
        <v>100</v>
      </c>
      <c r="L432" s="80">
        <f t="shared" si="140"/>
        <v>0</v>
      </c>
      <c r="M432" s="80">
        <f t="shared" si="140"/>
        <v>0</v>
      </c>
      <c r="N432" s="538"/>
      <c r="O432" s="537"/>
    </row>
    <row r="433" spans="1:61" ht="21" customHeight="1">
      <c r="A433" s="889"/>
      <c r="B433" s="57" t="s">
        <v>436</v>
      </c>
      <c r="C433" s="537"/>
      <c r="D433" s="537"/>
      <c r="E433" s="537"/>
      <c r="F433" s="537"/>
      <c r="G433" s="80">
        <f>G437</f>
        <v>0</v>
      </c>
      <c r="H433" s="80"/>
      <c r="I433" s="80"/>
      <c r="J433" s="80"/>
      <c r="K433" s="80"/>
      <c r="L433" s="80">
        <f>L441</f>
        <v>0</v>
      </c>
      <c r="M433" s="439"/>
      <c r="N433" s="538"/>
      <c r="O433" s="537"/>
    </row>
    <row r="434" spans="1:61" ht="27" customHeight="1">
      <c r="A434" s="967" t="s">
        <v>525</v>
      </c>
      <c r="B434" s="537" t="s">
        <v>89</v>
      </c>
      <c r="C434" s="537"/>
      <c r="D434" s="537"/>
      <c r="E434" s="537"/>
      <c r="F434" s="537"/>
      <c r="G434" s="81"/>
      <c r="H434" s="81"/>
      <c r="I434" s="81"/>
      <c r="J434" s="81"/>
      <c r="K434" s="81"/>
      <c r="L434" s="81"/>
      <c r="M434" s="580"/>
      <c r="N434" s="538"/>
      <c r="O434" s="933" t="s">
        <v>886</v>
      </c>
    </row>
    <row r="435" spans="1:61" s="44" customFormat="1" ht="24">
      <c r="A435" s="968"/>
      <c r="B435" s="537" t="s">
        <v>235</v>
      </c>
      <c r="C435" s="537"/>
      <c r="D435" s="537"/>
      <c r="E435" s="537"/>
      <c r="F435" s="537"/>
      <c r="G435" s="81">
        <f>K435</f>
        <v>100</v>
      </c>
      <c r="H435" s="81"/>
      <c r="I435" s="81"/>
      <c r="J435" s="81"/>
      <c r="K435" s="81">
        <f>K436</f>
        <v>100</v>
      </c>
      <c r="L435" s="81">
        <f t="shared" ref="L435" si="141">L436+L437</f>
        <v>0</v>
      </c>
      <c r="M435" s="580"/>
      <c r="N435" s="538"/>
      <c r="O435" s="946"/>
      <c r="AJ435" s="91"/>
      <c r="AK435" s="91"/>
      <c r="AL435" s="91"/>
      <c r="AM435" s="91"/>
      <c r="AN435" s="91"/>
      <c r="AO435" s="91"/>
      <c r="AP435" s="91"/>
      <c r="AQ435" s="91"/>
      <c r="AR435" s="91"/>
      <c r="AS435" s="91"/>
      <c r="AT435" s="91"/>
      <c r="AU435" s="91"/>
      <c r="AV435" s="91"/>
      <c r="AW435" s="91"/>
      <c r="AX435" s="91"/>
      <c r="AY435" s="91"/>
      <c r="AZ435" s="91"/>
      <c r="BA435" s="91"/>
      <c r="BB435" s="91"/>
      <c r="BC435" s="91"/>
      <c r="BD435" s="91"/>
      <c r="BE435" s="91"/>
      <c r="BF435" s="91"/>
      <c r="BG435" s="91"/>
      <c r="BH435" s="91"/>
      <c r="BI435" s="91"/>
    </row>
    <row r="436" spans="1:61" s="44" customFormat="1" ht="24.75" customHeight="1">
      <c r="A436" s="968"/>
      <c r="B436" s="537" t="s">
        <v>10</v>
      </c>
      <c r="C436" s="537"/>
      <c r="D436" s="537"/>
      <c r="E436" s="537"/>
      <c r="F436" s="537"/>
      <c r="G436" s="81">
        <f>K436</f>
        <v>100</v>
      </c>
      <c r="H436" s="81"/>
      <c r="I436" s="81"/>
      <c r="J436" s="81"/>
      <c r="K436" s="81">
        <v>100</v>
      </c>
      <c r="L436" s="81"/>
      <c r="M436" s="580"/>
      <c r="N436" s="538"/>
      <c r="O436" s="946"/>
      <c r="AJ436" s="91"/>
      <c r="AK436" s="91"/>
      <c r="AL436" s="91"/>
      <c r="AM436" s="91"/>
      <c r="AN436" s="91"/>
      <c r="AO436" s="91"/>
      <c r="AP436" s="91"/>
      <c r="AQ436" s="91"/>
      <c r="AR436" s="91"/>
      <c r="AS436" s="91"/>
      <c r="AT436" s="91"/>
      <c r="AU436" s="91"/>
      <c r="AV436" s="91"/>
      <c r="AW436" s="91"/>
      <c r="AX436" s="91"/>
      <c r="AY436" s="91"/>
      <c r="AZ436" s="91"/>
      <c r="BA436" s="91"/>
      <c r="BB436" s="91"/>
      <c r="BC436" s="91"/>
      <c r="BD436" s="91"/>
      <c r="BE436" s="91"/>
      <c r="BF436" s="91"/>
      <c r="BG436" s="91"/>
      <c r="BH436" s="91"/>
      <c r="BI436" s="91"/>
    </row>
    <row r="437" spans="1:61" s="44" customFormat="1" ht="20.25" customHeight="1">
      <c r="A437" s="969"/>
      <c r="B437" s="537" t="s">
        <v>436</v>
      </c>
      <c r="C437" s="537"/>
      <c r="D437" s="537"/>
      <c r="E437" s="537"/>
      <c r="F437" s="537"/>
      <c r="G437" s="81"/>
      <c r="H437" s="81"/>
      <c r="I437" s="81"/>
      <c r="J437" s="81"/>
      <c r="K437" s="81"/>
      <c r="L437" s="81"/>
      <c r="M437" s="580"/>
      <c r="N437" s="538"/>
      <c r="O437" s="934"/>
      <c r="AJ437" s="91"/>
      <c r="AK437" s="91"/>
      <c r="AL437" s="91"/>
      <c r="AM437" s="91"/>
      <c r="AN437" s="91"/>
      <c r="AO437" s="91"/>
      <c r="AP437" s="91"/>
      <c r="AQ437" s="91"/>
      <c r="AR437" s="91"/>
      <c r="AS437" s="91"/>
      <c r="AT437" s="91"/>
      <c r="AU437" s="91"/>
      <c r="AV437" s="91"/>
      <c r="AW437" s="91"/>
      <c r="AX437" s="91"/>
      <c r="AY437" s="91"/>
      <c r="AZ437" s="91"/>
      <c r="BA437" s="91"/>
      <c r="BB437" s="91"/>
      <c r="BC437" s="91"/>
      <c r="BD437" s="91"/>
      <c r="BE437" s="91"/>
      <c r="BF437" s="91"/>
      <c r="BG437" s="91"/>
      <c r="BH437" s="91"/>
      <c r="BI437" s="91"/>
    </row>
    <row r="438" spans="1:61" s="44" customFormat="1" ht="14.25" hidden="1" customHeight="1">
      <c r="A438" s="967" t="s">
        <v>288</v>
      </c>
      <c r="B438" s="537" t="s">
        <v>89</v>
      </c>
      <c r="C438" s="537"/>
      <c r="D438" s="537"/>
      <c r="E438" s="537"/>
      <c r="F438" s="537"/>
      <c r="G438" s="81"/>
      <c r="H438" s="81"/>
      <c r="I438" s="81"/>
      <c r="J438" s="81"/>
      <c r="K438" s="81"/>
      <c r="L438" s="81"/>
      <c r="M438" s="580"/>
      <c r="N438" s="538"/>
      <c r="O438" s="933" t="s">
        <v>217</v>
      </c>
      <c r="AJ438" s="91"/>
      <c r="AK438" s="91"/>
      <c r="AL438" s="91"/>
      <c r="AM438" s="91"/>
      <c r="AN438" s="91"/>
      <c r="AO438" s="91"/>
      <c r="AP438" s="91"/>
      <c r="AQ438" s="91"/>
      <c r="AR438" s="91"/>
      <c r="AS438" s="91"/>
      <c r="AT438" s="91"/>
      <c r="AU438" s="91"/>
      <c r="AV438" s="91"/>
      <c r="AW438" s="91"/>
      <c r="AX438" s="91"/>
      <c r="AY438" s="91"/>
      <c r="AZ438" s="91"/>
      <c r="BA438" s="91"/>
      <c r="BB438" s="91"/>
      <c r="BC438" s="91"/>
      <c r="BD438" s="91"/>
      <c r="BE438" s="91"/>
      <c r="BF438" s="91"/>
      <c r="BG438" s="91"/>
      <c r="BH438" s="91"/>
      <c r="BI438" s="91"/>
    </row>
    <row r="439" spans="1:61" s="44" customFormat="1" ht="24" hidden="1">
      <c r="A439" s="968"/>
      <c r="B439" s="537" t="s">
        <v>235</v>
      </c>
      <c r="C439" s="537"/>
      <c r="D439" s="537"/>
      <c r="E439" s="537"/>
      <c r="F439" s="537"/>
      <c r="G439" s="81"/>
      <c r="H439" s="81"/>
      <c r="I439" s="81"/>
      <c r="J439" s="81"/>
      <c r="K439" s="81"/>
      <c r="L439" s="81">
        <f>L441</f>
        <v>0</v>
      </c>
      <c r="M439" s="580"/>
      <c r="N439" s="538"/>
      <c r="O439" s="946"/>
      <c r="AJ439" s="91"/>
      <c r="AK439" s="91"/>
      <c r="AL439" s="91"/>
      <c r="AM439" s="91"/>
      <c r="AN439" s="91"/>
      <c r="AO439" s="91"/>
      <c r="AP439" s="91"/>
      <c r="AQ439" s="91"/>
      <c r="AR439" s="91"/>
      <c r="AS439" s="91"/>
      <c r="AT439" s="91"/>
      <c r="AU439" s="91"/>
      <c r="AV439" s="91"/>
      <c r="AW439" s="91"/>
      <c r="AX439" s="91"/>
      <c r="AY439" s="91"/>
      <c r="AZ439" s="91"/>
      <c r="BA439" s="91"/>
      <c r="BB439" s="91"/>
      <c r="BC439" s="91"/>
      <c r="BD439" s="91"/>
      <c r="BE439" s="91"/>
      <c r="BF439" s="91"/>
      <c r="BG439" s="91"/>
      <c r="BH439" s="91"/>
      <c r="BI439" s="91"/>
    </row>
    <row r="440" spans="1:61" s="44" customFormat="1" ht="14.25" hidden="1">
      <c r="A440" s="968"/>
      <c r="B440" s="537" t="s">
        <v>10</v>
      </c>
      <c r="C440" s="537"/>
      <c r="D440" s="537"/>
      <c r="E440" s="537"/>
      <c r="F440" s="537"/>
      <c r="G440" s="81"/>
      <c r="H440" s="81"/>
      <c r="I440" s="81"/>
      <c r="J440" s="81"/>
      <c r="K440" s="81"/>
      <c r="L440" s="81"/>
      <c r="M440" s="580"/>
      <c r="N440" s="538"/>
      <c r="O440" s="946"/>
      <c r="AJ440" s="91"/>
      <c r="AK440" s="91"/>
      <c r="AL440" s="91"/>
      <c r="AM440" s="91"/>
      <c r="AN440" s="91"/>
      <c r="AO440" s="91"/>
      <c r="AP440" s="91"/>
      <c r="AQ440" s="91"/>
      <c r="AR440" s="91"/>
      <c r="AS440" s="91"/>
      <c r="AT440" s="91"/>
      <c r="AU440" s="91"/>
      <c r="AV440" s="91"/>
      <c r="AW440" s="91"/>
      <c r="AX440" s="91"/>
      <c r="AY440" s="91"/>
      <c r="AZ440" s="91"/>
      <c r="BA440" s="91"/>
      <c r="BB440" s="91"/>
      <c r="BC440" s="91"/>
      <c r="BD440" s="91"/>
      <c r="BE440" s="91"/>
      <c r="BF440" s="91"/>
      <c r="BG440" s="91"/>
      <c r="BH440" s="91"/>
      <c r="BI440" s="91"/>
    </row>
    <row r="441" spans="1:61" s="44" customFormat="1" ht="14.25" hidden="1">
      <c r="A441" s="969"/>
      <c r="B441" s="537" t="s">
        <v>34</v>
      </c>
      <c r="C441" s="537"/>
      <c r="D441" s="537"/>
      <c r="E441" s="537"/>
      <c r="F441" s="537"/>
      <c r="G441" s="81"/>
      <c r="H441" s="81"/>
      <c r="I441" s="81"/>
      <c r="J441" s="81"/>
      <c r="K441" s="81"/>
      <c r="L441" s="81"/>
      <c r="M441" s="580"/>
      <c r="N441" s="538"/>
      <c r="O441" s="934"/>
      <c r="AJ441" s="91"/>
      <c r="AK441" s="91"/>
      <c r="AL441" s="91"/>
      <c r="AM441" s="91"/>
      <c r="AN441" s="91"/>
      <c r="AO441" s="91"/>
      <c r="AP441" s="91"/>
      <c r="AQ441" s="91"/>
      <c r="AR441" s="91"/>
      <c r="AS441" s="91"/>
      <c r="AT441" s="91"/>
      <c r="AU441" s="91"/>
      <c r="AV441" s="91"/>
      <c r="AW441" s="91"/>
      <c r="AX441" s="91"/>
      <c r="AY441" s="91"/>
      <c r="AZ441" s="91"/>
      <c r="BA441" s="91"/>
      <c r="BB441" s="91"/>
      <c r="BC441" s="91"/>
      <c r="BD441" s="91"/>
      <c r="BE441" s="91"/>
      <c r="BF441" s="91"/>
      <c r="BG441" s="91"/>
      <c r="BH441" s="91"/>
      <c r="BI441" s="91"/>
    </row>
    <row r="442" spans="1:61" s="44" customFormat="1" ht="16.5" customHeight="1">
      <c r="A442" s="945" t="s">
        <v>107</v>
      </c>
      <c r="B442" s="57" t="s">
        <v>89</v>
      </c>
      <c r="C442" s="57"/>
      <c r="D442" s="57"/>
      <c r="E442" s="57"/>
      <c r="F442" s="57"/>
      <c r="G442" s="80">
        <f t="shared" ref="G442:M442" si="142">G446+G450+G454</f>
        <v>0</v>
      </c>
      <c r="H442" s="80">
        <f t="shared" si="142"/>
        <v>0</v>
      </c>
      <c r="I442" s="80">
        <f t="shared" si="142"/>
        <v>0</v>
      </c>
      <c r="J442" s="80">
        <f t="shared" si="142"/>
        <v>0</v>
      </c>
      <c r="K442" s="80">
        <f t="shared" si="142"/>
        <v>0</v>
      </c>
      <c r="L442" s="80">
        <f t="shared" si="142"/>
        <v>0</v>
      </c>
      <c r="M442" s="439">
        <f t="shared" si="142"/>
        <v>0</v>
      </c>
      <c r="N442" s="493"/>
      <c r="O442" s="57"/>
      <c r="AJ442" s="91"/>
      <c r="AK442" s="91"/>
      <c r="AL442" s="91"/>
      <c r="AM442" s="91"/>
      <c r="AN442" s="91"/>
      <c r="AO442" s="91"/>
      <c r="AP442" s="91"/>
      <c r="AQ442" s="91"/>
      <c r="AR442" s="91"/>
      <c r="AS442" s="91"/>
      <c r="AT442" s="91"/>
      <c r="AU442" s="91"/>
      <c r="AV442" s="91"/>
      <c r="AW442" s="91"/>
      <c r="AX442" s="91"/>
      <c r="AY442" s="91"/>
      <c r="AZ442" s="91"/>
      <c r="BA442" s="91"/>
      <c r="BB442" s="91"/>
      <c r="BC442" s="91"/>
      <c r="BD442" s="91"/>
      <c r="BE442" s="91"/>
      <c r="BF442" s="91"/>
      <c r="BG442" s="91"/>
      <c r="BH442" s="91"/>
      <c r="BI442" s="91"/>
    </row>
    <row r="443" spans="1:61" ht="24">
      <c r="A443" s="945"/>
      <c r="B443" s="57" t="s">
        <v>235</v>
      </c>
      <c r="C443" s="57"/>
      <c r="D443" s="57"/>
      <c r="E443" s="57"/>
      <c r="F443" s="57"/>
      <c r="G443" s="80">
        <f t="shared" ref="G443:M443" si="143">G444+G445</f>
        <v>3612.4</v>
      </c>
      <c r="H443" s="80">
        <f t="shared" si="143"/>
        <v>0</v>
      </c>
      <c r="I443" s="80">
        <f t="shared" si="143"/>
        <v>0</v>
      </c>
      <c r="J443" s="80">
        <f t="shared" si="143"/>
        <v>0</v>
      </c>
      <c r="K443" s="80">
        <f t="shared" si="143"/>
        <v>3612.4</v>
      </c>
      <c r="L443" s="80">
        <f t="shared" si="143"/>
        <v>2000</v>
      </c>
      <c r="M443" s="439">
        <f t="shared" si="143"/>
        <v>29793.9</v>
      </c>
      <c r="N443" s="493"/>
      <c r="O443" s="57"/>
    </row>
    <row r="444" spans="1:61" ht="21" customHeight="1">
      <c r="A444" s="945"/>
      <c r="B444" s="57" t="s">
        <v>10</v>
      </c>
      <c r="C444" s="57"/>
      <c r="D444" s="57"/>
      <c r="E444" s="57"/>
      <c r="F444" s="57"/>
      <c r="G444" s="80">
        <f t="shared" ref="G444:M445" si="144">G448+G452+G456</f>
        <v>3612.4</v>
      </c>
      <c r="H444" s="80">
        <f t="shared" si="144"/>
        <v>0</v>
      </c>
      <c r="I444" s="80">
        <f t="shared" si="144"/>
        <v>0</v>
      </c>
      <c r="J444" s="80">
        <f t="shared" si="144"/>
        <v>0</v>
      </c>
      <c r="K444" s="80">
        <f t="shared" si="144"/>
        <v>3612.4</v>
      </c>
      <c r="L444" s="80">
        <f t="shared" si="144"/>
        <v>2000</v>
      </c>
      <c r="M444" s="439">
        <f t="shared" si="144"/>
        <v>29793.9</v>
      </c>
      <c r="N444" s="493"/>
      <c r="O444" s="57"/>
    </row>
    <row r="445" spans="1:61" ht="29.25" customHeight="1">
      <c r="A445" s="945"/>
      <c r="B445" s="57" t="s">
        <v>436</v>
      </c>
      <c r="C445" s="57"/>
      <c r="D445" s="57"/>
      <c r="E445" s="57"/>
      <c r="F445" s="57"/>
      <c r="G445" s="80">
        <f t="shared" si="144"/>
        <v>0</v>
      </c>
      <c r="H445" s="80"/>
      <c r="I445" s="80"/>
      <c r="J445" s="80"/>
      <c r="K445" s="80"/>
      <c r="L445" s="80">
        <f t="shared" si="144"/>
        <v>0</v>
      </c>
      <c r="M445" s="439">
        <f t="shared" si="144"/>
        <v>0</v>
      </c>
      <c r="N445" s="493"/>
      <c r="O445" s="57"/>
    </row>
    <row r="446" spans="1:61" hidden="1">
      <c r="A446" s="932" t="s">
        <v>200</v>
      </c>
      <c r="B446" s="484" t="s">
        <v>89</v>
      </c>
      <c r="C446" s="484">
        <v>176</v>
      </c>
      <c r="D446" s="484" t="s">
        <v>15</v>
      </c>
      <c r="E446" s="484">
        <v>6100404</v>
      </c>
      <c r="F446" s="484">
        <v>414</v>
      </c>
      <c r="G446" s="81">
        <v>0</v>
      </c>
      <c r="H446" s="81"/>
      <c r="I446" s="81"/>
      <c r="J446" s="81"/>
      <c r="K446" s="81"/>
      <c r="L446" s="81"/>
      <c r="M446" s="580"/>
      <c r="N446" s="493"/>
      <c r="O446" s="944" t="s">
        <v>199</v>
      </c>
    </row>
    <row r="447" spans="1:61" ht="24" hidden="1">
      <c r="A447" s="932"/>
      <c r="B447" s="484" t="s">
        <v>235</v>
      </c>
      <c r="C447" s="484"/>
      <c r="D447" s="484"/>
      <c r="E447" s="484"/>
      <c r="F447" s="484"/>
      <c r="G447" s="81">
        <f t="shared" ref="G447:L447" si="145">G448+G449</f>
        <v>0</v>
      </c>
      <c r="H447" s="81"/>
      <c r="I447" s="81"/>
      <c r="J447" s="81"/>
      <c r="K447" s="81"/>
      <c r="L447" s="81">
        <f t="shared" si="145"/>
        <v>0</v>
      </c>
      <c r="M447" s="580"/>
      <c r="N447" s="493"/>
      <c r="O447" s="944"/>
    </row>
    <row r="448" spans="1:61" hidden="1">
      <c r="A448" s="932"/>
      <c r="B448" s="484" t="s">
        <v>10</v>
      </c>
      <c r="C448" s="484"/>
      <c r="D448" s="484"/>
      <c r="E448" s="484"/>
      <c r="F448" s="484"/>
      <c r="G448" s="81"/>
      <c r="H448" s="81"/>
      <c r="I448" s="81"/>
      <c r="J448" s="81"/>
      <c r="K448" s="81"/>
      <c r="L448" s="81"/>
      <c r="M448" s="580"/>
      <c r="N448" s="493"/>
      <c r="O448" s="944"/>
    </row>
    <row r="449" spans="1:15" hidden="1">
      <c r="A449" s="932"/>
      <c r="B449" s="484" t="s">
        <v>34</v>
      </c>
      <c r="C449" s="484"/>
      <c r="D449" s="484"/>
      <c r="E449" s="484"/>
      <c r="F449" s="484"/>
      <c r="G449" s="81"/>
      <c r="H449" s="81"/>
      <c r="I449" s="81"/>
      <c r="J449" s="81"/>
      <c r="K449" s="81"/>
      <c r="L449" s="81"/>
      <c r="M449" s="580"/>
      <c r="N449" s="493"/>
      <c r="O449" s="944"/>
    </row>
    <row r="450" spans="1:15" hidden="1">
      <c r="A450" s="1008" t="s">
        <v>267</v>
      </c>
      <c r="B450" s="484" t="s">
        <v>89</v>
      </c>
      <c r="C450" s="484"/>
      <c r="D450" s="484"/>
      <c r="E450" s="484"/>
      <c r="F450" s="484"/>
      <c r="G450" s="81"/>
      <c r="H450" s="81"/>
      <c r="I450" s="81"/>
      <c r="J450" s="81"/>
      <c r="K450" s="81"/>
      <c r="L450" s="81"/>
      <c r="M450" s="580"/>
      <c r="N450" s="493"/>
      <c r="O450" s="944" t="s">
        <v>244</v>
      </c>
    </row>
    <row r="451" spans="1:15" ht="24" hidden="1">
      <c r="A451" s="1009"/>
      <c r="B451" s="484" t="s">
        <v>235</v>
      </c>
      <c r="C451" s="484"/>
      <c r="D451" s="484"/>
      <c r="E451" s="484"/>
      <c r="F451" s="484"/>
      <c r="G451" s="81">
        <f t="shared" ref="G451:L451" si="146">G452+G453</f>
        <v>0</v>
      </c>
      <c r="H451" s="81"/>
      <c r="I451" s="81"/>
      <c r="J451" s="81"/>
      <c r="K451" s="81"/>
      <c r="L451" s="81">
        <f t="shared" si="146"/>
        <v>0</v>
      </c>
      <c r="M451" s="580"/>
      <c r="N451" s="493"/>
      <c r="O451" s="944"/>
    </row>
    <row r="452" spans="1:15" hidden="1">
      <c r="A452" s="1009"/>
      <c r="B452" s="484" t="s">
        <v>10</v>
      </c>
      <c r="C452" s="484"/>
      <c r="D452" s="484"/>
      <c r="E452" s="484"/>
      <c r="F452" s="484"/>
      <c r="G452" s="81"/>
      <c r="H452" s="81"/>
      <c r="I452" s="81"/>
      <c r="J452" s="81"/>
      <c r="K452" s="81"/>
      <c r="L452" s="81"/>
      <c r="M452" s="580"/>
      <c r="N452" s="493"/>
      <c r="O452" s="944"/>
    </row>
    <row r="453" spans="1:15" hidden="1">
      <c r="A453" s="1010"/>
      <c r="B453" s="484" t="s">
        <v>34</v>
      </c>
      <c r="C453" s="484"/>
      <c r="D453" s="484"/>
      <c r="E453" s="484"/>
      <c r="F453" s="484"/>
      <c r="G453" s="81"/>
      <c r="H453" s="81"/>
      <c r="I453" s="81"/>
      <c r="J453" s="81"/>
      <c r="K453" s="81"/>
      <c r="L453" s="81"/>
      <c r="M453" s="580"/>
      <c r="N453" s="493"/>
      <c r="O453" s="944"/>
    </row>
    <row r="454" spans="1:15" ht="24" customHeight="1">
      <c r="A454" s="964" t="s">
        <v>1090</v>
      </c>
      <c r="B454" s="492" t="s">
        <v>89</v>
      </c>
      <c r="C454" s="492"/>
      <c r="D454" s="492"/>
      <c r="E454" s="492"/>
      <c r="F454" s="492"/>
      <c r="G454" s="81">
        <f>K454</f>
        <v>0</v>
      </c>
      <c r="H454" s="81"/>
      <c r="I454" s="81"/>
      <c r="J454" s="81"/>
      <c r="K454" s="81"/>
      <c r="L454" s="81"/>
      <c r="M454" s="580"/>
      <c r="N454" s="493"/>
      <c r="O454" s="944" t="s">
        <v>822</v>
      </c>
    </row>
    <row r="455" spans="1:15" ht="24">
      <c r="A455" s="964"/>
      <c r="B455" s="492" t="s">
        <v>235</v>
      </c>
      <c r="C455" s="492"/>
      <c r="D455" s="492"/>
      <c r="E455" s="492"/>
      <c r="F455" s="492"/>
      <c r="G455" s="81">
        <f t="shared" ref="G455:L455" si="147">G456+G457</f>
        <v>3612.4</v>
      </c>
      <c r="H455" s="81">
        <f t="shared" si="147"/>
        <v>0</v>
      </c>
      <c r="I455" s="81">
        <f t="shared" si="147"/>
        <v>0</v>
      </c>
      <c r="J455" s="81">
        <f t="shared" si="147"/>
        <v>0</v>
      </c>
      <c r="K455" s="81">
        <f t="shared" si="147"/>
        <v>3612.4</v>
      </c>
      <c r="L455" s="81">
        <f t="shared" si="147"/>
        <v>2000</v>
      </c>
      <c r="M455" s="580">
        <f>M456+M457</f>
        <v>29793.9</v>
      </c>
      <c r="N455" s="493"/>
      <c r="O455" s="944"/>
    </row>
    <row r="456" spans="1:15" ht="23.25" customHeight="1">
      <c r="A456" s="964"/>
      <c r="B456" s="492" t="s">
        <v>10</v>
      </c>
      <c r="C456" s="492"/>
      <c r="D456" s="492"/>
      <c r="E456" s="492"/>
      <c r="F456" s="492"/>
      <c r="G456" s="81">
        <f>J456+K456</f>
        <v>3612.4</v>
      </c>
      <c r="H456" s="81"/>
      <c r="I456" s="81"/>
      <c r="J456" s="81"/>
      <c r="K456" s="81">
        <v>3612.4</v>
      </c>
      <c r="L456" s="81">
        <v>2000</v>
      </c>
      <c r="M456" s="580">
        <v>29793.9</v>
      </c>
      <c r="N456" s="493"/>
      <c r="O456" s="944"/>
    </row>
    <row r="457" spans="1:15" ht="25.5" customHeight="1">
      <c r="A457" s="964"/>
      <c r="B457" s="492" t="s">
        <v>436</v>
      </c>
      <c r="C457" s="492"/>
      <c r="D457" s="492"/>
      <c r="E457" s="492"/>
      <c r="F457" s="492"/>
      <c r="G457" s="81"/>
      <c r="H457" s="81"/>
      <c r="I457" s="81"/>
      <c r="J457" s="81"/>
      <c r="K457" s="81"/>
      <c r="L457" s="81"/>
      <c r="M457" s="580"/>
      <c r="N457" s="493"/>
      <c r="O457" s="944"/>
    </row>
    <row r="458" spans="1:15" hidden="1">
      <c r="A458" s="981" t="s">
        <v>162</v>
      </c>
      <c r="B458" s="57" t="s">
        <v>89</v>
      </c>
      <c r="C458" s="484"/>
      <c r="D458" s="484"/>
      <c r="E458" s="484"/>
      <c r="F458" s="484"/>
      <c r="G458" s="80">
        <f>G462+G521+G466</f>
        <v>5718404.7000000002</v>
      </c>
      <c r="H458" s="80"/>
      <c r="I458" s="80"/>
      <c r="J458" s="80"/>
      <c r="K458" s="80"/>
      <c r="L458" s="80">
        <f>L462+L521+L466</f>
        <v>4475324.7</v>
      </c>
      <c r="M458" s="439"/>
      <c r="N458" s="493"/>
      <c r="O458" s="484"/>
    </row>
    <row r="459" spans="1:15" ht="24" hidden="1">
      <c r="A459" s="981"/>
      <c r="B459" s="57" t="s">
        <v>235</v>
      </c>
      <c r="C459" s="484"/>
      <c r="D459" s="484"/>
      <c r="E459" s="484"/>
      <c r="F459" s="484"/>
      <c r="G459" s="80">
        <f t="shared" ref="G459:L459" si="148">G460+G461</f>
        <v>0</v>
      </c>
      <c r="H459" s="80"/>
      <c r="I459" s="80"/>
      <c r="J459" s="80"/>
      <c r="K459" s="80"/>
      <c r="L459" s="80" t="e">
        <f t="shared" si="148"/>
        <v>#REF!</v>
      </c>
      <c r="M459" s="439"/>
      <c r="N459" s="493"/>
      <c r="O459" s="484"/>
    </row>
    <row r="460" spans="1:15" hidden="1">
      <c r="A460" s="981"/>
      <c r="B460" s="57" t="s">
        <v>10</v>
      </c>
      <c r="C460" s="484"/>
      <c r="D460" s="484"/>
      <c r="E460" s="484"/>
      <c r="F460" s="484"/>
      <c r="G460" s="80"/>
      <c r="H460" s="80"/>
      <c r="I460" s="80"/>
      <c r="J460" s="80"/>
      <c r="K460" s="80"/>
      <c r="L460" s="80"/>
      <c r="M460" s="439"/>
      <c r="N460" s="493"/>
      <c r="O460" s="484"/>
    </row>
    <row r="461" spans="1:15" hidden="1">
      <c r="A461" s="981"/>
      <c r="B461" s="57" t="s">
        <v>34</v>
      </c>
      <c r="C461" s="484"/>
      <c r="D461" s="484"/>
      <c r="E461" s="484"/>
      <c r="F461" s="484"/>
      <c r="G461" s="80"/>
      <c r="H461" s="80"/>
      <c r="I461" s="80"/>
      <c r="J461" s="80"/>
      <c r="K461" s="80"/>
      <c r="L461" s="80" t="e">
        <f>L465+#REF!+L469</f>
        <v>#REF!</v>
      </c>
      <c r="M461" s="439"/>
      <c r="N461" s="493"/>
      <c r="O461" s="484"/>
    </row>
    <row r="462" spans="1:15" hidden="1">
      <c r="A462" s="957" t="s">
        <v>205</v>
      </c>
      <c r="B462" s="492" t="s">
        <v>89</v>
      </c>
      <c r="C462" s="492"/>
      <c r="D462" s="492"/>
      <c r="E462" s="492"/>
      <c r="F462" s="492"/>
      <c r="G462" s="81"/>
      <c r="H462" s="81"/>
      <c r="I462" s="81"/>
      <c r="J462" s="81"/>
      <c r="K462" s="81"/>
      <c r="L462" s="81"/>
      <c r="M462" s="580"/>
      <c r="N462" s="493"/>
      <c r="O462" s="944"/>
    </row>
    <row r="463" spans="1:15" ht="24" hidden="1">
      <c r="A463" s="958"/>
      <c r="B463" s="492" t="s">
        <v>235</v>
      </c>
      <c r="C463" s="492"/>
      <c r="D463" s="492"/>
      <c r="E463" s="492"/>
      <c r="F463" s="492"/>
      <c r="G463" s="81">
        <f t="shared" ref="G463:L463" si="149">G464+G465</f>
        <v>0</v>
      </c>
      <c r="H463" s="81"/>
      <c r="I463" s="81"/>
      <c r="J463" s="81"/>
      <c r="K463" s="81"/>
      <c r="L463" s="81">
        <f t="shared" si="149"/>
        <v>0</v>
      </c>
      <c r="M463" s="580"/>
      <c r="N463" s="493"/>
      <c r="O463" s="944"/>
    </row>
    <row r="464" spans="1:15" hidden="1">
      <c r="A464" s="958"/>
      <c r="B464" s="492" t="s">
        <v>10</v>
      </c>
      <c r="C464" s="492"/>
      <c r="D464" s="492"/>
      <c r="E464" s="492"/>
      <c r="F464" s="492"/>
      <c r="G464" s="81"/>
      <c r="H464" s="81"/>
      <c r="I464" s="81"/>
      <c r="J464" s="81"/>
      <c r="K464" s="81"/>
      <c r="L464" s="81">
        <v>0</v>
      </c>
      <c r="M464" s="580"/>
      <c r="N464" s="493"/>
      <c r="O464" s="944"/>
    </row>
    <row r="465" spans="1:15" hidden="1">
      <c r="A465" s="959"/>
      <c r="B465" s="492" t="s">
        <v>34</v>
      </c>
      <c r="C465" s="492"/>
      <c r="D465" s="492"/>
      <c r="E465" s="492"/>
      <c r="F465" s="492"/>
      <c r="G465" s="81"/>
      <c r="H465" s="81"/>
      <c r="I465" s="81"/>
      <c r="J465" s="81"/>
      <c r="K465" s="81"/>
      <c r="L465" s="81">
        <v>0</v>
      </c>
      <c r="M465" s="580"/>
      <c r="N465" s="493"/>
      <c r="O465" s="944"/>
    </row>
    <row r="466" spans="1:15" hidden="1">
      <c r="A466" s="957" t="s">
        <v>264</v>
      </c>
      <c r="B466" s="484" t="s">
        <v>89</v>
      </c>
      <c r="C466" s="484"/>
      <c r="D466" s="484"/>
      <c r="E466" s="484"/>
      <c r="F466" s="484"/>
      <c r="G466" s="81"/>
      <c r="H466" s="81"/>
      <c r="I466" s="81"/>
      <c r="J466" s="81"/>
      <c r="K466" s="81"/>
      <c r="L466" s="81"/>
      <c r="M466" s="580"/>
      <c r="N466" s="493"/>
      <c r="O466" s="944" t="s">
        <v>268</v>
      </c>
    </row>
    <row r="467" spans="1:15" ht="24" hidden="1">
      <c r="A467" s="958"/>
      <c r="B467" s="484" t="s">
        <v>235</v>
      </c>
      <c r="C467" s="484"/>
      <c r="D467" s="484"/>
      <c r="E467" s="484"/>
      <c r="F467" s="484"/>
      <c r="G467" s="81">
        <f>G468+G469</f>
        <v>0</v>
      </c>
      <c r="H467" s="81"/>
      <c r="I467" s="81"/>
      <c r="J467" s="81"/>
      <c r="K467" s="81"/>
      <c r="L467" s="81">
        <f t="shared" ref="L467" si="150">L468+L469</f>
        <v>0</v>
      </c>
      <c r="M467" s="580"/>
      <c r="N467" s="493"/>
      <c r="O467" s="944"/>
    </row>
    <row r="468" spans="1:15" ht="0.75" hidden="1" customHeight="1">
      <c r="A468" s="958"/>
      <c r="B468" s="484" t="s">
        <v>10</v>
      </c>
      <c r="C468" s="484"/>
      <c r="D468" s="484"/>
      <c r="E468" s="484"/>
      <c r="F468" s="484"/>
      <c r="G468" s="81"/>
      <c r="H468" s="81"/>
      <c r="I468" s="81"/>
      <c r="J468" s="81"/>
      <c r="K468" s="81"/>
      <c r="L468" s="81"/>
      <c r="M468" s="580"/>
      <c r="N468" s="493"/>
      <c r="O468" s="944"/>
    </row>
    <row r="469" spans="1:15" hidden="1">
      <c r="A469" s="959"/>
      <c r="B469" s="484" t="s">
        <v>34</v>
      </c>
      <c r="C469" s="484"/>
      <c r="D469" s="484"/>
      <c r="E469" s="484"/>
      <c r="F469" s="484"/>
      <c r="G469" s="81"/>
      <c r="H469" s="81"/>
      <c r="I469" s="81"/>
      <c r="J469" s="81"/>
      <c r="K469" s="81"/>
      <c r="L469" s="81"/>
      <c r="M469" s="580"/>
      <c r="N469" s="493"/>
      <c r="O469" s="944"/>
    </row>
    <row r="470" spans="1:15" ht="0.75" hidden="1" customHeight="1">
      <c r="A470" s="1043" t="s">
        <v>22</v>
      </c>
      <c r="B470" s="484" t="s">
        <v>89</v>
      </c>
      <c r="C470" s="484"/>
      <c r="D470" s="484"/>
      <c r="E470" s="484"/>
      <c r="F470" s="484"/>
      <c r="G470" s="81"/>
      <c r="H470" s="81"/>
      <c r="I470" s="81"/>
      <c r="J470" s="81"/>
      <c r="K470" s="81"/>
      <c r="L470" s="81"/>
      <c r="M470" s="580"/>
      <c r="N470" s="493"/>
      <c r="O470" s="944" t="s">
        <v>512</v>
      </c>
    </row>
    <row r="471" spans="1:15" ht="45.75" hidden="1" customHeight="1">
      <c r="A471" s="1044"/>
      <c r="B471" s="484" t="s">
        <v>235</v>
      </c>
      <c r="C471" s="484"/>
      <c r="D471" s="484"/>
      <c r="E471" s="484"/>
      <c r="F471" s="484"/>
      <c r="G471" s="80">
        <f>K471</f>
        <v>0</v>
      </c>
      <c r="H471" s="80"/>
      <c r="I471" s="80"/>
      <c r="J471" s="80"/>
      <c r="K471" s="80">
        <f>K472+K473</f>
        <v>0</v>
      </c>
      <c r="L471" s="81">
        <f>L472+L473</f>
        <v>0</v>
      </c>
      <c r="M471" s="580"/>
      <c r="N471" s="493"/>
      <c r="O471" s="944"/>
    </row>
    <row r="472" spans="1:15" ht="24" hidden="1" customHeight="1">
      <c r="A472" s="1044"/>
      <c r="B472" s="484" t="s">
        <v>10</v>
      </c>
      <c r="C472" s="484"/>
      <c r="D472" s="484"/>
      <c r="E472" s="484"/>
      <c r="F472" s="484"/>
      <c r="G472" s="81">
        <f t="shared" ref="G472:G473" si="151">K472</f>
        <v>0</v>
      </c>
      <c r="H472" s="81"/>
      <c r="I472" s="81"/>
      <c r="J472" s="81"/>
      <c r="K472" s="81"/>
      <c r="L472" s="81"/>
      <c r="M472" s="580"/>
      <c r="N472" s="493"/>
      <c r="O472" s="944"/>
    </row>
    <row r="473" spans="1:15" ht="40.5" hidden="1" customHeight="1">
      <c r="A473" s="1045"/>
      <c r="B473" s="484" t="s">
        <v>436</v>
      </c>
      <c r="C473" s="484"/>
      <c r="D473" s="484"/>
      <c r="E473" s="484"/>
      <c r="F473" s="484"/>
      <c r="G473" s="81">
        <f t="shared" si="151"/>
        <v>0</v>
      </c>
      <c r="H473" s="81"/>
      <c r="I473" s="81"/>
      <c r="J473" s="81"/>
      <c r="K473" s="81"/>
      <c r="L473" s="81"/>
      <c r="M473" s="580"/>
      <c r="N473" s="493"/>
      <c r="O473" s="944"/>
    </row>
    <row r="474" spans="1:15" ht="68.25" hidden="1" customHeight="1">
      <c r="A474" s="1052" t="s">
        <v>544</v>
      </c>
      <c r="B474" s="57" t="s">
        <v>845</v>
      </c>
      <c r="C474" s="546"/>
      <c r="D474" s="546"/>
      <c r="E474" s="546"/>
      <c r="F474" s="546"/>
      <c r="G474" s="81">
        <v>0</v>
      </c>
      <c r="H474" s="81"/>
      <c r="I474" s="81"/>
      <c r="J474" s="81"/>
      <c r="K474" s="81">
        <v>0</v>
      </c>
      <c r="L474" s="81"/>
      <c r="M474" s="439">
        <f>M492</f>
        <v>0</v>
      </c>
      <c r="N474" s="933" t="s">
        <v>26</v>
      </c>
      <c r="O474" s="933" t="s">
        <v>846</v>
      </c>
    </row>
    <row r="475" spans="1:15" ht="30.75" hidden="1" customHeight="1">
      <c r="A475" s="1052"/>
      <c r="B475" s="57" t="s">
        <v>24</v>
      </c>
      <c r="C475" s="546"/>
      <c r="D475" s="546"/>
      <c r="E475" s="546"/>
      <c r="F475" s="546"/>
      <c r="G475" s="81"/>
      <c r="H475" s="81"/>
      <c r="I475" s="81"/>
      <c r="J475" s="81"/>
      <c r="K475" s="81"/>
      <c r="L475" s="81"/>
      <c r="M475" s="439"/>
      <c r="N475" s="946"/>
      <c r="O475" s="946"/>
    </row>
    <row r="476" spans="1:15" ht="25.5" hidden="1" customHeight="1">
      <c r="A476" s="1052"/>
      <c r="B476" s="57" t="s">
        <v>235</v>
      </c>
      <c r="C476" s="546"/>
      <c r="D476" s="546"/>
      <c r="E476" s="546"/>
      <c r="F476" s="546"/>
      <c r="G476" s="80">
        <f>G477+G478</f>
        <v>0</v>
      </c>
      <c r="H476" s="80">
        <f t="shared" ref="H476:K476" si="152">H477+H478</f>
        <v>0</v>
      </c>
      <c r="I476" s="80">
        <f t="shared" si="152"/>
        <v>0</v>
      </c>
      <c r="J476" s="80">
        <f t="shared" si="152"/>
        <v>0</v>
      </c>
      <c r="K476" s="80">
        <f t="shared" si="152"/>
        <v>0</v>
      </c>
      <c r="L476" s="80">
        <f t="shared" ref="L476" si="153">L477+L478</f>
        <v>0</v>
      </c>
      <c r="M476" s="439">
        <f t="shared" ref="M476" si="154">M477+M478</f>
        <v>0</v>
      </c>
      <c r="N476" s="946"/>
      <c r="O476" s="946"/>
    </row>
    <row r="477" spans="1:15" ht="19.5" hidden="1" customHeight="1">
      <c r="A477" s="1052"/>
      <c r="B477" s="57" t="s">
        <v>10</v>
      </c>
      <c r="C477" s="546"/>
      <c r="D477" s="546"/>
      <c r="E477" s="546"/>
      <c r="F477" s="546"/>
      <c r="G477" s="80">
        <f>G482+G494+G510+G518</f>
        <v>0</v>
      </c>
      <c r="H477" s="80">
        <f t="shared" ref="H477:M477" si="155">H482+H494+H510+H518</f>
        <v>0</v>
      </c>
      <c r="I477" s="80">
        <f t="shared" si="155"/>
        <v>0</v>
      </c>
      <c r="J477" s="80">
        <f t="shared" si="155"/>
        <v>0</v>
      </c>
      <c r="K477" s="80">
        <f t="shared" si="155"/>
        <v>0</v>
      </c>
      <c r="L477" s="80">
        <f t="shared" si="155"/>
        <v>0</v>
      </c>
      <c r="M477" s="439">
        <f t="shared" si="155"/>
        <v>0</v>
      </c>
      <c r="N477" s="946"/>
      <c r="O477" s="946"/>
    </row>
    <row r="478" spans="1:15" ht="31.5" hidden="1" customHeight="1">
      <c r="A478" s="1052"/>
      <c r="B478" s="57" t="s">
        <v>436</v>
      </c>
      <c r="C478" s="546"/>
      <c r="D478" s="546"/>
      <c r="E478" s="546"/>
      <c r="F478" s="546"/>
      <c r="G478" s="81"/>
      <c r="H478" s="81"/>
      <c r="I478" s="81"/>
      <c r="J478" s="81"/>
      <c r="K478" s="81"/>
      <c r="L478" s="81"/>
      <c r="M478" s="580"/>
      <c r="N478" s="934"/>
      <c r="O478" s="934"/>
    </row>
    <row r="479" spans="1:15" ht="15" hidden="1" customHeight="1">
      <c r="A479" s="557" t="s">
        <v>29</v>
      </c>
      <c r="B479" s="57"/>
      <c r="C479" s="546"/>
      <c r="D479" s="546"/>
      <c r="E479" s="546"/>
      <c r="F479" s="546"/>
      <c r="G479" s="81"/>
      <c r="H479" s="81"/>
      <c r="I479" s="81"/>
      <c r="J479" s="81"/>
      <c r="K479" s="81"/>
      <c r="L479" s="81"/>
      <c r="M479" s="580"/>
      <c r="N479" s="554"/>
      <c r="O479" s="544"/>
    </row>
    <row r="480" spans="1:15" ht="18.75" hidden="1" customHeight="1">
      <c r="A480" s="945" t="s">
        <v>103</v>
      </c>
      <c r="B480" s="57" t="s">
        <v>89</v>
      </c>
      <c r="C480" s="57"/>
      <c r="D480" s="57"/>
      <c r="E480" s="57"/>
      <c r="F480" s="57"/>
      <c r="G480" s="80"/>
      <c r="H480" s="80"/>
      <c r="I480" s="80"/>
      <c r="J480" s="80"/>
      <c r="K480" s="80"/>
      <c r="L480" s="80"/>
      <c r="M480" s="439"/>
      <c r="N480" s="554"/>
      <c r="O480" s="57"/>
    </row>
    <row r="481" spans="1:15" ht="24" hidden="1" customHeight="1">
      <c r="A481" s="945"/>
      <c r="B481" s="57" t="s">
        <v>235</v>
      </c>
      <c r="C481" s="57"/>
      <c r="D481" s="57"/>
      <c r="E481" s="57"/>
      <c r="F481" s="57"/>
      <c r="G481" s="80"/>
      <c r="H481" s="80"/>
      <c r="I481" s="80"/>
      <c r="J481" s="80"/>
      <c r="K481" s="80"/>
      <c r="L481" s="80"/>
      <c r="M481" s="439"/>
      <c r="N481" s="554"/>
      <c r="O481" s="57"/>
    </row>
    <row r="482" spans="1:15" ht="18.75" hidden="1" customHeight="1">
      <c r="A482" s="945"/>
      <c r="B482" s="57" t="s">
        <v>10</v>
      </c>
      <c r="C482" s="57"/>
      <c r="D482" s="57"/>
      <c r="E482" s="57"/>
      <c r="F482" s="57"/>
      <c r="G482" s="80"/>
      <c r="H482" s="80"/>
      <c r="I482" s="80"/>
      <c r="J482" s="80"/>
      <c r="K482" s="80"/>
      <c r="L482" s="80"/>
      <c r="M482" s="439"/>
      <c r="N482" s="554"/>
      <c r="O482" s="57"/>
    </row>
    <row r="483" spans="1:15" ht="20.25" hidden="1" customHeight="1">
      <c r="A483" s="945"/>
      <c r="B483" s="57" t="s">
        <v>436</v>
      </c>
      <c r="C483" s="57"/>
      <c r="D483" s="57"/>
      <c r="E483" s="57"/>
      <c r="F483" s="57"/>
      <c r="G483" s="80"/>
      <c r="H483" s="80"/>
      <c r="I483" s="80"/>
      <c r="J483" s="80"/>
      <c r="K483" s="80"/>
      <c r="L483" s="80"/>
      <c r="M483" s="439"/>
      <c r="N483" s="554"/>
      <c r="O483" s="57"/>
    </row>
    <row r="484" spans="1:15" ht="20.25" hidden="1" customHeight="1">
      <c r="A484" s="1040" t="s">
        <v>828</v>
      </c>
      <c r="B484" s="567" t="s">
        <v>89</v>
      </c>
      <c r="C484" s="57"/>
      <c r="D484" s="57"/>
      <c r="E484" s="57"/>
      <c r="F484" s="57"/>
      <c r="G484" s="80">
        <v>0</v>
      </c>
      <c r="H484" s="80">
        <v>0</v>
      </c>
      <c r="I484" s="80">
        <v>0</v>
      </c>
      <c r="J484" s="80">
        <v>0</v>
      </c>
      <c r="K484" s="80">
        <v>0</v>
      </c>
      <c r="L484" s="80"/>
      <c r="M484" s="439"/>
      <c r="N484" s="554"/>
      <c r="O484" s="561"/>
    </row>
    <row r="485" spans="1:15" ht="25.5" hidden="1" customHeight="1">
      <c r="A485" s="1041"/>
      <c r="B485" s="567" t="s">
        <v>235</v>
      </c>
      <c r="C485" s="57"/>
      <c r="D485" s="57"/>
      <c r="E485" s="57"/>
      <c r="F485" s="57"/>
      <c r="G485" s="80"/>
      <c r="H485" s="80"/>
      <c r="I485" s="80"/>
      <c r="J485" s="80"/>
      <c r="K485" s="80"/>
      <c r="L485" s="80"/>
      <c r="M485" s="439"/>
      <c r="N485" s="554"/>
      <c r="O485" s="562"/>
    </row>
    <row r="486" spans="1:15" ht="20.25" hidden="1" customHeight="1">
      <c r="A486" s="1041"/>
      <c r="B486" s="567" t="s">
        <v>10</v>
      </c>
      <c r="C486" s="546"/>
      <c r="D486" s="546"/>
      <c r="E486" s="546"/>
      <c r="F486" s="546"/>
      <c r="G486" s="81"/>
      <c r="H486" s="81"/>
      <c r="I486" s="81"/>
      <c r="J486" s="81"/>
      <c r="K486" s="81"/>
      <c r="L486" s="81"/>
      <c r="M486" s="580"/>
      <c r="N486" s="554"/>
      <c r="O486" s="562"/>
    </row>
    <row r="487" spans="1:15" ht="20.25" hidden="1" customHeight="1">
      <c r="A487" s="1042"/>
      <c r="B487" s="567" t="s">
        <v>436</v>
      </c>
      <c r="C487" s="546"/>
      <c r="D487" s="546"/>
      <c r="E487" s="546"/>
      <c r="F487" s="546"/>
      <c r="G487" s="81"/>
      <c r="H487" s="81"/>
      <c r="I487" s="81"/>
      <c r="J487" s="81"/>
      <c r="K487" s="81"/>
      <c r="L487" s="81"/>
      <c r="M487" s="580"/>
      <c r="N487" s="554"/>
      <c r="O487" s="563"/>
    </row>
    <row r="488" spans="1:15" ht="20.25" hidden="1" customHeight="1">
      <c r="A488" s="932" t="s">
        <v>830</v>
      </c>
      <c r="B488" s="567" t="s">
        <v>89</v>
      </c>
      <c r="C488" s="546"/>
      <c r="D488" s="546"/>
      <c r="E488" s="546"/>
      <c r="F488" s="546"/>
      <c r="G488" s="81"/>
      <c r="H488" s="81"/>
      <c r="I488" s="81"/>
      <c r="J488" s="81"/>
      <c r="K488" s="81"/>
      <c r="L488" s="81"/>
      <c r="M488" s="580"/>
      <c r="N488" s="554"/>
      <c r="O488" s="1039"/>
    </row>
    <row r="489" spans="1:15" ht="20.25" hidden="1" customHeight="1">
      <c r="A489" s="932"/>
      <c r="B489" s="567" t="s">
        <v>235</v>
      </c>
      <c r="C489" s="546"/>
      <c r="D489" s="546"/>
      <c r="E489" s="546"/>
      <c r="F489" s="546"/>
      <c r="G489" s="81"/>
      <c r="H489" s="81"/>
      <c r="I489" s="81"/>
      <c r="J489" s="81"/>
      <c r="K489" s="81"/>
      <c r="L489" s="81"/>
      <c r="M489" s="580"/>
      <c r="N489" s="554"/>
      <c r="O489" s="1039"/>
    </row>
    <row r="490" spans="1:15" ht="20.25" hidden="1" customHeight="1">
      <c r="A490" s="932"/>
      <c r="B490" s="567" t="s">
        <v>10</v>
      </c>
      <c r="C490" s="546"/>
      <c r="D490" s="546"/>
      <c r="E490" s="546"/>
      <c r="F490" s="546"/>
      <c r="G490" s="81"/>
      <c r="H490" s="81"/>
      <c r="I490" s="81"/>
      <c r="J490" s="81"/>
      <c r="K490" s="81"/>
      <c r="L490" s="81"/>
      <c r="M490" s="580"/>
      <c r="N490" s="554"/>
      <c r="O490" s="1039"/>
    </row>
    <row r="491" spans="1:15" ht="20.25" hidden="1" customHeight="1">
      <c r="A491" s="932"/>
      <c r="B491" s="567" t="s">
        <v>436</v>
      </c>
      <c r="C491" s="546"/>
      <c r="D491" s="546"/>
      <c r="E491" s="546"/>
      <c r="F491" s="546"/>
      <c r="G491" s="81"/>
      <c r="H491" s="81"/>
      <c r="I491" s="81"/>
      <c r="J491" s="81"/>
      <c r="K491" s="81"/>
      <c r="L491" s="81"/>
      <c r="M491" s="580"/>
      <c r="N491" s="554"/>
      <c r="O491" s="1039"/>
    </row>
    <row r="492" spans="1:15" ht="20.25" hidden="1" customHeight="1">
      <c r="A492" s="1000" t="s">
        <v>104</v>
      </c>
      <c r="B492" s="568" t="s">
        <v>841</v>
      </c>
      <c r="C492" s="546"/>
      <c r="D492" s="546"/>
      <c r="E492" s="546"/>
      <c r="F492" s="546"/>
      <c r="G492" s="81"/>
      <c r="H492" s="81"/>
      <c r="I492" s="81"/>
      <c r="J492" s="81"/>
      <c r="K492" s="81"/>
      <c r="L492" s="81"/>
      <c r="M492" s="580"/>
      <c r="N492" s="554"/>
      <c r="O492" s="933" t="s">
        <v>843</v>
      </c>
    </row>
    <row r="493" spans="1:15" ht="23.25" hidden="1" customHeight="1">
      <c r="A493" s="1001"/>
      <c r="B493" s="568" t="s">
        <v>235</v>
      </c>
      <c r="C493" s="546"/>
      <c r="D493" s="546"/>
      <c r="E493" s="546"/>
      <c r="F493" s="546"/>
      <c r="G493" s="81"/>
      <c r="H493" s="81"/>
      <c r="I493" s="81"/>
      <c r="J493" s="81"/>
      <c r="K493" s="81"/>
      <c r="L493" s="81"/>
      <c r="M493" s="580">
        <f>M494</f>
        <v>0</v>
      </c>
      <c r="N493" s="554"/>
      <c r="O493" s="946"/>
    </row>
    <row r="494" spans="1:15" ht="20.25" hidden="1" customHeight="1">
      <c r="A494" s="1001"/>
      <c r="B494" s="568" t="s">
        <v>10</v>
      </c>
      <c r="C494" s="546"/>
      <c r="D494" s="546"/>
      <c r="E494" s="546"/>
      <c r="F494" s="546"/>
      <c r="G494" s="81"/>
      <c r="H494" s="81"/>
      <c r="I494" s="81"/>
      <c r="J494" s="81"/>
      <c r="K494" s="81"/>
      <c r="L494" s="81"/>
      <c r="M494" s="580">
        <f>M498+M502+M506</f>
        <v>0</v>
      </c>
      <c r="N494" s="554"/>
      <c r="O494" s="946"/>
    </row>
    <row r="495" spans="1:15" ht="20.25" hidden="1" customHeight="1">
      <c r="A495" s="1002"/>
      <c r="B495" s="568" t="s">
        <v>436</v>
      </c>
      <c r="C495" s="546"/>
      <c r="D495" s="546"/>
      <c r="E495" s="546"/>
      <c r="F495" s="546"/>
      <c r="G495" s="81"/>
      <c r="H495" s="81"/>
      <c r="I495" s="81"/>
      <c r="J495" s="81"/>
      <c r="K495" s="81"/>
      <c r="L495" s="81"/>
      <c r="M495" s="580"/>
      <c r="N495" s="554"/>
      <c r="O495" s="934"/>
    </row>
    <row r="496" spans="1:15" ht="20.25" hidden="1" customHeight="1">
      <c r="A496" s="932" t="s">
        <v>832</v>
      </c>
      <c r="B496" s="567" t="s">
        <v>89</v>
      </c>
      <c r="C496" s="546"/>
      <c r="D496" s="546"/>
      <c r="E496" s="546"/>
      <c r="F496" s="546"/>
      <c r="G496" s="81"/>
      <c r="H496" s="81"/>
      <c r="I496" s="81"/>
      <c r="J496" s="81"/>
      <c r="K496" s="81"/>
      <c r="L496" s="81"/>
      <c r="M496" s="580"/>
      <c r="N496" s="554"/>
      <c r="O496" s="933" t="s">
        <v>842</v>
      </c>
    </row>
    <row r="497" spans="1:15" ht="20.25" hidden="1" customHeight="1">
      <c r="A497" s="932"/>
      <c r="B497" s="567" t="s">
        <v>235</v>
      </c>
      <c r="C497" s="546"/>
      <c r="D497" s="546"/>
      <c r="E497" s="546"/>
      <c r="F497" s="546"/>
      <c r="G497" s="81"/>
      <c r="H497" s="81"/>
      <c r="I497" s="81"/>
      <c r="J497" s="81"/>
      <c r="K497" s="81"/>
      <c r="L497" s="81"/>
      <c r="M497" s="580">
        <f>M498</f>
        <v>0</v>
      </c>
      <c r="N497" s="554"/>
      <c r="O497" s="946"/>
    </row>
    <row r="498" spans="1:15" ht="20.25" hidden="1" customHeight="1">
      <c r="A498" s="932"/>
      <c r="B498" s="567" t="s">
        <v>10</v>
      </c>
      <c r="C498" s="546"/>
      <c r="D498" s="546"/>
      <c r="E498" s="546"/>
      <c r="F498" s="546"/>
      <c r="G498" s="81"/>
      <c r="H498" s="81"/>
      <c r="I498" s="81"/>
      <c r="J498" s="81"/>
      <c r="K498" s="81"/>
      <c r="L498" s="81"/>
      <c r="M498" s="580"/>
      <c r="N498" s="554"/>
      <c r="O498" s="946"/>
    </row>
    <row r="499" spans="1:15" ht="20.25" hidden="1" customHeight="1">
      <c r="A499" s="932"/>
      <c r="B499" s="567" t="s">
        <v>436</v>
      </c>
      <c r="C499" s="546"/>
      <c r="D499" s="546"/>
      <c r="E499" s="546"/>
      <c r="F499" s="546"/>
      <c r="G499" s="81"/>
      <c r="H499" s="81"/>
      <c r="I499" s="81"/>
      <c r="J499" s="81"/>
      <c r="K499" s="81"/>
      <c r="L499" s="81"/>
      <c r="M499" s="580"/>
      <c r="N499" s="554"/>
      <c r="O499" s="934"/>
    </row>
    <row r="500" spans="1:15" ht="20.25" hidden="1" customHeight="1">
      <c r="A500" s="932" t="s">
        <v>833</v>
      </c>
      <c r="B500" s="567" t="s">
        <v>89</v>
      </c>
      <c r="C500" s="546"/>
      <c r="D500" s="546"/>
      <c r="E500" s="546"/>
      <c r="F500" s="546"/>
      <c r="G500" s="81"/>
      <c r="H500" s="81"/>
      <c r="I500" s="81"/>
      <c r="J500" s="81"/>
      <c r="K500" s="81"/>
      <c r="L500" s="81"/>
      <c r="M500" s="580"/>
      <c r="N500" s="554"/>
      <c r="O500" s="933" t="s">
        <v>842</v>
      </c>
    </row>
    <row r="501" spans="1:15" ht="22.5" hidden="1" customHeight="1">
      <c r="A501" s="932"/>
      <c r="B501" s="567" t="s">
        <v>235</v>
      </c>
      <c r="C501" s="546"/>
      <c r="D501" s="546"/>
      <c r="E501" s="546"/>
      <c r="F501" s="546"/>
      <c r="G501" s="81"/>
      <c r="H501" s="81"/>
      <c r="I501" s="81"/>
      <c r="J501" s="81"/>
      <c r="K501" s="81"/>
      <c r="L501" s="81"/>
      <c r="M501" s="580">
        <f>M502</f>
        <v>0</v>
      </c>
      <c r="N501" s="554"/>
      <c r="O501" s="946"/>
    </row>
    <row r="502" spans="1:15" ht="20.25" hidden="1" customHeight="1">
      <c r="A502" s="932"/>
      <c r="B502" s="567" t="s">
        <v>10</v>
      </c>
      <c r="C502" s="546"/>
      <c r="D502" s="546"/>
      <c r="E502" s="546"/>
      <c r="F502" s="546"/>
      <c r="G502" s="81"/>
      <c r="H502" s="81"/>
      <c r="I502" s="81"/>
      <c r="J502" s="81"/>
      <c r="K502" s="81"/>
      <c r="L502" s="81"/>
      <c r="M502" s="580"/>
      <c r="N502" s="554"/>
      <c r="O502" s="946"/>
    </row>
    <row r="503" spans="1:15" ht="20.25" hidden="1" customHeight="1">
      <c r="A503" s="932"/>
      <c r="B503" s="567" t="s">
        <v>436</v>
      </c>
      <c r="C503" s="546"/>
      <c r="D503" s="546"/>
      <c r="E503" s="546"/>
      <c r="F503" s="546"/>
      <c r="G503" s="81"/>
      <c r="H503" s="81"/>
      <c r="I503" s="81"/>
      <c r="J503" s="81"/>
      <c r="K503" s="81"/>
      <c r="L503" s="81"/>
      <c r="M503" s="580"/>
      <c r="N503" s="554"/>
      <c r="O503" s="934"/>
    </row>
    <row r="504" spans="1:15" ht="20.25" hidden="1" customHeight="1">
      <c r="A504" s="926" t="s">
        <v>831</v>
      </c>
      <c r="B504" s="567" t="s">
        <v>89</v>
      </c>
      <c r="C504" s="546"/>
      <c r="D504" s="546"/>
      <c r="E504" s="546"/>
      <c r="F504" s="546"/>
      <c r="G504" s="81"/>
      <c r="H504" s="81"/>
      <c r="I504" s="81"/>
      <c r="J504" s="81"/>
      <c r="K504" s="81"/>
      <c r="L504" s="81"/>
      <c r="M504" s="580"/>
      <c r="N504" s="554"/>
      <c r="O504" s="933" t="s">
        <v>842</v>
      </c>
    </row>
    <row r="505" spans="1:15" ht="20.25" hidden="1" customHeight="1">
      <c r="A505" s="927"/>
      <c r="B505" s="567" t="s">
        <v>235</v>
      </c>
      <c r="C505" s="546"/>
      <c r="D505" s="546"/>
      <c r="E505" s="546"/>
      <c r="F505" s="546"/>
      <c r="G505" s="81"/>
      <c r="H505" s="81"/>
      <c r="I505" s="81"/>
      <c r="J505" s="81"/>
      <c r="K505" s="81"/>
      <c r="L505" s="81"/>
      <c r="M505" s="580">
        <f>M506</f>
        <v>0</v>
      </c>
      <c r="N505" s="554"/>
      <c r="O505" s="946"/>
    </row>
    <row r="506" spans="1:15" ht="20.25" hidden="1" customHeight="1">
      <c r="A506" s="927"/>
      <c r="B506" s="567" t="s">
        <v>10</v>
      </c>
      <c r="C506" s="546"/>
      <c r="D506" s="546"/>
      <c r="E506" s="546"/>
      <c r="F506" s="546"/>
      <c r="G506" s="81"/>
      <c r="H506" s="81"/>
      <c r="I506" s="81"/>
      <c r="J506" s="81"/>
      <c r="K506" s="81"/>
      <c r="L506" s="81"/>
      <c r="M506" s="580"/>
      <c r="N506" s="554"/>
      <c r="O506" s="946"/>
    </row>
    <row r="507" spans="1:15" ht="20.25" hidden="1" customHeight="1">
      <c r="A507" s="928"/>
      <c r="B507" s="567" t="s">
        <v>436</v>
      </c>
      <c r="C507" s="546"/>
      <c r="D507" s="546"/>
      <c r="E507" s="546"/>
      <c r="F507" s="546"/>
      <c r="G507" s="81"/>
      <c r="H507" s="81"/>
      <c r="I507" s="81"/>
      <c r="J507" s="81"/>
      <c r="K507" s="81"/>
      <c r="L507" s="81"/>
      <c r="M507" s="580"/>
      <c r="N507" s="554"/>
      <c r="O507" s="934"/>
    </row>
    <row r="508" spans="1:15" ht="20.25" hidden="1" customHeight="1">
      <c r="A508" s="945" t="s">
        <v>137</v>
      </c>
      <c r="B508" s="568" t="s">
        <v>89</v>
      </c>
      <c r="C508" s="546"/>
      <c r="D508" s="546"/>
      <c r="E508" s="546"/>
      <c r="F508" s="546"/>
      <c r="G508" s="81"/>
      <c r="H508" s="81"/>
      <c r="I508" s="81"/>
      <c r="J508" s="81"/>
      <c r="K508" s="81"/>
      <c r="L508" s="81"/>
      <c r="M508" s="580"/>
      <c r="N508" s="554"/>
      <c r="O508" s="1039"/>
    </row>
    <row r="509" spans="1:15" ht="20.25" hidden="1" customHeight="1">
      <c r="A509" s="945"/>
      <c r="B509" s="568" t="s">
        <v>235</v>
      </c>
      <c r="C509" s="546"/>
      <c r="D509" s="546"/>
      <c r="E509" s="546"/>
      <c r="F509" s="546"/>
      <c r="G509" s="81"/>
      <c r="H509" s="81"/>
      <c r="I509" s="81"/>
      <c r="J509" s="81"/>
      <c r="K509" s="81"/>
      <c r="L509" s="81"/>
      <c r="M509" s="580"/>
      <c r="N509" s="554"/>
      <c r="O509" s="1039"/>
    </row>
    <row r="510" spans="1:15" ht="20.25" hidden="1" customHeight="1">
      <c r="A510" s="945"/>
      <c r="B510" s="568" t="s">
        <v>10</v>
      </c>
      <c r="C510" s="546"/>
      <c r="D510" s="546"/>
      <c r="E510" s="546"/>
      <c r="F510" s="546"/>
      <c r="G510" s="81"/>
      <c r="H510" s="81"/>
      <c r="I510" s="81"/>
      <c r="J510" s="81"/>
      <c r="K510" s="81"/>
      <c r="L510" s="81"/>
      <c r="M510" s="580"/>
      <c r="N510" s="554"/>
      <c r="O510" s="1039"/>
    </row>
    <row r="511" spans="1:15" ht="20.25" hidden="1" customHeight="1">
      <c r="A511" s="945"/>
      <c r="B511" s="568" t="s">
        <v>436</v>
      </c>
      <c r="C511" s="546"/>
      <c r="D511" s="546"/>
      <c r="E511" s="546"/>
      <c r="F511" s="546"/>
      <c r="G511" s="81"/>
      <c r="H511" s="81"/>
      <c r="I511" s="81"/>
      <c r="J511" s="81"/>
      <c r="K511" s="81"/>
      <c r="L511" s="81"/>
      <c r="M511" s="580"/>
      <c r="N511" s="554"/>
      <c r="O511" s="1039"/>
    </row>
    <row r="512" spans="1:15" ht="20.25" hidden="1" customHeight="1">
      <c r="A512" s="926" t="s">
        <v>835</v>
      </c>
      <c r="B512" s="567" t="s">
        <v>89</v>
      </c>
      <c r="C512" s="546"/>
      <c r="D512" s="546"/>
      <c r="E512" s="546"/>
      <c r="F512" s="546"/>
      <c r="G512" s="81"/>
      <c r="H512" s="81"/>
      <c r="I512" s="81"/>
      <c r="J512" s="81"/>
      <c r="K512" s="81"/>
      <c r="L512" s="81"/>
      <c r="M512" s="580"/>
      <c r="N512" s="554"/>
      <c r="O512" s="1039"/>
    </row>
    <row r="513" spans="1:15" ht="20.25" hidden="1" customHeight="1">
      <c r="A513" s="927"/>
      <c r="B513" s="567" t="s">
        <v>235</v>
      </c>
      <c r="C513" s="546"/>
      <c r="D513" s="546"/>
      <c r="E513" s="546"/>
      <c r="F513" s="546"/>
      <c r="G513" s="81"/>
      <c r="H513" s="81"/>
      <c r="I513" s="81"/>
      <c r="J513" s="81"/>
      <c r="K513" s="81"/>
      <c r="L513" s="81"/>
      <c r="M513" s="580"/>
      <c r="N513" s="554"/>
      <c r="O513" s="1039"/>
    </row>
    <row r="514" spans="1:15" ht="20.25" hidden="1" customHeight="1">
      <c r="A514" s="927"/>
      <c r="B514" s="567" t="s">
        <v>10</v>
      </c>
      <c r="C514" s="546"/>
      <c r="D514" s="546"/>
      <c r="E514" s="546"/>
      <c r="F514" s="546"/>
      <c r="G514" s="81"/>
      <c r="H514" s="81"/>
      <c r="I514" s="81"/>
      <c r="J514" s="81"/>
      <c r="K514" s="81"/>
      <c r="L514" s="81"/>
      <c r="M514" s="580"/>
      <c r="N514" s="554"/>
      <c r="O514" s="1039"/>
    </row>
    <row r="515" spans="1:15" ht="20.25" hidden="1" customHeight="1">
      <c r="A515" s="928"/>
      <c r="B515" s="567" t="s">
        <v>436</v>
      </c>
      <c r="C515" s="546"/>
      <c r="D515" s="546"/>
      <c r="E515" s="546"/>
      <c r="F515" s="546"/>
      <c r="G515" s="81"/>
      <c r="H515" s="81"/>
      <c r="I515" s="81"/>
      <c r="J515" s="81"/>
      <c r="K515" s="81"/>
      <c r="L515" s="81"/>
      <c r="M515" s="580"/>
      <c r="N515" s="554"/>
      <c r="O515" s="1039"/>
    </row>
    <row r="516" spans="1:15" ht="20.25" hidden="1" customHeight="1">
      <c r="A516" s="926" t="s">
        <v>844</v>
      </c>
      <c r="B516" s="568" t="s">
        <v>89</v>
      </c>
      <c r="C516" s="628"/>
      <c r="D516" s="628"/>
      <c r="E516" s="628"/>
      <c r="F516" s="628"/>
      <c r="G516" s="81"/>
      <c r="H516" s="81"/>
      <c r="I516" s="81"/>
      <c r="J516" s="81"/>
      <c r="K516" s="81"/>
      <c r="L516" s="81"/>
      <c r="M516" s="81"/>
      <c r="N516" s="629"/>
      <c r="O516" s="1014" t="s">
        <v>878</v>
      </c>
    </row>
    <row r="517" spans="1:15" ht="23.25" hidden="1" customHeight="1">
      <c r="A517" s="927"/>
      <c r="B517" s="568" t="s">
        <v>235</v>
      </c>
      <c r="C517" s="628"/>
      <c r="D517" s="628"/>
      <c r="E517" s="628"/>
      <c r="F517" s="628"/>
      <c r="G517" s="81">
        <f>K517</f>
        <v>0</v>
      </c>
      <c r="H517" s="81"/>
      <c r="I517" s="81"/>
      <c r="J517" s="81"/>
      <c r="K517" s="81">
        <f>K518</f>
        <v>0</v>
      </c>
      <c r="L517" s="81"/>
      <c r="M517" s="81"/>
      <c r="N517" s="629"/>
      <c r="O517" s="1015"/>
    </row>
    <row r="518" spans="1:15" ht="20.25" hidden="1" customHeight="1">
      <c r="A518" s="927"/>
      <c r="B518" s="568" t="s">
        <v>10</v>
      </c>
      <c r="C518" s="628"/>
      <c r="D518" s="628"/>
      <c r="E518" s="628"/>
      <c r="F518" s="628"/>
      <c r="G518" s="81">
        <f>K518</f>
        <v>0</v>
      </c>
      <c r="H518" s="81"/>
      <c r="I518" s="81"/>
      <c r="J518" s="81"/>
      <c r="K518" s="81"/>
      <c r="L518" s="81"/>
      <c r="M518" s="81"/>
      <c r="N518" s="629"/>
      <c r="O518" s="1015"/>
    </row>
    <row r="519" spans="1:15" ht="20.25" hidden="1" customHeight="1">
      <c r="A519" s="928"/>
      <c r="B519" s="568" t="s">
        <v>436</v>
      </c>
      <c r="C519" s="628"/>
      <c r="D519" s="628"/>
      <c r="E519" s="628"/>
      <c r="F519" s="628"/>
      <c r="G519" s="81"/>
      <c r="H519" s="81"/>
      <c r="I519" s="81"/>
      <c r="J519" s="81"/>
      <c r="K519" s="81"/>
      <c r="L519" s="81"/>
      <c r="M519" s="81"/>
      <c r="N519" s="629"/>
      <c r="O519" s="1016"/>
    </row>
    <row r="520" spans="1:15" ht="18.75" customHeight="1">
      <c r="A520" s="1043" t="s">
        <v>192</v>
      </c>
      <c r="B520" s="57" t="s">
        <v>89</v>
      </c>
      <c r="C520" s="57"/>
      <c r="D520" s="57"/>
      <c r="E520" s="57"/>
      <c r="F520" s="57"/>
      <c r="G520" s="80">
        <v>0</v>
      </c>
      <c r="H520" s="80" t="s">
        <v>489</v>
      </c>
      <c r="I520" s="80" t="s">
        <v>489</v>
      </c>
      <c r="J520" s="80" t="s">
        <v>489</v>
      </c>
      <c r="K520" s="80" t="s">
        <v>489</v>
      </c>
      <c r="L520" s="80">
        <v>0</v>
      </c>
      <c r="M520" s="439"/>
      <c r="N520" s="933" t="s">
        <v>26</v>
      </c>
      <c r="O520" s="933" t="s">
        <v>190</v>
      </c>
    </row>
    <row r="521" spans="1:15" ht="26.25" customHeight="1">
      <c r="A521" s="1044"/>
      <c r="B521" s="57" t="s">
        <v>235</v>
      </c>
      <c r="C521" s="57"/>
      <c r="D521" s="57"/>
      <c r="E521" s="57"/>
      <c r="F521" s="57"/>
      <c r="G521" s="80">
        <f t="shared" ref="G521:M521" si="156">G522+G523</f>
        <v>5718404.7000000002</v>
      </c>
      <c r="H521" s="80">
        <f t="shared" si="156"/>
        <v>998726.07045999996</v>
      </c>
      <c r="I521" s="80">
        <f t="shared" si="156"/>
        <v>993036.58594999998</v>
      </c>
      <c r="J521" s="80">
        <f t="shared" si="156"/>
        <v>1697498.558</v>
      </c>
      <c r="K521" s="80">
        <f t="shared" si="156"/>
        <v>2760152.7582800006</v>
      </c>
      <c r="L521" s="80">
        <f t="shared" si="156"/>
        <v>4475324.7</v>
      </c>
      <c r="M521" s="439">
        <f t="shared" si="156"/>
        <v>7108704</v>
      </c>
      <c r="N521" s="946"/>
      <c r="O521" s="946"/>
    </row>
    <row r="522" spans="1:15" ht="23.25" customHeight="1">
      <c r="A522" s="1044"/>
      <c r="B522" s="57" t="s">
        <v>10</v>
      </c>
      <c r="C522" s="57"/>
      <c r="D522" s="57"/>
      <c r="E522" s="57"/>
      <c r="F522" s="57"/>
      <c r="G522" s="80">
        <f>Мероприятия!$R$260</f>
        <v>5718404.7000000002</v>
      </c>
      <c r="H522" s="80">
        <f>Мероприятия!$S$260</f>
        <v>998726.07045999996</v>
      </c>
      <c r="I522" s="80">
        <f>Мероприятия!$T$260</f>
        <v>993036.58594999998</v>
      </c>
      <c r="J522" s="80">
        <v>1697498.558</v>
      </c>
      <c r="K522" s="80">
        <f>Мероприятия!$V$260</f>
        <v>2760152.7582800006</v>
      </c>
      <c r="L522" s="80">
        <f>Мероприятия!$W$260</f>
        <v>4475324.7</v>
      </c>
      <c r="M522" s="439">
        <f>Мероприятия!$X$260</f>
        <v>7108704</v>
      </c>
      <c r="N522" s="946"/>
      <c r="O522" s="946"/>
    </row>
    <row r="523" spans="1:15" ht="19.5" customHeight="1">
      <c r="A523" s="1045"/>
      <c r="B523" s="57" t="s">
        <v>436</v>
      </c>
      <c r="C523" s="57"/>
      <c r="D523" s="57"/>
      <c r="E523" s="57"/>
      <c r="F523" s="57"/>
      <c r="G523" s="80"/>
      <c r="H523" s="80"/>
      <c r="I523" s="80"/>
      <c r="J523" s="80"/>
      <c r="K523" s="80"/>
      <c r="L523" s="80"/>
      <c r="M523" s="439"/>
      <c r="N523" s="934"/>
      <c r="O523" s="934"/>
    </row>
    <row r="524" spans="1:15" ht="23.25" customHeight="1">
      <c r="A524" s="1007" t="s">
        <v>969</v>
      </c>
      <c r="B524" s="57" t="s">
        <v>89</v>
      </c>
      <c r="C524" s="57"/>
      <c r="D524" s="57"/>
      <c r="E524" s="57"/>
      <c r="F524" s="57"/>
      <c r="G524" s="80">
        <f>G529</f>
        <v>18.048000000000002</v>
      </c>
      <c r="H524" s="80"/>
      <c r="I524" s="80"/>
      <c r="J524" s="80"/>
      <c r="K524" s="80">
        <f>K529</f>
        <v>18.048000000000002</v>
      </c>
      <c r="L524" s="80">
        <f>L529</f>
        <v>12</v>
      </c>
      <c r="M524" s="439">
        <f>M529</f>
        <v>10</v>
      </c>
      <c r="N524" s="933" t="s">
        <v>26</v>
      </c>
      <c r="O524" s="933" t="s">
        <v>1150</v>
      </c>
    </row>
    <row r="525" spans="1:15" ht="23.25" customHeight="1">
      <c r="A525" s="1007"/>
      <c r="B525" s="662" t="s">
        <v>24</v>
      </c>
      <c r="C525" s="662"/>
      <c r="D525" s="662"/>
      <c r="E525" s="662"/>
      <c r="F525" s="662"/>
      <c r="G525" s="80">
        <f>G526/G524</f>
        <v>32066.13475177305</v>
      </c>
      <c r="H525" s="80" t="s">
        <v>489</v>
      </c>
      <c r="I525" s="80" t="s">
        <v>489</v>
      </c>
      <c r="J525" s="80" t="s">
        <v>489</v>
      </c>
      <c r="K525" s="80" t="s">
        <v>489</v>
      </c>
      <c r="L525" s="80">
        <f>L526/L524</f>
        <v>23378.783333333336</v>
      </c>
      <c r="M525" s="439">
        <f>M526/M524</f>
        <v>53906.1</v>
      </c>
      <c r="N525" s="946"/>
      <c r="O525" s="946"/>
    </row>
    <row r="526" spans="1:15" ht="22.5" customHeight="1">
      <c r="A526" s="1007"/>
      <c r="B526" s="57" t="s">
        <v>235</v>
      </c>
      <c r="C526" s="57"/>
      <c r="D526" s="57"/>
      <c r="E526" s="57"/>
      <c r="F526" s="57"/>
      <c r="G526" s="80">
        <f>G527</f>
        <v>578729.60000000009</v>
      </c>
      <c r="H526" s="80">
        <f t="shared" ref="H526:K526" si="157">H527</f>
        <v>4513.3</v>
      </c>
      <c r="I526" s="80">
        <f t="shared" si="157"/>
        <v>0</v>
      </c>
      <c r="J526" s="80">
        <f t="shared" si="157"/>
        <v>0</v>
      </c>
      <c r="K526" s="80">
        <f t="shared" si="157"/>
        <v>574216.30000000005</v>
      </c>
      <c r="L526" s="80">
        <f>L527+L890</f>
        <v>280545.40000000002</v>
      </c>
      <c r="M526" s="80">
        <f>M527+M890</f>
        <v>539061</v>
      </c>
      <c r="N526" s="946"/>
      <c r="O526" s="946"/>
    </row>
    <row r="527" spans="1:15" ht="23.25" customHeight="1">
      <c r="A527" s="1007"/>
      <c r="B527" s="57" t="s">
        <v>10</v>
      </c>
      <c r="C527" s="57"/>
      <c r="D527" s="57"/>
      <c r="E527" s="57"/>
      <c r="F527" s="57"/>
      <c r="G527" s="80">
        <f t="shared" ref="G527:M527" si="158">G532+G890</f>
        <v>578729.60000000009</v>
      </c>
      <c r="H527" s="80">
        <f t="shared" si="158"/>
        <v>4513.3</v>
      </c>
      <c r="I527" s="80">
        <f t="shared" si="158"/>
        <v>0</v>
      </c>
      <c r="J527" s="80">
        <f t="shared" si="158"/>
        <v>0</v>
      </c>
      <c r="K527" s="80">
        <f t="shared" si="158"/>
        <v>574216.30000000005</v>
      </c>
      <c r="L527" s="80">
        <f t="shared" si="158"/>
        <v>280545.40000000002</v>
      </c>
      <c r="M527" s="80">
        <f t="shared" si="158"/>
        <v>539061</v>
      </c>
      <c r="N527" s="946"/>
      <c r="O527" s="946"/>
    </row>
    <row r="528" spans="1:15" ht="27.75" customHeight="1">
      <c r="A528" s="1007"/>
      <c r="B528" s="57" t="s">
        <v>436</v>
      </c>
      <c r="C528" s="57"/>
      <c r="D528" s="57"/>
      <c r="E528" s="57"/>
      <c r="F528" s="57"/>
      <c r="G528" s="80">
        <f>G533</f>
        <v>0</v>
      </c>
      <c r="H528" s="80"/>
      <c r="I528" s="80"/>
      <c r="J528" s="80"/>
      <c r="K528" s="80">
        <f>K533</f>
        <v>0</v>
      </c>
      <c r="L528" s="80"/>
      <c r="M528" s="439"/>
      <c r="N528" s="946"/>
      <c r="O528" s="946"/>
    </row>
    <row r="529" spans="1:61" ht="24.95" customHeight="1">
      <c r="A529" s="887" t="s">
        <v>966</v>
      </c>
      <c r="B529" s="57" t="s">
        <v>721</v>
      </c>
      <c r="C529" s="57"/>
      <c r="D529" s="57"/>
      <c r="E529" s="57"/>
      <c r="F529" s="57"/>
      <c r="G529" s="439">
        <f>G572+G578+G590+G620+G636+G660+G672+G688+G700+G716+G726+G791+G813+G833+G845+G857+G865+G544+G753+G805</f>
        <v>18.048000000000002</v>
      </c>
      <c r="H529" s="439">
        <f>H572+H578+H590+H620+H636+H660+H672+H688+H700+H716+H726+H791+H813+H833+H845+H857+H865+H544+H753+H805</f>
        <v>0</v>
      </c>
      <c r="I529" s="439">
        <f>I572+I578+I590+I620+I636+I660+I672+I688+I700+I716+I726+I791+I813+I833+I845+I857+I865+I544+I753+I805</f>
        <v>0</v>
      </c>
      <c r="J529" s="439">
        <f>J572+J578+J590+J620+J636+J660+J672+J688+J700+J716+J726+J791+J813+J833+J845+J857+J865+J544+J753+J805</f>
        <v>0</v>
      </c>
      <c r="K529" s="439">
        <f>K572+K578+K590+K620+K636+K660+K672+K688+K700+K716+K726+K791+K813+K833+K845+K857+K865+K544+K753+K805</f>
        <v>18.048000000000002</v>
      </c>
      <c r="L529" s="80">
        <f>L572+L578+L590+L620+L636+L660+L672+L688+L700+L716+L726+L791+L813+L833+L845+L857+L865+L544+L753+L606</f>
        <v>12</v>
      </c>
      <c r="M529" s="439">
        <f>M572+M578+M590+M620+M636+M660+M672+M688+M700+M716+M726+M791+M813+M833+M845+M857+M865+M544+M753</f>
        <v>10</v>
      </c>
      <c r="N529" s="946"/>
      <c r="O529" s="946"/>
    </row>
    <row r="530" spans="1:61" ht="24.95" customHeight="1">
      <c r="A530" s="888"/>
      <c r="B530" s="57" t="s">
        <v>24</v>
      </c>
      <c r="C530" s="57"/>
      <c r="D530" s="57"/>
      <c r="E530" s="57"/>
      <c r="F530" s="57"/>
      <c r="G530" s="80">
        <f>G531/G529</f>
        <v>31816.062721631206</v>
      </c>
      <c r="H530" s="80" t="s">
        <v>489</v>
      </c>
      <c r="I530" s="80" t="s">
        <v>489</v>
      </c>
      <c r="J530" s="80" t="s">
        <v>489</v>
      </c>
      <c r="K530" s="80" t="s">
        <v>489</v>
      </c>
      <c r="L530" s="80">
        <f>L531/L529</f>
        <v>23378.783333333336</v>
      </c>
      <c r="M530" s="439">
        <f>M531/M529</f>
        <v>53906.1</v>
      </c>
      <c r="N530" s="946"/>
      <c r="O530" s="946"/>
    </row>
    <row r="531" spans="1:61" ht="24.95" customHeight="1">
      <c r="A531" s="888"/>
      <c r="B531" s="57" t="s">
        <v>25</v>
      </c>
      <c r="C531" s="57">
        <v>176</v>
      </c>
      <c r="D531" s="57" t="s">
        <v>15</v>
      </c>
      <c r="E531" s="57">
        <v>6100404</v>
      </c>
      <c r="F531" s="57">
        <v>243</v>
      </c>
      <c r="G531" s="80">
        <f>G532+G533</f>
        <v>574216.30000000005</v>
      </c>
      <c r="H531" s="80">
        <f t="shared" ref="H531:J531" si="159">H532+H533</f>
        <v>0</v>
      </c>
      <c r="I531" s="80">
        <f t="shared" si="159"/>
        <v>0</v>
      </c>
      <c r="J531" s="80">
        <f t="shared" si="159"/>
        <v>0</v>
      </c>
      <c r="K531" s="80">
        <f t="shared" ref="K531:M531" si="160">K532+K533</f>
        <v>574216.30000000005</v>
      </c>
      <c r="L531" s="80">
        <f t="shared" si="160"/>
        <v>280545.40000000002</v>
      </c>
      <c r="M531" s="439">
        <f t="shared" si="160"/>
        <v>539061</v>
      </c>
      <c r="N531" s="946"/>
      <c r="O531" s="946"/>
    </row>
    <row r="532" spans="1:61" ht="23.45" customHeight="1">
      <c r="A532" s="888"/>
      <c r="B532" s="57" t="s">
        <v>10</v>
      </c>
      <c r="C532" s="57">
        <v>176</v>
      </c>
      <c r="D532" s="57" t="s">
        <v>15</v>
      </c>
      <c r="E532" s="57">
        <v>6100404</v>
      </c>
      <c r="F532" s="57">
        <v>243</v>
      </c>
      <c r="G532" s="80">
        <f>G545+G580+G592+G608+G622+G661+G690+G718+G728+G754+G815+G835+G858+G866+G887+G806</f>
        <v>574216.30000000005</v>
      </c>
      <c r="H532" s="80">
        <f t="shared" ref="H532:K532" si="161">H545+H580+H592+H608+H622+H661+H690+H718+H728+H754+H815+H835+H858+H866+H887+H806</f>
        <v>0</v>
      </c>
      <c r="I532" s="80">
        <f t="shared" si="161"/>
        <v>0</v>
      </c>
      <c r="J532" s="80">
        <f t="shared" si="161"/>
        <v>0</v>
      </c>
      <c r="K532" s="80">
        <f t="shared" si="161"/>
        <v>574216.30000000005</v>
      </c>
      <c r="L532" s="80">
        <f t="shared" ref="L532:M532" si="162">L545+L580+L592+L608+L622+L661+L690+L718+L728+L754+L815+L835+L858+L866+L887</f>
        <v>280545.40000000002</v>
      </c>
      <c r="M532" s="80">
        <f t="shared" si="162"/>
        <v>539061</v>
      </c>
      <c r="N532" s="946"/>
      <c r="O532" s="946"/>
    </row>
    <row r="533" spans="1:61" s="44" customFormat="1" ht="24.6" customHeight="1">
      <c r="A533" s="888"/>
      <c r="B533" s="57" t="s">
        <v>436</v>
      </c>
      <c r="C533" s="57"/>
      <c r="D533" s="57"/>
      <c r="E533" s="57"/>
      <c r="F533" s="57"/>
      <c r="G533" s="80">
        <f t="shared" ref="G533:M533" si="163">G581+G593+G623+G639+G691+G703+G719+G729+G794+G816+G836+G848</f>
        <v>0</v>
      </c>
      <c r="H533" s="80">
        <f t="shared" si="163"/>
        <v>0</v>
      </c>
      <c r="I533" s="80">
        <f t="shared" si="163"/>
        <v>0</v>
      </c>
      <c r="J533" s="80">
        <f t="shared" si="163"/>
        <v>0</v>
      </c>
      <c r="K533" s="80">
        <f t="shared" si="163"/>
        <v>0</v>
      </c>
      <c r="L533" s="80">
        <f t="shared" si="163"/>
        <v>0</v>
      </c>
      <c r="M533" s="439">
        <f t="shared" si="163"/>
        <v>0</v>
      </c>
      <c r="N533" s="946"/>
      <c r="O533" s="946"/>
      <c r="R533" s="935">
        <v>2019</v>
      </c>
      <c r="S533" s="936"/>
      <c r="T533" s="935">
        <v>2020</v>
      </c>
      <c r="U533" s="936"/>
      <c r="V533" s="937">
        <v>2021</v>
      </c>
      <c r="W533" s="937"/>
      <c r="AJ533" s="91"/>
      <c r="AK533" s="91"/>
      <c r="AL533" s="91"/>
      <c r="AM533" s="91"/>
      <c r="AN533" s="91"/>
      <c r="AO533" s="91"/>
      <c r="AP533" s="91"/>
      <c r="AQ533" s="91"/>
      <c r="AR533" s="91"/>
      <c r="AS533" s="91"/>
      <c r="AT533" s="91"/>
      <c r="AU533" s="91"/>
      <c r="AV533" s="91"/>
      <c r="AW533" s="91"/>
      <c r="AX533" s="91"/>
      <c r="AY533" s="91"/>
      <c r="AZ533" s="91"/>
      <c r="BA533" s="91"/>
      <c r="BB533" s="91"/>
      <c r="BC533" s="91"/>
      <c r="BD533" s="91"/>
      <c r="BE533" s="91"/>
      <c r="BF533" s="91"/>
      <c r="BG533" s="91"/>
      <c r="BH533" s="91"/>
      <c r="BI533" s="91"/>
    </row>
    <row r="534" spans="1:61" s="44" customFormat="1" ht="24.6" customHeight="1">
      <c r="A534" s="888"/>
      <c r="B534" s="57" t="s">
        <v>11</v>
      </c>
      <c r="C534" s="57"/>
      <c r="D534" s="57"/>
      <c r="E534" s="57"/>
      <c r="F534" s="57"/>
      <c r="G534" s="80">
        <v>0</v>
      </c>
      <c r="H534" s="80"/>
      <c r="I534" s="80"/>
      <c r="J534" s="80"/>
      <c r="K534" s="80"/>
      <c r="L534" s="80"/>
      <c r="M534" s="439"/>
      <c r="N534" s="946"/>
      <c r="O534" s="946"/>
      <c r="R534" s="496" t="s">
        <v>720</v>
      </c>
      <c r="S534" s="496" t="s">
        <v>348</v>
      </c>
      <c r="T534" s="496" t="s">
        <v>720</v>
      </c>
      <c r="U534" s="496" t="s">
        <v>348</v>
      </c>
      <c r="V534" s="496" t="s">
        <v>720</v>
      </c>
      <c r="W534" s="88" t="s">
        <v>348</v>
      </c>
      <c r="AJ534" s="91"/>
      <c r="AK534" s="91"/>
      <c r="AL534" s="91"/>
      <c r="AM534" s="91"/>
      <c r="AN534" s="91"/>
      <c r="AO534" s="91"/>
      <c r="AP534" s="91"/>
      <c r="AQ534" s="91"/>
      <c r="AR534" s="91"/>
      <c r="AS534" s="91"/>
      <c r="AT534" s="91"/>
      <c r="AU534" s="91"/>
      <c r="AV534" s="91"/>
      <c r="AW534" s="91"/>
      <c r="AX534" s="91"/>
      <c r="AY534" s="91"/>
      <c r="AZ534" s="91"/>
      <c r="BA534" s="91"/>
      <c r="BB534" s="91"/>
      <c r="BC534" s="91"/>
      <c r="BD534" s="91"/>
      <c r="BE534" s="91"/>
      <c r="BF534" s="91"/>
      <c r="BG534" s="91"/>
      <c r="BH534" s="91"/>
      <c r="BI534" s="91"/>
    </row>
    <row r="535" spans="1:61" ht="24.6" customHeight="1">
      <c r="A535" s="889"/>
      <c r="B535" s="57" t="s">
        <v>447</v>
      </c>
      <c r="C535" s="57"/>
      <c r="D535" s="57"/>
      <c r="E535" s="57"/>
      <c r="F535" s="57"/>
      <c r="G535" s="80">
        <v>0</v>
      </c>
      <c r="H535" s="80"/>
      <c r="I535" s="80"/>
      <c r="J535" s="80"/>
      <c r="K535" s="80"/>
      <c r="L535" s="80"/>
      <c r="M535" s="439"/>
      <c r="N535" s="934"/>
      <c r="O535" s="934"/>
      <c r="R535" s="938">
        <f>18.3-0.2-0.4-0.4</f>
        <v>17.300000000000004</v>
      </c>
      <c r="S535" s="939" t="e">
        <f>S578+S584+S596+S626+S642+S666+S678+S694+S706+#REF!+S732+S797+S819+S839+S851+S871</f>
        <v>#REF!</v>
      </c>
      <c r="T535" s="940">
        <f>12+0.4</f>
        <v>12.4</v>
      </c>
      <c r="U535" s="939"/>
      <c r="V535" s="941">
        <v>16</v>
      </c>
      <c r="W535" s="942"/>
    </row>
    <row r="536" spans="1:61" ht="24.6" hidden="1" customHeight="1">
      <c r="A536" s="945" t="s">
        <v>96</v>
      </c>
      <c r="B536" s="57" t="s">
        <v>89</v>
      </c>
      <c r="C536" s="57"/>
      <c r="D536" s="57"/>
      <c r="E536" s="57"/>
      <c r="F536" s="57"/>
      <c r="G536" s="80">
        <f t="shared" ref="G536:L537" si="164">G538+G540+G542</f>
        <v>0</v>
      </c>
      <c r="H536" s="80"/>
      <c r="I536" s="80"/>
      <c r="J536" s="80"/>
      <c r="K536" s="80"/>
      <c r="L536" s="80">
        <f t="shared" si="164"/>
        <v>0</v>
      </c>
      <c r="M536" s="439"/>
      <c r="N536" s="57"/>
      <c r="O536" s="57"/>
    </row>
    <row r="537" spans="1:61" ht="24.6" hidden="1" customHeight="1">
      <c r="A537" s="945"/>
      <c r="B537" s="57" t="s">
        <v>246</v>
      </c>
      <c r="C537" s="57"/>
      <c r="D537" s="57"/>
      <c r="E537" s="57"/>
      <c r="F537" s="57"/>
      <c r="G537" s="80">
        <f t="shared" si="164"/>
        <v>0</v>
      </c>
      <c r="H537" s="80"/>
      <c r="I537" s="80"/>
      <c r="J537" s="80"/>
      <c r="K537" s="80"/>
      <c r="L537" s="80">
        <f t="shared" si="164"/>
        <v>0</v>
      </c>
      <c r="M537" s="439"/>
      <c r="N537" s="57"/>
      <c r="O537" s="57"/>
    </row>
    <row r="538" spans="1:61" ht="24.6" hidden="1" customHeight="1">
      <c r="A538" s="943" t="s">
        <v>108</v>
      </c>
      <c r="B538" s="484" t="s">
        <v>89</v>
      </c>
      <c r="C538" s="484">
        <v>176</v>
      </c>
      <c r="D538" s="484" t="s">
        <v>15</v>
      </c>
      <c r="E538" s="484">
        <v>6100404</v>
      </c>
      <c r="F538" s="484">
        <v>243</v>
      </c>
      <c r="G538" s="81">
        <v>0</v>
      </c>
      <c r="H538" s="81"/>
      <c r="I538" s="81"/>
      <c r="J538" s="81"/>
      <c r="K538" s="81"/>
      <c r="L538" s="81"/>
      <c r="M538" s="580"/>
      <c r="N538" s="484"/>
      <c r="O538" s="944" t="s">
        <v>92</v>
      </c>
    </row>
    <row r="539" spans="1:61" ht="24.6" hidden="1" customHeight="1">
      <c r="A539" s="943"/>
      <c r="B539" s="484" t="s">
        <v>246</v>
      </c>
      <c r="C539" s="484"/>
      <c r="D539" s="484"/>
      <c r="E539" s="484"/>
      <c r="F539" s="484"/>
      <c r="G539" s="81"/>
      <c r="H539" s="81"/>
      <c r="I539" s="81"/>
      <c r="J539" s="81"/>
      <c r="K539" s="81"/>
      <c r="L539" s="81"/>
      <c r="M539" s="580"/>
      <c r="N539" s="484"/>
      <c r="O539" s="944"/>
    </row>
    <row r="540" spans="1:61" ht="24.6" hidden="1" customHeight="1">
      <c r="A540" s="485" t="s">
        <v>207</v>
      </c>
      <c r="B540" s="484" t="s">
        <v>89</v>
      </c>
      <c r="C540" s="484">
        <v>176</v>
      </c>
      <c r="D540" s="484" t="s">
        <v>15</v>
      </c>
      <c r="E540" s="484">
        <v>6100404</v>
      </c>
      <c r="F540" s="484">
        <v>243</v>
      </c>
      <c r="G540" s="81"/>
      <c r="H540" s="81"/>
      <c r="I540" s="81"/>
      <c r="J540" s="81"/>
      <c r="K540" s="81"/>
      <c r="L540" s="81"/>
      <c r="M540" s="580"/>
      <c r="N540" s="484"/>
      <c r="O540" s="484" t="s">
        <v>35</v>
      </c>
    </row>
    <row r="541" spans="1:61" s="44" customFormat="1" ht="24.6" hidden="1" customHeight="1">
      <c r="A541" s="485"/>
      <c r="B541" s="484" t="s">
        <v>246</v>
      </c>
      <c r="C541" s="484"/>
      <c r="D541" s="484"/>
      <c r="E541" s="484"/>
      <c r="F541" s="484"/>
      <c r="G541" s="81"/>
      <c r="H541" s="81"/>
      <c r="I541" s="81"/>
      <c r="J541" s="81"/>
      <c r="K541" s="81"/>
      <c r="L541" s="81"/>
      <c r="M541" s="580"/>
      <c r="N541" s="484"/>
      <c r="O541" s="484"/>
      <c r="AJ541" s="91"/>
      <c r="AK541" s="91"/>
      <c r="AL541" s="91"/>
      <c r="AM541" s="91"/>
      <c r="AN541" s="91"/>
      <c r="AO541" s="91"/>
      <c r="AP541" s="91"/>
      <c r="AQ541" s="91"/>
      <c r="AR541" s="91"/>
      <c r="AS541" s="91"/>
      <c r="AT541" s="91"/>
      <c r="AU541" s="91"/>
      <c r="AV541" s="91"/>
      <c r="AW541" s="91"/>
      <c r="AX541" s="91"/>
      <c r="AY541" s="91"/>
      <c r="AZ541" s="91"/>
      <c r="BA541" s="91"/>
      <c r="BB541" s="91"/>
      <c r="BC541" s="91"/>
      <c r="BD541" s="91"/>
      <c r="BE541" s="91"/>
      <c r="BF541" s="91"/>
      <c r="BG541" s="91"/>
      <c r="BH541" s="91"/>
      <c r="BI541" s="91"/>
    </row>
    <row r="542" spans="1:61" s="44" customFormat="1" ht="43.9" hidden="1" customHeight="1">
      <c r="A542" s="932" t="s">
        <v>109</v>
      </c>
      <c r="B542" s="484" t="s">
        <v>89</v>
      </c>
      <c r="C542" s="484">
        <v>176</v>
      </c>
      <c r="D542" s="484" t="s">
        <v>15</v>
      </c>
      <c r="E542" s="484">
        <v>6100404</v>
      </c>
      <c r="F542" s="484">
        <v>243</v>
      </c>
      <c r="G542" s="81">
        <v>0</v>
      </c>
      <c r="H542" s="81"/>
      <c r="I542" s="81"/>
      <c r="J542" s="81"/>
      <c r="K542" s="81"/>
      <c r="L542" s="81"/>
      <c r="M542" s="580"/>
      <c r="N542" s="484"/>
      <c r="O542" s="944" t="s">
        <v>31</v>
      </c>
      <c r="AJ542" s="91"/>
      <c r="AK542" s="91"/>
      <c r="AL542" s="91"/>
      <c r="AM542" s="91"/>
      <c r="AN542" s="91"/>
      <c r="AO542" s="91"/>
      <c r="AP542" s="91"/>
      <c r="AQ542" s="91"/>
      <c r="AR542" s="91"/>
      <c r="AS542" s="91"/>
      <c r="AT542" s="91"/>
      <c r="AU542" s="91"/>
      <c r="AV542" s="91"/>
      <c r="AW542" s="91"/>
      <c r="AX542" s="91"/>
      <c r="AY542" s="91"/>
      <c r="AZ542" s="91"/>
      <c r="BA542" s="91"/>
      <c r="BB542" s="91"/>
      <c r="BC542" s="91"/>
      <c r="BD542" s="91"/>
      <c r="BE542" s="91"/>
      <c r="BF542" s="91"/>
      <c r="BG542" s="91"/>
      <c r="BH542" s="91"/>
      <c r="BI542" s="91"/>
    </row>
    <row r="543" spans="1:61" ht="24.6" hidden="1" customHeight="1">
      <c r="A543" s="932"/>
      <c r="B543" s="484" t="s">
        <v>246</v>
      </c>
      <c r="C543" s="484"/>
      <c r="D543" s="484"/>
      <c r="E543" s="484"/>
      <c r="F543" s="484"/>
      <c r="G543" s="81"/>
      <c r="H543" s="81"/>
      <c r="I543" s="81"/>
      <c r="J543" s="81"/>
      <c r="K543" s="81"/>
      <c r="L543" s="81"/>
      <c r="M543" s="580"/>
      <c r="N543" s="484"/>
      <c r="O543" s="944"/>
    </row>
    <row r="544" spans="1:61" ht="24" customHeight="1">
      <c r="A544" s="887" t="s">
        <v>116</v>
      </c>
      <c r="B544" s="57" t="s">
        <v>89</v>
      </c>
      <c r="C544" s="57"/>
      <c r="D544" s="57"/>
      <c r="E544" s="57"/>
      <c r="F544" s="57"/>
      <c r="G544" s="80">
        <f>G546+G548</f>
        <v>1</v>
      </c>
      <c r="H544" s="80">
        <f t="shared" ref="H544:K544" si="165">H546+H548</f>
        <v>0</v>
      </c>
      <c r="I544" s="80">
        <f t="shared" si="165"/>
        <v>0</v>
      </c>
      <c r="J544" s="80">
        <f t="shared" si="165"/>
        <v>0</v>
      </c>
      <c r="K544" s="80">
        <f t="shared" si="165"/>
        <v>1</v>
      </c>
      <c r="L544" s="80">
        <f t="shared" ref="L544:M545" si="166">L546+L548</f>
        <v>0</v>
      </c>
      <c r="M544" s="439">
        <f t="shared" si="166"/>
        <v>0</v>
      </c>
      <c r="N544" s="484"/>
      <c r="O544" s="57"/>
    </row>
    <row r="545" spans="1:61" ht="27" customHeight="1">
      <c r="A545" s="889"/>
      <c r="B545" s="57" t="s">
        <v>246</v>
      </c>
      <c r="C545" s="57"/>
      <c r="D545" s="57"/>
      <c r="E545" s="57"/>
      <c r="F545" s="57"/>
      <c r="G545" s="80">
        <f>G547+G549</f>
        <v>16000</v>
      </c>
      <c r="H545" s="80">
        <f t="shared" ref="H545:K545" si="167">H547+H549</f>
        <v>0</v>
      </c>
      <c r="I545" s="80">
        <f t="shared" si="167"/>
        <v>0</v>
      </c>
      <c r="J545" s="80">
        <f t="shared" si="167"/>
        <v>0</v>
      </c>
      <c r="K545" s="80">
        <f t="shared" si="167"/>
        <v>16000</v>
      </c>
      <c r="L545" s="80">
        <f t="shared" si="166"/>
        <v>0</v>
      </c>
      <c r="M545" s="439">
        <f t="shared" si="166"/>
        <v>0</v>
      </c>
      <c r="N545" s="484"/>
      <c r="O545" s="57"/>
    </row>
    <row r="546" spans="1:61" ht="24.6" customHeight="1">
      <c r="A546" s="926" t="s">
        <v>919</v>
      </c>
      <c r="B546" s="484" t="s">
        <v>89</v>
      </c>
      <c r="C546" s="57"/>
      <c r="D546" s="57"/>
      <c r="E546" s="57"/>
      <c r="F546" s="57"/>
      <c r="G546" s="80">
        <f>K546</f>
        <v>1</v>
      </c>
      <c r="H546" s="80"/>
      <c r="I546" s="80"/>
      <c r="J546" s="80"/>
      <c r="K546" s="80">
        <v>1</v>
      </c>
      <c r="L546" s="80"/>
      <c r="M546" s="580"/>
      <c r="N546" s="484"/>
      <c r="O546" s="944" t="s">
        <v>224</v>
      </c>
    </row>
    <row r="547" spans="1:61" ht="24.6" customHeight="1">
      <c r="A547" s="928"/>
      <c r="B547" s="484" t="s">
        <v>246</v>
      </c>
      <c r="C547" s="57"/>
      <c r="D547" s="57"/>
      <c r="E547" s="57"/>
      <c r="F547" s="57"/>
      <c r="G547" s="81">
        <f>K547</f>
        <v>16000</v>
      </c>
      <c r="H547" s="81"/>
      <c r="I547" s="81"/>
      <c r="J547" s="81"/>
      <c r="K547" s="81">
        <v>16000</v>
      </c>
      <c r="L547" s="80"/>
      <c r="M547" s="580"/>
      <c r="N547" s="484"/>
      <c r="O547" s="944"/>
    </row>
    <row r="548" spans="1:61" ht="24.6" hidden="1" customHeight="1">
      <c r="A548" s="943" t="s">
        <v>110</v>
      </c>
      <c r="B548" s="484" t="s">
        <v>89</v>
      </c>
      <c r="C548" s="484">
        <v>176</v>
      </c>
      <c r="D548" s="484" t="s">
        <v>15</v>
      </c>
      <c r="E548" s="484">
        <v>6100404</v>
      </c>
      <c r="F548" s="484">
        <v>243</v>
      </c>
      <c r="G548" s="81"/>
      <c r="H548" s="81"/>
      <c r="I548" s="81"/>
      <c r="J548" s="81"/>
      <c r="K548" s="81"/>
      <c r="L548" s="81"/>
      <c r="M548" s="580"/>
      <c r="N548" s="484"/>
      <c r="O548" s="944" t="s">
        <v>440</v>
      </c>
    </row>
    <row r="549" spans="1:61" ht="22.15" hidden="1" customHeight="1">
      <c r="A549" s="943"/>
      <c r="B549" s="484" t="s">
        <v>246</v>
      </c>
      <c r="C549" s="484"/>
      <c r="D549" s="484"/>
      <c r="E549" s="484"/>
      <c r="F549" s="484"/>
      <c r="G549" s="81"/>
      <c r="H549" s="81"/>
      <c r="I549" s="81"/>
      <c r="J549" s="81"/>
      <c r="K549" s="81"/>
      <c r="L549" s="81"/>
      <c r="M549" s="580"/>
      <c r="N549" s="484"/>
      <c r="O549" s="944"/>
    </row>
    <row r="550" spans="1:61" ht="24.6" hidden="1" customHeight="1">
      <c r="A550" s="932" t="s">
        <v>109</v>
      </c>
      <c r="B550" s="484" t="s">
        <v>89</v>
      </c>
      <c r="C550" s="484">
        <v>176</v>
      </c>
      <c r="D550" s="484" t="s">
        <v>15</v>
      </c>
      <c r="E550" s="484">
        <v>6100404</v>
      </c>
      <c r="F550" s="484">
        <v>243</v>
      </c>
      <c r="G550" s="81"/>
      <c r="H550" s="81"/>
      <c r="I550" s="81"/>
      <c r="J550" s="81"/>
      <c r="K550" s="81"/>
      <c r="L550" s="81"/>
      <c r="M550" s="580"/>
      <c r="N550" s="484"/>
      <c r="O550" s="944" t="s">
        <v>31</v>
      </c>
    </row>
    <row r="551" spans="1:61" s="44" customFormat="1" ht="24.6" hidden="1" customHeight="1">
      <c r="A551" s="932"/>
      <c r="B551" s="484" t="s">
        <v>246</v>
      </c>
      <c r="C551" s="484"/>
      <c r="D551" s="484"/>
      <c r="E551" s="484"/>
      <c r="F551" s="484"/>
      <c r="G551" s="81"/>
      <c r="H551" s="81"/>
      <c r="I551" s="81"/>
      <c r="J551" s="81"/>
      <c r="K551" s="81"/>
      <c r="L551" s="81"/>
      <c r="M551" s="580"/>
      <c r="N551" s="484"/>
      <c r="O551" s="944"/>
      <c r="AJ551" s="91"/>
      <c r="AK551" s="91"/>
      <c r="AL551" s="91"/>
      <c r="AM551" s="91"/>
      <c r="AN551" s="91"/>
      <c r="AO551" s="91"/>
      <c r="AP551" s="91"/>
      <c r="AQ551" s="91"/>
      <c r="AR551" s="91"/>
      <c r="AS551" s="91"/>
      <c r="AT551" s="91"/>
      <c r="AU551" s="91"/>
      <c r="AV551" s="91"/>
      <c r="AW551" s="91"/>
      <c r="AX551" s="91"/>
      <c r="AY551" s="91"/>
      <c r="AZ551" s="91"/>
      <c r="BA551" s="91"/>
      <c r="BB551" s="91"/>
      <c r="BC551" s="91"/>
      <c r="BD551" s="91"/>
      <c r="BE551" s="91"/>
      <c r="BF551" s="91"/>
      <c r="BG551" s="91"/>
      <c r="BH551" s="91"/>
      <c r="BI551" s="91"/>
    </row>
    <row r="552" spans="1:61" s="44" customFormat="1" ht="24.6" hidden="1" customHeight="1">
      <c r="A552" s="932" t="s">
        <v>151</v>
      </c>
      <c r="B552" s="484" t="s">
        <v>89</v>
      </c>
      <c r="C552" s="484"/>
      <c r="D552" s="484"/>
      <c r="E552" s="484"/>
      <c r="F552" s="484"/>
      <c r="G552" s="81"/>
      <c r="H552" s="81"/>
      <c r="I552" s="81"/>
      <c r="J552" s="81"/>
      <c r="K552" s="81"/>
      <c r="L552" s="81"/>
      <c r="M552" s="580"/>
      <c r="N552" s="484"/>
      <c r="O552" s="944" t="s">
        <v>35</v>
      </c>
      <c r="AJ552" s="91"/>
      <c r="AK552" s="91"/>
      <c r="AL552" s="91"/>
      <c r="AM552" s="91"/>
      <c r="AN552" s="91"/>
      <c r="AO552" s="91"/>
      <c r="AP552" s="91"/>
      <c r="AQ552" s="91"/>
      <c r="AR552" s="91"/>
      <c r="AS552" s="91"/>
      <c r="AT552" s="91"/>
      <c r="AU552" s="91"/>
      <c r="AV552" s="91"/>
      <c r="AW552" s="91"/>
      <c r="AX552" s="91"/>
      <c r="AY552" s="91"/>
      <c r="AZ552" s="91"/>
      <c r="BA552" s="91"/>
      <c r="BB552" s="91"/>
      <c r="BC552" s="91"/>
      <c r="BD552" s="91"/>
      <c r="BE552" s="91"/>
      <c r="BF552" s="91"/>
      <c r="BG552" s="91"/>
      <c r="BH552" s="91"/>
      <c r="BI552" s="91"/>
    </row>
    <row r="553" spans="1:61" ht="24.6" hidden="1" customHeight="1">
      <c r="A553" s="932"/>
      <c r="B553" s="484" t="s">
        <v>246</v>
      </c>
      <c r="C553" s="484"/>
      <c r="D553" s="484"/>
      <c r="E553" s="484"/>
      <c r="F553" s="484"/>
      <c r="G553" s="81"/>
      <c r="H553" s="81"/>
      <c r="I553" s="81"/>
      <c r="J553" s="81"/>
      <c r="K553" s="81"/>
      <c r="L553" s="81"/>
      <c r="M553" s="580"/>
      <c r="N553" s="484"/>
      <c r="O553" s="944"/>
    </row>
    <row r="554" spans="1:61" ht="24.95" hidden="1" customHeight="1">
      <c r="A554" s="945" t="s">
        <v>97</v>
      </c>
      <c r="B554" s="57" t="s">
        <v>89</v>
      </c>
      <c r="C554" s="57"/>
      <c r="D554" s="57"/>
      <c r="E554" s="57"/>
      <c r="F554" s="57"/>
      <c r="G554" s="80">
        <f t="shared" ref="G554:M555" si="168">G556+G558+G560</f>
        <v>0</v>
      </c>
      <c r="H554" s="80"/>
      <c r="I554" s="80"/>
      <c r="J554" s="80"/>
      <c r="K554" s="80"/>
      <c r="L554" s="80">
        <f t="shared" si="168"/>
        <v>0</v>
      </c>
      <c r="M554" s="439">
        <f t="shared" si="168"/>
        <v>0</v>
      </c>
      <c r="N554" s="484"/>
      <c r="O554" s="57"/>
    </row>
    <row r="555" spans="1:61" ht="24.6" hidden="1" customHeight="1">
      <c r="A555" s="945"/>
      <c r="B555" s="57" t="s">
        <v>246</v>
      </c>
      <c r="C555" s="57"/>
      <c r="D555" s="57"/>
      <c r="E555" s="57"/>
      <c r="F555" s="57"/>
      <c r="G555" s="80">
        <f t="shared" si="168"/>
        <v>0</v>
      </c>
      <c r="H555" s="80"/>
      <c r="I555" s="80"/>
      <c r="J555" s="80"/>
      <c r="K555" s="80"/>
      <c r="L555" s="80">
        <f t="shared" si="168"/>
        <v>0</v>
      </c>
      <c r="M555" s="439">
        <f t="shared" si="168"/>
        <v>0</v>
      </c>
      <c r="N555" s="484"/>
      <c r="O555" s="57"/>
    </row>
    <row r="556" spans="1:61" ht="25.15" hidden="1" customHeight="1">
      <c r="A556" s="950" t="s">
        <v>111</v>
      </c>
      <c r="B556" s="484" t="s">
        <v>89</v>
      </c>
      <c r="C556" s="484">
        <v>176</v>
      </c>
      <c r="D556" s="484" t="s">
        <v>15</v>
      </c>
      <c r="E556" s="484">
        <v>6100404</v>
      </c>
      <c r="F556" s="484">
        <v>243</v>
      </c>
      <c r="G556" s="81"/>
      <c r="H556" s="81"/>
      <c r="I556" s="81"/>
      <c r="J556" s="81"/>
      <c r="K556" s="81"/>
      <c r="L556" s="81"/>
      <c r="M556" s="580"/>
      <c r="N556" s="484"/>
      <c r="O556" s="944" t="s">
        <v>291</v>
      </c>
    </row>
    <row r="557" spans="1:61" ht="23.45" hidden="1" customHeight="1">
      <c r="A557" s="950"/>
      <c r="B557" s="484" t="s">
        <v>246</v>
      </c>
      <c r="C557" s="484"/>
      <c r="D557" s="484"/>
      <c r="E557" s="484"/>
      <c r="F557" s="484"/>
      <c r="G557" s="81"/>
      <c r="H557" s="81"/>
      <c r="I557" s="81"/>
      <c r="J557" s="81"/>
      <c r="K557" s="81"/>
      <c r="L557" s="81"/>
      <c r="M557" s="580"/>
      <c r="N557" s="484"/>
      <c r="O557" s="944"/>
    </row>
    <row r="558" spans="1:61" ht="25.15" hidden="1" customHeight="1">
      <c r="A558" s="932" t="s">
        <v>112</v>
      </c>
      <c r="B558" s="484" t="s">
        <v>89</v>
      </c>
      <c r="C558" s="484">
        <v>176</v>
      </c>
      <c r="D558" s="484" t="s">
        <v>15</v>
      </c>
      <c r="E558" s="484">
        <v>6100404</v>
      </c>
      <c r="F558" s="484">
        <v>243</v>
      </c>
      <c r="G558" s="81"/>
      <c r="H558" s="81"/>
      <c r="I558" s="81"/>
      <c r="J558" s="81"/>
      <c r="K558" s="81"/>
      <c r="L558" s="81"/>
      <c r="M558" s="580"/>
      <c r="N558" s="484"/>
      <c r="O558" s="944" t="s">
        <v>208</v>
      </c>
    </row>
    <row r="559" spans="1:61" s="44" customFormat="1" ht="24.6" hidden="1" customHeight="1">
      <c r="A559" s="932"/>
      <c r="B559" s="484" t="s">
        <v>246</v>
      </c>
      <c r="C559" s="484"/>
      <c r="D559" s="484"/>
      <c r="E559" s="484"/>
      <c r="F559" s="484"/>
      <c r="G559" s="81">
        <v>0</v>
      </c>
      <c r="H559" s="81"/>
      <c r="I559" s="81"/>
      <c r="J559" s="81"/>
      <c r="K559" s="81"/>
      <c r="L559" s="81"/>
      <c r="M559" s="580"/>
      <c r="N559" s="484"/>
      <c r="O559" s="944"/>
      <c r="AJ559" s="91"/>
      <c r="AK559" s="91"/>
      <c r="AL559" s="91"/>
      <c r="AM559" s="91"/>
      <c r="AN559" s="91"/>
      <c r="AO559" s="91"/>
      <c r="AP559" s="91"/>
      <c r="AQ559" s="91"/>
      <c r="AR559" s="91"/>
      <c r="AS559" s="91"/>
      <c r="AT559" s="91"/>
      <c r="AU559" s="91"/>
      <c r="AV559" s="91"/>
      <c r="AW559" s="91"/>
      <c r="AX559" s="91"/>
      <c r="AY559" s="91"/>
      <c r="AZ559" s="91"/>
      <c r="BA559" s="91"/>
      <c r="BB559" s="91"/>
      <c r="BC559" s="91"/>
      <c r="BD559" s="91"/>
      <c r="BE559" s="91"/>
      <c r="BF559" s="91"/>
      <c r="BG559" s="91"/>
      <c r="BH559" s="91"/>
      <c r="BI559" s="91"/>
    </row>
    <row r="560" spans="1:61" s="44" customFormat="1" ht="24.6" hidden="1" customHeight="1">
      <c r="A560" s="483" t="s">
        <v>249</v>
      </c>
      <c r="B560" s="484" t="s">
        <v>89</v>
      </c>
      <c r="C560" s="484"/>
      <c r="D560" s="484"/>
      <c r="E560" s="484"/>
      <c r="F560" s="484"/>
      <c r="G560" s="81"/>
      <c r="H560" s="81"/>
      <c r="I560" s="81"/>
      <c r="J560" s="81"/>
      <c r="K560" s="81"/>
      <c r="L560" s="81"/>
      <c r="M560" s="580"/>
      <c r="N560" s="484"/>
      <c r="O560" s="484"/>
      <c r="AJ560" s="91"/>
      <c r="AK560" s="91"/>
      <c r="AL560" s="91"/>
      <c r="AM560" s="91"/>
      <c r="AN560" s="91"/>
      <c r="AO560" s="91"/>
      <c r="AP560" s="91"/>
      <c r="AQ560" s="91"/>
      <c r="AR560" s="91"/>
      <c r="AS560" s="91"/>
      <c r="AT560" s="91"/>
      <c r="AU560" s="91"/>
      <c r="AV560" s="91"/>
      <c r="AW560" s="91"/>
      <c r="AX560" s="91"/>
      <c r="AY560" s="91"/>
      <c r="AZ560" s="91"/>
      <c r="BA560" s="91"/>
      <c r="BB560" s="91"/>
      <c r="BC560" s="91"/>
      <c r="BD560" s="91"/>
      <c r="BE560" s="91"/>
      <c r="BF560" s="91"/>
      <c r="BG560" s="91"/>
      <c r="BH560" s="91"/>
      <c r="BI560" s="91"/>
    </row>
    <row r="561" spans="1:61" ht="24.6" hidden="1" customHeight="1">
      <c r="A561" s="483"/>
      <c r="B561" s="484" t="s">
        <v>246</v>
      </c>
      <c r="C561" s="484"/>
      <c r="D561" s="484"/>
      <c r="E561" s="484"/>
      <c r="F561" s="484"/>
      <c r="G561" s="81"/>
      <c r="H561" s="81"/>
      <c r="I561" s="81"/>
      <c r="J561" s="81"/>
      <c r="K561" s="81"/>
      <c r="L561" s="81"/>
      <c r="M561" s="580"/>
      <c r="N561" s="484"/>
      <c r="O561" s="484" t="s">
        <v>35</v>
      </c>
    </row>
    <row r="562" spans="1:61" ht="0.6" hidden="1" customHeight="1">
      <c r="A562" s="945" t="s">
        <v>98</v>
      </c>
      <c r="B562" s="57" t="s">
        <v>89</v>
      </c>
      <c r="C562" s="57"/>
      <c r="D562" s="57"/>
      <c r="E562" s="57"/>
      <c r="F562" s="57"/>
      <c r="G562" s="80">
        <f t="shared" ref="G562:L563" si="169">G564+G566+G568</f>
        <v>0</v>
      </c>
      <c r="H562" s="80"/>
      <c r="I562" s="80"/>
      <c r="J562" s="80"/>
      <c r="K562" s="80"/>
      <c r="L562" s="80">
        <f t="shared" si="169"/>
        <v>0</v>
      </c>
      <c r="M562" s="439"/>
      <c r="N562" s="484"/>
      <c r="O562" s="57"/>
    </row>
    <row r="563" spans="1:61" ht="0.6" hidden="1" customHeight="1">
      <c r="A563" s="945"/>
      <c r="B563" s="57" t="s">
        <v>246</v>
      </c>
      <c r="C563" s="57"/>
      <c r="D563" s="57"/>
      <c r="E563" s="57"/>
      <c r="F563" s="57"/>
      <c r="G563" s="80">
        <f t="shared" si="169"/>
        <v>0</v>
      </c>
      <c r="H563" s="80"/>
      <c r="I563" s="80"/>
      <c r="J563" s="80"/>
      <c r="K563" s="80"/>
      <c r="L563" s="80">
        <f t="shared" si="169"/>
        <v>0</v>
      </c>
      <c r="M563" s="439"/>
      <c r="N563" s="484"/>
      <c r="O563" s="57"/>
    </row>
    <row r="564" spans="1:61" ht="24.6" hidden="1" customHeight="1">
      <c r="A564" s="932" t="s">
        <v>113</v>
      </c>
      <c r="B564" s="484" t="s">
        <v>89</v>
      </c>
      <c r="C564" s="484">
        <v>176</v>
      </c>
      <c r="D564" s="484" t="s">
        <v>15</v>
      </c>
      <c r="E564" s="484">
        <v>6100404</v>
      </c>
      <c r="F564" s="484">
        <v>243</v>
      </c>
      <c r="G564" s="81"/>
      <c r="H564" s="81"/>
      <c r="I564" s="81"/>
      <c r="J564" s="81"/>
      <c r="K564" s="81"/>
      <c r="L564" s="81"/>
      <c r="M564" s="580"/>
      <c r="N564" s="484"/>
      <c r="O564" s="944" t="s">
        <v>35</v>
      </c>
    </row>
    <row r="565" spans="1:61" ht="21.6" hidden="1" customHeight="1">
      <c r="A565" s="932"/>
      <c r="B565" s="484" t="s">
        <v>246</v>
      </c>
      <c r="C565" s="484"/>
      <c r="D565" s="484"/>
      <c r="E565" s="484"/>
      <c r="F565" s="484"/>
      <c r="G565" s="81"/>
      <c r="H565" s="81"/>
      <c r="I565" s="81"/>
      <c r="J565" s="81"/>
      <c r="K565" s="81"/>
      <c r="L565" s="81"/>
      <c r="M565" s="580"/>
      <c r="N565" s="484"/>
      <c r="O565" s="944"/>
    </row>
    <row r="566" spans="1:61" ht="24.6" hidden="1" customHeight="1">
      <c r="A566" s="483" t="s">
        <v>115</v>
      </c>
      <c r="B566" s="484" t="s">
        <v>89</v>
      </c>
      <c r="C566" s="484">
        <v>176</v>
      </c>
      <c r="D566" s="484" t="s">
        <v>15</v>
      </c>
      <c r="E566" s="484">
        <v>6100404</v>
      </c>
      <c r="F566" s="484">
        <v>243</v>
      </c>
      <c r="G566" s="81"/>
      <c r="H566" s="81"/>
      <c r="I566" s="81"/>
      <c r="J566" s="81"/>
      <c r="K566" s="81"/>
      <c r="L566" s="81"/>
      <c r="M566" s="580"/>
      <c r="N566" s="484"/>
      <c r="O566" s="484" t="s">
        <v>35</v>
      </c>
    </row>
    <row r="567" spans="1:61" ht="24.6" hidden="1" customHeight="1">
      <c r="A567" s="483"/>
      <c r="B567" s="484" t="s">
        <v>246</v>
      </c>
      <c r="C567" s="484"/>
      <c r="D567" s="484"/>
      <c r="E567" s="484"/>
      <c r="F567" s="484"/>
      <c r="G567" s="81"/>
      <c r="H567" s="81"/>
      <c r="I567" s="81"/>
      <c r="J567" s="81"/>
      <c r="K567" s="81"/>
      <c r="L567" s="81"/>
      <c r="M567" s="580"/>
      <c r="N567" s="484"/>
      <c r="O567" s="484"/>
    </row>
    <row r="568" spans="1:61" ht="24.6" hidden="1" customHeight="1">
      <c r="A568" s="483" t="s">
        <v>114</v>
      </c>
      <c r="B568" s="484" t="s">
        <v>89</v>
      </c>
      <c r="C568" s="484">
        <v>176</v>
      </c>
      <c r="D568" s="484" t="s">
        <v>15</v>
      </c>
      <c r="E568" s="484">
        <v>6100404</v>
      </c>
      <c r="F568" s="484">
        <v>243</v>
      </c>
      <c r="G568" s="81">
        <v>0</v>
      </c>
      <c r="H568" s="81"/>
      <c r="I568" s="81"/>
      <c r="J568" s="81"/>
      <c r="K568" s="81"/>
      <c r="L568" s="81"/>
      <c r="M568" s="580"/>
      <c r="N568" s="484"/>
      <c r="O568" s="944" t="s">
        <v>228</v>
      </c>
    </row>
    <row r="569" spans="1:61" s="44" customFormat="1" ht="24.6" hidden="1" customHeight="1">
      <c r="A569" s="483"/>
      <c r="B569" s="484" t="s">
        <v>246</v>
      </c>
      <c r="C569" s="484"/>
      <c r="D569" s="484"/>
      <c r="E569" s="484"/>
      <c r="F569" s="484"/>
      <c r="G569" s="81"/>
      <c r="H569" s="81"/>
      <c r="I569" s="81"/>
      <c r="J569" s="81"/>
      <c r="K569" s="81"/>
      <c r="L569" s="81"/>
      <c r="M569" s="580"/>
      <c r="N569" s="484"/>
      <c r="O569" s="944"/>
      <c r="AJ569" s="91"/>
      <c r="AK569" s="91"/>
      <c r="AL569" s="91"/>
      <c r="AM569" s="91"/>
      <c r="AN569" s="91"/>
      <c r="AO569" s="91"/>
      <c r="AP569" s="91"/>
      <c r="AQ569" s="91"/>
      <c r="AR569" s="91"/>
      <c r="AS569" s="91"/>
      <c r="AT569" s="91"/>
      <c r="AU569" s="91"/>
      <c r="AV569" s="91"/>
      <c r="AW569" s="91"/>
      <c r="AX569" s="91"/>
      <c r="AY569" s="91"/>
      <c r="AZ569" s="91"/>
      <c r="BA569" s="91"/>
      <c r="BB569" s="91"/>
      <c r="BC569" s="91"/>
      <c r="BD569" s="91"/>
      <c r="BE569" s="91"/>
      <c r="BF569" s="91"/>
      <c r="BG569" s="91"/>
      <c r="BH569" s="91"/>
      <c r="BI569" s="91"/>
    </row>
    <row r="570" spans="1:61" s="44" customFormat="1" ht="24.6" hidden="1" customHeight="1">
      <c r="A570" s="485" t="s">
        <v>111</v>
      </c>
      <c r="B570" s="484" t="s">
        <v>89</v>
      </c>
      <c r="C570" s="484">
        <v>176</v>
      </c>
      <c r="D570" s="484" t="s">
        <v>15</v>
      </c>
      <c r="E570" s="484">
        <v>6100404</v>
      </c>
      <c r="F570" s="484">
        <v>243</v>
      </c>
      <c r="G570" s="81"/>
      <c r="H570" s="81"/>
      <c r="I570" s="81"/>
      <c r="J570" s="81"/>
      <c r="K570" s="81"/>
      <c r="L570" s="81"/>
      <c r="M570" s="580"/>
      <c r="N570" s="484"/>
      <c r="O570" s="484" t="s">
        <v>31</v>
      </c>
      <c r="AJ570" s="91"/>
      <c r="AK570" s="91"/>
      <c r="AL570" s="91"/>
      <c r="AM570" s="91"/>
      <c r="AN570" s="91"/>
      <c r="AO570" s="91"/>
      <c r="AP570" s="91"/>
      <c r="AQ570" s="91"/>
      <c r="AR570" s="91"/>
      <c r="AS570" s="91"/>
      <c r="AT570" s="91"/>
      <c r="AU570" s="91"/>
      <c r="AV570" s="91"/>
      <c r="AW570" s="91"/>
      <c r="AX570" s="91"/>
      <c r="AY570" s="91"/>
      <c r="AZ570" s="91"/>
      <c r="BA570" s="91"/>
      <c r="BB570" s="91"/>
      <c r="BC570" s="91"/>
      <c r="BD570" s="91"/>
      <c r="BE570" s="91"/>
      <c r="BF570" s="91"/>
      <c r="BG570" s="91"/>
      <c r="BH570" s="91"/>
      <c r="BI570" s="91"/>
    </row>
    <row r="571" spans="1:61" ht="24.6" hidden="1" customHeight="1">
      <c r="A571" s="485"/>
      <c r="B571" s="484" t="s">
        <v>246</v>
      </c>
      <c r="C571" s="484"/>
      <c r="D571" s="484"/>
      <c r="E571" s="484"/>
      <c r="F571" s="484"/>
      <c r="G571" s="81"/>
      <c r="H571" s="81"/>
      <c r="I571" s="81"/>
      <c r="J571" s="81"/>
      <c r="K571" s="81"/>
      <c r="L571" s="81"/>
      <c r="M571" s="580"/>
      <c r="N571" s="484"/>
      <c r="O571" s="484"/>
    </row>
    <row r="572" spans="1:61" ht="31.9" hidden="1" customHeight="1">
      <c r="A572" s="1017" t="s">
        <v>99</v>
      </c>
      <c r="B572" s="57" t="s">
        <v>721</v>
      </c>
      <c r="C572" s="57"/>
      <c r="D572" s="57"/>
      <c r="E572" s="57"/>
      <c r="F572" s="57"/>
      <c r="G572" s="80">
        <f t="shared" ref="G572:G573" si="170">G574</f>
        <v>0</v>
      </c>
      <c r="H572" s="80"/>
      <c r="I572" s="80"/>
      <c r="J572" s="80"/>
      <c r="K572" s="80"/>
      <c r="L572" s="80">
        <f>L576</f>
        <v>0</v>
      </c>
      <c r="M572" s="439">
        <f t="shared" ref="M572:N573" si="171">M576</f>
        <v>0</v>
      </c>
      <c r="N572" s="80">
        <f t="shared" si="171"/>
        <v>0</v>
      </c>
      <c r="O572" s="57"/>
    </row>
    <row r="573" spans="1:61" ht="26.45" hidden="1" customHeight="1">
      <c r="A573" s="1017"/>
      <c r="B573" s="57" t="s">
        <v>246</v>
      </c>
      <c r="C573" s="57"/>
      <c r="D573" s="57"/>
      <c r="E573" s="57"/>
      <c r="F573" s="57"/>
      <c r="G573" s="80">
        <f t="shared" si="170"/>
        <v>0</v>
      </c>
      <c r="H573" s="80"/>
      <c r="I573" s="80"/>
      <c r="J573" s="80"/>
      <c r="K573" s="80"/>
      <c r="L573" s="80">
        <f>L577</f>
        <v>0</v>
      </c>
      <c r="M573" s="439">
        <f t="shared" si="171"/>
        <v>0</v>
      </c>
      <c r="N573" s="80">
        <f t="shared" si="171"/>
        <v>0</v>
      </c>
      <c r="O573" s="57"/>
    </row>
    <row r="574" spans="1:61" ht="28.15" hidden="1" customHeight="1">
      <c r="A574" s="932" t="s">
        <v>250</v>
      </c>
      <c r="B574" s="484" t="s">
        <v>89</v>
      </c>
      <c r="C574" s="484">
        <v>176</v>
      </c>
      <c r="D574" s="484" t="s">
        <v>15</v>
      </c>
      <c r="E574" s="484">
        <v>6100404</v>
      </c>
      <c r="F574" s="484">
        <v>243</v>
      </c>
      <c r="G574" s="81"/>
      <c r="H574" s="81"/>
      <c r="I574" s="81"/>
      <c r="J574" s="81"/>
      <c r="K574" s="81"/>
      <c r="L574" s="81"/>
      <c r="M574" s="580"/>
      <c r="N574" s="484"/>
      <c r="O574" s="944" t="s">
        <v>35</v>
      </c>
    </row>
    <row r="575" spans="1:61" s="44" customFormat="1" ht="28.15" hidden="1" customHeight="1">
      <c r="A575" s="932"/>
      <c r="B575" s="484" t="s">
        <v>246</v>
      </c>
      <c r="C575" s="484"/>
      <c r="D575" s="484"/>
      <c r="E575" s="484"/>
      <c r="F575" s="484"/>
      <c r="G575" s="81"/>
      <c r="H575" s="81"/>
      <c r="I575" s="81"/>
      <c r="J575" s="81"/>
      <c r="K575" s="81"/>
      <c r="L575" s="81">
        <f>18324.4-18324.4</f>
        <v>0</v>
      </c>
      <c r="M575" s="580"/>
      <c r="N575" s="484"/>
      <c r="O575" s="944"/>
      <c r="AJ575" s="91"/>
      <c r="AK575" s="91"/>
      <c r="AL575" s="91"/>
      <c r="AM575" s="91"/>
      <c r="AN575" s="91"/>
      <c r="AO575" s="91"/>
      <c r="AP575" s="91"/>
      <c r="AQ575" s="91"/>
      <c r="AR575" s="91"/>
      <c r="AS575" s="91"/>
      <c r="AT575" s="91"/>
      <c r="AU575" s="91"/>
      <c r="AV575" s="91"/>
      <c r="AW575" s="91"/>
      <c r="AX575" s="91"/>
      <c r="AY575" s="91"/>
      <c r="AZ575" s="91"/>
      <c r="BA575" s="91"/>
      <c r="BB575" s="91"/>
      <c r="BC575" s="91"/>
      <c r="BD575" s="91"/>
      <c r="BE575" s="91"/>
      <c r="BF575" s="91"/>
      <c r="BG575" s="91"/>
      <c r="BH575" s="91"/>
      <c r="BI575" s="91"/>
    </row>
    <row r="576" spans="1:61" s="44" customFormat="1" ht="28.15" hidden="1" customHeight="1">
      <c r="A576" s="932" t="s">
        <v>323</v>
      </c>
      <c r="B576" s="484" t="s">
        <v>89</v>
      </c>
      <c r="C576" s="484">
        <v>176</v>
      </c>
      <c r="D576" s="484" t="s">
        <v>15</v>
      </c>
      <c r="E576" s="484">
        <v>6100404</v>
      </c>
      <c r="F576" s="484">
        <v>243</v>
      </c>
      <c r="G576" s="81">
        <v>0</v>
      </c>
      <c r="H576" s="81"/>
      <c r="I576" s="81"/>
      <c r="J576" s="81"/>
      <c r="K576" s="81"/>
      <c r="L576" s="81"/>
      <c r="M576" s="580"/>
      <c r="N576" s="484"/>
      <c r="O576" s="944" t="s">
        <v>729</v>
      </c>
      <c r="AJ576" s="91"/>
      <c r="AK576" s="91"/>
      <c r="AL576" s="91"/>
      <c r="AM576" s="91"/>
      <c r="AN576" s="91"/>
      <c r="AO576" s="91"/>
      <c r="AP576" s="91"/>
      <c r="AQ576" s="91"/>
      <c r="AR576" s="91"/>
      <c r="AS576" s="91"/>
      <c r="AT576" s="91"/>
      <c r="AU576" s="91"/>
      <c r="AV576" s="91"/>
      <c r="AW576" s="91"/>
      <c r="AX576" s="91"/>
      <c r="AY576" s="91"/>
      <c r="AZ576" s="91"/>
      <c r="BA576" s="91"/>
      <c r="BB576" s="91"/>
      <c r="BC576" s="91"/>
      <c r="BD576" s="91"/>
      <c r="BE576" s="91"/>
      <c r="BF576" s="91"/>
      <c r="BG576" s="91"/>
      <c r="BH576" s="91"/>
      <c r="BI576" s="91"/>
    </row>
    <row r="577" spans="1:61" ht="24" hidden="1" customHeight="1">
      <c r="A577" s="932"/>
      <c r="B577" s="484" t="s">
        <v>246</v>
      </c>
      <c r="C577" s="484"/>
      <c r="D577" s="484"/>
      <c r="E577" s="484"/>
      <c r="F577" s="484"/>
      <c r="G577" s="81"/>
      <c r="H577" s="81"/>
      <c r="I577" s="81"/>
      <c r="J577" s="81"/>
      <c r="K577" s="81"/>
      <c r="L577" s="81"/>
      <c r="M577" s="580"/>
      <c r="N577" s="484"/>
      <c r="O577" s="944"/>
    </row>
    <row r="578" spans="1:61" ht="24.95" customHeight="1">
      <c r="A578" s="945" t="s">
        <v>117</v>
      </c>
      <c r="B578" s="57" t="s">
        <v>721</v>
      </c>
      <c r="C578" s="57"/>
      <c r="D578" s="57"/>
      <c r="E578" s="57"/>
      <c r="F578" s="57"/>
      <c r="G578" s="80">
        <f>K578</f>
        <v>0</v>
      </c>
      <c r="H578" s="80"/>
      <c r="I578" s="80"/>
      <c r="J578" s="80"/>
      <c r="K578" s="80">
        <f>K582+K584+K586</f>
        <v>0</v>
      </c>
      <c r="L578" s="80">
        <f>L582+L584+L586</f>
        <v>0</v>
      </c>
      <c r="M578" s="439">
        <f>M582+M584+M586</f>
        <v>0</v>
      </c>
      <c r="N578" s="484"/>
      <c r="O578" s="57"/>
    </row>
    <row r="579" spans="1:61" ht="24.95" customHeight="1">
      <c r="A579" s="945"/>
      <c r="B579" s="57" t="s">
        <v>246</v>
      </c>
      <c r="C579" s="57"/>
      <c r="D579" s="57"/>
      <c r="E579" s="57"/>
      <c r="F579" s="57"/>
      <c r="G579" s="80">
        <f>K579</f>
        <v>2167.4</v>
      </c>
      <c r="H579" s="80"/>
      <c r="I579" s="80"/>
      <c r="J579" s="80"/>
      <c r="K579" s="80">
        <f>K580+K581</f>
        <v>2167.4</v>
      </c>
      <c r="L579" s="80"/>
      <c r="M579" s="439"/>
      <c r="N579" s="484"/>
      <c r="O579" s="57"/>
    </row>
    <row r="580" spans="1:61" ht="22.5" customHeight="1">
      <c r="A580" s="945"/>
      <c r="B580" s="57" t="s">
        <v>247</v>
      </c>
      <c r="C580" s="57"/>
      <c r="D580" s="57"/>
      <c r="E580" s="57"/>
      <c r="F580" s="57"/>
      <c r="G580" s="80">
        <f t="shared" ref="G580:G586" si="172">K580</f>
        <v>2167.4</v>
      </c>
      <c r="H580" s="80"/>
      <c r="I580" s="80"/>
      <c r="J580" s="80"/>
      <c r="K580" s="80">
        <f>K583+K585+K588</f>
        <v>2167.4</v>
      </c>
      <c r="L580" s="80">
        <f t="shared" ref="L580:M580" si="173">L583+L585+L588</f>
        <v>0</v>
      </c>
      <c r="M580" s="439">
        <f t="shared" si="173"/>
        <v>0</v>
      </c>
      <c r="N580" s="484"/>
      <c r="O580" s="57"/>
    </row>
    <row r="581" spans="1:61" ht="21" customHeight="1">
      <c r="A581" s="945"/>
      <c r="B581" s="57" t="s">
        <v>495</v>
      </c>
      <c r="C581" s="57"/>
      <c r="D581" s="57"/>
      <c r="E581" s="57"/>
      <c r="F581" s="57"/>
      <c r="G581" s="80">
        <f t="shared" si="172"/>
        <v>0</v>
      </c>
      <c r="H581" s="80">
        <f>H583+H585+H589</f>
        <v>0</v>
      </c>
      <c r="I581" s="80">
        <f>I583+I585+I589</f>
        <v>0</v>
      </c>
      <c r="J581" s="80"/>
      <c r="K581" s="80">
        <f>K589</f>
        <v>0</v>
      </c>
      <c r="L581" s="80">
        <f t="shared" ref="L581:M581" si="174">L589</f>
        <v>0</v>
      </c>
      <c r="M581" s="439">
        <f t="shared" si="174"/>
        <v>0</v>
      </c>
      <c r="N581" s="484"/>
      <c r="O581" s="57"/>
    </row>
    <row r="582" spans="1:61" ht="24.95" hidden="1" customHeight="1">
      <c r="A582" s="932" t="s">
        <v>323</v>
      </c>
      <c r="B582" s="57" t="s">
        <v>721</v>
      </c>
      <c r="C582" s="484">
        <v>176</v>
      </c>
      <c r="D582" s="484" t="s">
        <v>15</v>
      </c>
      <c r="E582" s="484">
        <v>6100404</v>
      </c>
      <c r="F582" s="484">
        <v>243</v>
      </c>
      <c r="G582" s="80">
        <f t="shared" si="172"/>
        <v>0</v>
      </c>
      <c r="H582" s="81"/>
      <c r="I582" s="81"/>
      <c r="J582" s="81"/>
      <c r="K582" s="81"/>
      <c r="L582" s="81"/>
      <c r="M582" s="580"/>
      <c r="N582" s="484"/>
      <c r="O582" s="944" t="s">
        <v>728</v>
      </c>
    </row>
    <row r="583" spans="1:61" ht="25.5" hidden="1" customHeight="1">
      <c r="A583" s="932"/>
      <c r="B583" s="484" t="s">
        <v>246</v>
      </c>
      <c r="C583" s="484"/>
      <c r="D583" s="484"/>
      <c r="E583" s="484"/>
      <c r="F583" s="484"/>
      <c r="G583" s="80">
        <f t="shared" si="172"/>
        <v>0</v>
      </c>
      <c r="H583" s="81"/>
      <c r="I583" s="81"/>
      <c r="J583" s="81"/>
      <c r="K583" s="81"/>
      <c r="L583" s="81"/>
      <c r="M583" s="580"/>
      <c r="N583" s="484"/>
      <c r="O583" s="944"/>
    </row>
    <row r="584" spans="1:61" ht="27" customHeight="1">
      <c r="A584" s="926" t="s">
        <v>709</v>
      </c>
      <c r="B584" s="57" t="s">
        <v>721</v>
      </c>
      <c r="C584" s="484">
        <v>176</v>
      </c>
      <c r="D584" s="484" t="s">
        <v>15</v>
      </c>
      <c r="E584" s="484">
        <v>6100404</v>
      </c>
      <c r="F584" s="484">
        <v>243</v>
      </c>
      <c r="G584" s="81">
        <f t="shared" si="172"/>
        <v>0</v>
      </c>
      <c r="H584" s="81"/>
      <c r="I584" s="81"/>
      <c r="J584" s="81"/>
      <c r="K584" s="81"/>
      <c r="L584" s="81"/>
      <c r="M584" s="580"/>
      <c r="N584" s="484"/>
      <c r="O584" s="944" t="s">
        <v>822</v>
      </c>
    </row>
    <row r="585" spans="1:61" s="44" customFormat="1" ht="27" customHeight="1">
      <c r="A585" s="928"/>
      <c r="B585" s="484" t="s">
        <v>246</v>
      </c>
      <c r="C585" s="484"/>
      <c r="D585" s="484"/>
      <c r="E585" s="484"/>
      <c r="F585" s="484"/>
      <c r="G585" s="81">
        <f t="shared" si="172"/>
        <v>2167.4</v>
      </c>
      <c r="H585" s="81"/>
      <c r="I585" s="81"/>
      <c r="J585" s="81"/>
      <c r="K585" s="81">
        <v>2167.4</v>
      </c>
      <c r="L585" s="81"/>
      <c r="M585" s="580"/>
      <c r="N585" s="484"/>
      <c r="O585" s="944"/>
      <c r="AJ585" s="91"/>
      <c r="AK585" s="91"/>
      <c r="AL585" s="91"/>
      <c r="AM585" s="91"/>
      <c r="AN585" s="91"/>
      <c r="AO585" s="91"/>
      <c r="AP585" s="91"/>
      <c r="AQ585" s="91"/>
      <c r="AR585" s="91"/>
      <c r="AS585" s="91"/>
      <c r="AT585" s="91"/>
      <c r="AU585" s="91"/>
      <c r="AV585" s="91"/>
      <c r="AW585" s="91"/>
      <c r="AX585" s="91"/>
      <c r="AY585" s="91"/>
      <c r="AZ585" s="91"/>
      <c r="BA585" s="91"/>
      <c r="BB585" s="91"/>
      <c r="BC585" s="91"/>
      <c r="BD585" s="91"/>
      <c r="BE585" s="91"/>
      <c r="BF585" s="91"/>
      <c r="BG585" s="91"/>
      <c r="BH585" s="91"/>
      <c r="BI585" s="91"/>
    </row>
    <row r="586" spans="1:61" s="44" customFormat="1" ht="23.45" hidden="1" customHeight="1">
      <c r="A586" s="926" t="s">
        <v>307</v>
      </c>
      <c r="B586" s="57" t="s">
        <v>721</v>
      </c>
      <c r="C586" s="484">
        <v>176</v>
      </c>
      <c r="D586" s="484" t="s">
        <v>15</v>
      </c>
      <c r="E586" s="484">
        <v>6100404</v>
      </c>
      <c r="F586" s="484">
        <v>243</v>
      </c>
      <c r="G586" s="81">
        <f t="shared" si="172"/>
        <v>0</v>
      </c>
      <c r="H586" s="81"/>
      <c r="I586" s="81"/>
      <c r="J586" s="81"/>
      <c r="K586" s="81"/>
      <c r="L586" s="81"/>
      <c r="M586" s="580"/>
      <c r="N586" s="484"/>
      <c r="O586" s="944" t="s">
        <v>727</v>
      </c>
      <c r="AJ586" s="91"/>
      <c r="AK586" s="91"/>
      <c r="AL586" s="91"/>
      <c r="AM586" s="91"/>
      <c r="AN586" s="91"/>
      <c r="AO586" s="91"/>
      <c r="AP586" s="91"/>
      <c r="AQ586" s="91"/>
      <c r="AR586" s="91"/>
      <c r="AS586" s="91"/>
      <c r="AT586" s="91"/>
      <c r="AU586" s="91"/>
      <c r="AV586" s="91"/>
      <c r="AW586" s="91"/>
      <c r="AX586" s="91"/>
      <c r="AY586" s="91"/>
      <c r="AZ586" s="91"/>
      <c r="BA586" s="91"/>
      <c r="BB586" s="91"/>
      <c r="BC586" s="91"/>
      <c r="BD586" s="91"/>
      <c r="BE586" s="91"/>
      <c r="BF586" s="91"/>
      <c r="BG586" s="91"/>
      <c r="BH586" s="91"/>
      <c r="BI586" s="91"/>
    </row>
    <row r="587" spans="1:61" s="44" customFormat="1" ht="23.45" hidden="1" customHeight="1">
      <c r="A587" s="927"/>
      <c r="B587" s="484" t="s">
        <v>555</v>
      </c>
      <c r="C587" s="484"/>
      <c r="D587" s="484"/>
      <c r="E587" s="484"/>
      <c r="F587" s="484"/>
      <c r="G587" s="81">
        <f>K587</f>
        <v>0</v>
      </c>
      <c r="H587" s="81"/>
      <c r="I587" s="81"/>
      <c r="J587" s="81"/>
      <c r="K587" s="81">
        <f>K588+K589</f>
        <v>0</v>
      </c>
      <c r="L587" s="81"/>
      <c r="M587" s="580"/>
      <c r="N587" s="484"/>
      <c r="O587" s="944"/>
      <c r="AJ587" s="91"/>
      <c r="AK587" s="91"/>
      <c r="AL587" s="91"/>
      <c r="AM587" s="91"/>
      <c r="AN587" s="91"/>
      <c r="AO587" s="91"/>
      <c r="AP587" s="91"/>
      <c r="AQ587" s="91"/>
      <c r="AR587" s="91"/>
      <c r="AS587" s="91"/>
      <c r="AT587" s="91"/>
      <c r="AU587" s="91"/>
      <c r="AV587" s="91"/>
      <c r="AW587" s="91"/>
      <c r="AX587" s="91"/>
      <c r="AY587" s="91"/>
      <c r="AZ587" s="91"/>
      <c r="BA587" s="91"/>
      <c r="BB587" s="91"/>
      <c r="BC587" s="91"/>
      <c r="BD587" s="91"/>
      <c r="BE587" s="91"/>
      <c r="BF587" s="91"/>
      <c r="BG587" s="91"/>
      <c r="BH587" s="91"/>
      <c r="BI587" s="91"/>
    </row>
    <row r="588" spans="1:61" s="44" customFormat="1" ht="23.45" hidden="1" customHeight="1">
      <c r="A588" s="927"/>
      <c r="B588" s="484" t="s">
        <v>247</v>
      </c>
      <c r="C588" s="484"/>
      <c r="D588" s="484"/>
      <c r="E588" s="484"/>
      <c r="F588" s="484"/>
      <c r="G588" s="81">
        <f t="shared" ref="G588:G589" si="175">K588</f>
        <v>0</v>
      </c>
      <c r="H588" s="81"/>
      <c r="I588" s="81"/>
      <c r="J588" s="81"/>
      <c r="K588" s="81"/>
      <c r="L588" s="81"/>
      <c r="M588" s="580"/>
      <c r="N588" s="484"/>
      <c r="O588" s="944"/>
      <c r="AJ588" s="91"/>
      <c r="AK588" s="91"/>
      <c r="AL588" s="91"/>
      <c r="AM588" s="91"/>
      <c r="AN588" s="91"/>
      <c r="AO588" s="91"/>
      <c r="AP588" s="91"/>
      <c r="AQ588" s="91"/>
      <c r="AR588" s="91"/>
      <c r="AS588" s="91"/>
      <c r="AT588" s="91"/>
      <c r="AU588" s="91"/>
      <c r="AV588" s="91"/>
      <c r="AW588" s="91"/>
      <c r="AX588" s="91"/>
      <c r="AY588" s="91"/>
      <c r="AZ588" s="91"/>
      <c r="BA588" s="91"/>
      <c r="BB588" s="91"/>
      <c r="BC588" s="91"/>
      <c r="BD588" s="91"/>
      <c r="BE588" s="91"/>
      <c r="BF588" s="91"/>
      <c r="BG588" s="91"/>
      <c r="BH588" s="91"/>
      <c r="BI588" s="91"/>
    </row>
    <row r="589" spans="1:61" ht="23.45" hidden="1" customHeight="1">
      <c r="A589" s="928"/>
      <c r="B589" s="484" t="s">
        <v>495</v>
      </c>
      <c r="C589" s="484"/>
      <c r="D589" s="484"/>
      <c r="E589" s="484"/>
      <c r="F589" s="484"/>
      <c r="G589" s="81">
        <f t="shared" si="175"/>
        <v>0</v>
      </c>
      <c r="H589" s="81"/>
      <c r="I589" s="81"/>
      <c r="J589" s="81"/>
      <c r="K589" s="81"/>
      <c r="L589" s="81"/>
      <c r="M589" s="580"/>
      <c r="N589" s="484"/>
      <c r="O589" s="944"/>
    </row>
    <row r="590" spans="1:61" ht="24.95" customHeight="1">
      <c r="A590" s="945" t="s">
        <v>100</v>
      </c>
      <c r="B590" s="57" t="s">
        <v>721</v>
      </c>
      <c r="C590" s="57"/>
      <c r="D590" s="57"/>
      <c r="E590" s="57"/>
      <c r="F590" s="57"/>
      <c r="G590" s="80">
        <f>G594+G596+G598</f>
        <v>2</v>
      </c>
      <c r="H590" s="80">
        <f t="shared" ref="H590:K590" si="176">H594+H596+H598</f>
        <v>0</v>
      </c>
      <c r="I590" s="80">
        <f t="shared" si="176"/>
        <v>0</v>
      </c>
      <c r="J590" s="80">
        <f t="shared" si="176"/>
        <v>0</v>
      </c>
      <c r="K590" s="80">
        <f t="shared" si="176"/>
        <v>2</v>
      </c>
      <c r="L590" s="80">
        <f t="shared" ref="L590:M590" si="177">L594+L596+L598</f>
        <v>0</v>
      </c>
      <c r="M590" s="439">
        <f t="shared" si="177"/>
        <v>1</v>
      </c>
      <c r="N590" s="484"/>
      <c r="O590" s="57"/>
    </row>
    <row r="591" spans="1:61" ht="24.95" customHeight="1">
      <c r="A591" s="945"/>
      <c r="B591" s="57" t="s">
        <v>439</v>
      </c>
      <c r="C591" s="57"/>
      <c r="D591" s="57"/>
      <c r="E591" s="57"/>
      <c r="F591" s="57"/>
      <c r="G591" s="80">
        <f>K591</f>
        <v>194588.7</v>
      </c>
      <c r="H591" s="80"/>
      <c r="I591" s="80"/>
      <c r="J591" s="80"/>
      <c r="K591" s="80">
        <f>K592+K593</f>
        <v>194588.7</v>
      </c>
      <c r="L591" s="80">
        <f t="shared" ref="L591:M591" si="178">L592+L593</f>
        <v>0</v>
      </c>
      <c r="M591" s="80">
        <f t="shared" si="178"/>
        <v>185000</v>
      </c>
      <c r="N591" s="484"/>
      <c r="O591" s="57"/>
    </row>
    <row r="592" spans="1:61" ht="24.95" customHeight="1">
      <c r="A592" s="945"/>
      <c r="B592" s="57" t="s">
        <v>247</v>
      </c>
      <c r="C592" s="57"/>
      <c r="D592" s="57"/>
      <c r="E592" s="57"/>
      <c r="F592" s="57"/>
      <c r="G592" s="80">
        <f>G595+G597+G600</f>
        <v>194588.7</v>
      </c>
      <c r="H592" s="80">
        <f t="shared" ref="H592:M592" si="179">H595+H597+H600</f>
        <v>0</v>
      </c>
      <c r="I592" s="80">
        <f t="shared" si="179"/>
        <v>0</v>
      </c>
      <c r="J592" s="80">
        <f t="shared" si="179"/>
        <v>0</v>
      </c>
      <c r="K592" s="80">
        <f t="shared" si="179"/>
        <v>194588.7</v>
      </c>
      <c r="L592" s="80">
        <f t="shared" si="179"/>
        <v>0</v>
      </c>
      <c r="M592" s="80">
        <f t="shared" si="179"/>
        <v>185000</v>
      </c>
      <c r="N592" s="484"/>
      <c r="O592" s="57"/>
    </row>
    <row r="593" spans="1:61" ht="29.25" customHeight="1">
      <c r="A593" s="945"/>
      <c r="B593" s="57" t="s">
        <v>495</v>
      </c>
      <c r="C593" s="57"/>
      <c r="D593" s="57"/>
      <c r="E593" s="57"/>
      <c r="F593" s="57"/>
      <c r="G593" s="80">
        <f t="shared" ref="G593" si="180">K593</f>
        <v>0</v>
      </c>
      <c r="H593" s="80">
        <f t="shared" ref="H593:J593" si="181">H595+H601+H605</f>
        <v>0</v>
      </c>
      <c r="I593" s="80">
        <f t="shared" si="181"/>
        <v>0</v>
      </c>
      <c r="J593" s="80">
        <f t="shared" si="181"/>
        <v>0</v>
      </c>
      <c r="K593" s="80">
        <f>K601+K605</f>
        <v>0</v>
      </c>
      <c r="L593" s="80">
        <f>L601+L605</f>
        <v>0</v>
      </c>
      <c r="M593" s="439">
        <f>M595+M601</f>
        <v>0</v>
      </c>
      <c r="N593" s="484"/>
      <c r="O593" s="57"/>
      <c r="V593" s="43">
        <v>121.8</v>
      </c>
    </row>
    <row r="594" spans="1:61" ht="29.25" customHeight="1">
      <c r="A594" s="932" t="s">
        <v>1094</v>
      </c>
      <c r="B594" s="484" t="s">
        <v>89</v>
      </c>
      <c r="C594" s="484">
        <v>176</v>
      </c>
      <c r="D594" s="484" t="s">
        <v>15</v>
      </c>
      <c r="E594" s="484">
        <v>6100404</v>
      </c>
      <c r="F594" s="484">
        <v>243</v>
      </c>
      <c r="G594" s="81">
        <f>K594</f>
        <v>1</v>
      </c>
      <c r="H594" s="81"/>
      <c r="I594" s="81"/>
      <c r="J594" s="81"/>
      <c r="K594" s="81">
        <v>1</v>
      </c>
      <c r="L594" s="81"/>
      <c r="M594" s="580"/>
      <c r="N594" s="484"/>
      <c r="O594" s="944" t="s">
        <v>224</v>
      </c>
    </row>
    <row r="595" spans="1:61" ht="29.25" customHeight="1">
      <c r="A595" s="932"/>
      <c r="B595" s="484" t="s">
        <v>246</v>
      </c>
      <c r="C595" s="484"/>
      <c r="D595" s="484"/>
      <c r="E595" s="484"/>
      <c r="F595" s="484"/>
      <c r="G595" s="81">
        <f>K595</f>
        <v>16000</v>
      </c>
      <c r="H595" s="81"/>
      <c r="I595" s="81"/>
      <c r="J595" s="81"/>
      <c r="K595" s="81">
        <v>16000</v>
      </c>
      <c r="L595" s="81">
        <f>15882.9-15882.9</f>
        <v>0</v>
      </c>
      <c r="M595" s="580"/>
      <c r="N595" s="484"/>
      <c r="O595" s="944"/>
    </row>
    <row r="596" spans="1:61" ht="29.25" customHeight="1">
      <c r="A596" s="926" t="s">
        <v>916</v>
      </c>
      <c r="B596" s="484" t="s">
        <v>721</v>
      </c>
      <c r="C596" s="484"/>
      <c r="D596" s="484"/>
      <c r="E596" s="484"/>
      <c r="F596" s="484"/>
      <c r="G596" s="81">
        <f t="shared" ref="G596:G600" si="182">K596</f>
        <v>1</v>
      </c>
      <c r="H596" s="81"/>
      <c r="I596" s="81"/>
      <c r="J596" s="81"/>
      <c r="K596" s="81">
        <v>1</v>
      </c>
      <c r="L596" s="81"/>
      <c r="M596" s="580">
        <v>1</v>
      </c>
      <c r="N596" s="484"/>
      <c r="O596" s="944" t="s">
        <v>926</v>
      </c>
    </row>
    <row r="597" spans="1:61" ht="29.25" customHeight="1">
      <c r="A597" s="928"/>
      <c r="B597" s="484" t="s">
        <v>246</v>
      </c>
      <c r="C597" s="484"/>
      <c r="D597" s="484"/>
      <c r="E597" s="484"/>
      <c r="F597" s="484"/>
      <c r="G597" s="81">
        <f t="shared" si="182"/>
        <v>159400</v>
      </c>
      <c r="H597" s="81"/>
      <c r="I597" s="81"/>
      <c r="J597" s="81"/>
      <c r="K597" s="81">
        <v>159400</v>
      </c>
      <c r="L597" s="81"/>
      <c r="M597" s="580">
        <f>200000-15000</f>
        <v>185000</v>
      </c>
      <c r="N597" s="484"/>
      <c r="O597" s="944"/>
    </row>
    <row r="598" spans="1:61" ht="29.25" customHeight="1">
      <c r="A598" s="932" t="s">
        <v>1095</v>
      </c>
      <c r="B598" s="484" t="s">
        <v>721</v>
      </c>
      <c r="C598" s="484">
        <v>176</v>
      </c>
      <c r="D598" s="484" t="s">
        <v>15</v>
      </c>
      <c r="E598" s="484">
        <v>6100404</v>
      </c>
      <c r="F598" s="484">
        <v>243</v>
      </c>
      <c r="G598" s="81">
        <f t="shared" si="182"/>
        <v>0</v>
      </c>
      <c r="H598" s="81"/>
      <c r="I598" s="81"/>
      <c r="J598" s="81"/>
      <c r="K598" s="81"/>
      <c r="L598" s="81"/>
      <c r="M598" s="580"/>
      <c r="N598" s="484"/>
      <c r="O598" s="944" t="s">
        <v>822</v>
      </c>
    </row>
    <row r="599" spans="1:61" ht="29.25" hidden="1" customHeight="1">
      <c r="A599" s="932"/>
      <c r="B599" s="484" t="s">
        <v>439</v>
      </c>
      <c r="C599" s="484"/>
      <c r="D599" s="484"/>
      <c r="E599" s="484"/>
      <c r="F599" s="484"/>
      <c r="G599" s="81">
        <f t="shared" si="182"/>
        <v>19188.7</v>
      </c>
      <c r="H599" s="81"/>
      <c r="I599" s="81"/>
      <c r="J599" s="81"/>
      <c r="K599" s="81">
        <f>K600+K601</f>
        <v>19188.7</v>
      </c>
      <c r="L599" s="81">
        <f>L600+L601</f>
        <v>0</v>
      </c>
      <c r="M599" s="580"/>
      <c r="N599" s="484"/>
      <c r="O599" s="944"/>
    </row>
    <row r="600" spans="1:61" ht="24.6" customHeight="1">
      <c r="A600" s="932"/>
      <c r="B600" s="484" t="s">
        <v>246</v>
      </c>
      <c r="C600" s="484"/>
      <c r="D600" s="484"/>
      <c r="E600" s="484"/>
      <c r="F600" s="484"/>
      <c r="G600" s="81">
        <f t="shared" si="182"/>
        <v>19188.7</v>
      </c>
      <c r="H600" s="81"/>
      <c r="I600" s="81"/>
      <c r="J600" s="81"/>
      <c r="K600" s="81">
        <v>19188.7</v>
      </c>
      <c r="L600" s="81"/>
      <c r="M600" s="580"/>
      <c r="N600" s="484"/>
      <c r="O600" s="944"/>
    </row>
    <row r="601" spans="1:61" s="44" customFormat="1" ht="21.75" customHeight="1">
      <c r="A601" s="932"/>
      <c r="B601" s="484" t="s">
        <v>495</v>
      </c>
      <c r="C601" s="484"/>
      <c r="D601" s="484"/>
      <c r="E601" s="484"/>
      <c r="F601" s="484"/>
      <c r="G601" s="81">
        <f t="shared" ref="G601" si="183">K601</f>
        <v>0</v>
      </c>
      <c r="H601" s="81"/>
      <c r="I601" s="81"/>
      <c r="J601" s="81"/>
      <c r="K601" s="81"/>
      <c r="L601" s="81"/>
      <c r="M601" s="580"/>
      <c r="N601" s="484"/>
      <c r="O601" s="944"/>
      <c r="AJ601" s="91"/>
      <c r="AK601" s="91"/>
      <c r="AL601" s="91"/>
      <c r="AM601" s="91"/>
      <c r="AN601" s="91"/>
      <c r="AO601" s="91"/>
      <c r="AP601" s="91"/>
      <c r="AQ601" s="91"/>
      <c r="AR601" s="91"/>
      <c r="AS601" s="91"/>
      <c r="AT601" s="91"/>
      <c r="AU601" s="91"/>
      <c r="AV601" s="91"/>
      <c r="AW601" s="91"/>
      <c r="AX601" s="91"/>
      <c r="AY601" s="91"/>
      <c r="AZ601" s="91"/>
      <c r="BA601" s="91"/>
      <c r="BB601" s="91"/>
      <c r="BC601" s="91"/>
      <c r="BD601" s="91"/>
      <c r="BE601" s="91"/>
      <c r="BF601" s="91"/>
      <c r="BG601" s="91"/>
      <c r="BH601" s="91"/>
      <c r="BI601" s="91"/>
    </row>
    <row r="602" spans="1:61" s="44" customFormat="1" ht="24.6" hidden="1" customHeight="1">
      <c r="A602" s="926" t="s">
        <v>477</v>
      </c>
      <c r="B602" s="484" t="s">
        <v>721</v>
      </c>
      <c r="C602" s="484">
        <v>176</v>
      </c>
      <c r="D602" s="484" t="s">
        <v>15</v>
      </c>
      <c r="E602" s="484">
        <v>6100404</v>
      </c>
      <c r="F602" s="484">
        <v>243</v>
      </c>
      <c r="G602" s="81">
        <f>K602</f>
        <v>0</v>
      </c>
      <c r="H602" s="81"/>
      <c r="I602" s="81"/>
      <c r="J602" s="81"/>
      <c r="K602" s="81"/>
      <c r="L602" s="81"/>
      <c r="M602" s="580"/>
      <c r="N602" s="484"/>
      <c r="O602" s="944" t="s">
        <v>726</v>
      </c>
      <c r="AJ602" s="91"/>
      <c r="AK602" s="91"/>
      <c r="AL602" s="91"/>
      <c r="AM602" s="91"/>
      <c r="AN602" s="91"/>
      <c r="AO602" s="91"/>
      <c r="AP602" s="91"/>
      <c r="AQ602" s="91"/>
      <c r="AR602" s="91"/>
      <c r="AS602" s="91"/>
      <c r="AT602" s="91"/>
      <c r="AU602" s="91"/>
      <c r="AV602" s="91"/>
      <c r="AW602" s="91"/>
      <c r="AX602" s="91"/>
      <c r="AY602" s="91"/>
      <c r="AZ602" s="91"/>
      <c r="BA602" s="91"/>
      <c r="BB602" s="91"/>
      <c r="BC602" s="91"/>
      <c r="BD602" s="91"/>
      <c r="BE602" s="91"/>
      <c r="BF602" s="91"/>
      <c r="BG602" s="91"/>
      <c r="BH602" s="91"/>
      <c r="BI602" s="91"/>
    </row>
    <row r="603" spans="1:61" s="44" customFormat="1" ht="24.6" hidden="1" customHeight="1">
      <c r="A603" s="927"/>
      <c r="B603" s="484" t="s">
        <v>439</v>
      </c>
      <c r="C603" s="484"/>
      <c r="D603" s="484"/>
      <c r="E603" s="484"/>
      <c r="F603" s="484"/>
      <c r="G603" s="81">
        <f t="shared" ref="G603:G605" si="184">K603</f>
        <v>0</v>
      </c>
      <c r="H603" s="81"/>
      <c r="I603" s="81"/>
      <c r="J603" s="81"/>
      <c r="K603" s="81">
        <f>K604+K605</f>
        <v>0</v>
      </c>
      <c r="L603" s="81"/>
      <c r="M603" s="580"/>
      <c r="N603" s="484"/>
      <c r="O603" s="944"/>
      <c r="AJ603" s="91"/>
      <c r="AK603" s="91"/>
      <c r="AL603" s="91"/>
      <c r="AM603" s="91"/>
      <c r="AN603" s="91"/>
      <c r="AO603" s="91"/>
      <c r="AP603" s="91"/>
      <c r="AQ603" s="91"/>
      <c r="AR603" s="91"/>
      <c r="AS603" s="91"/>
      <c r="AT603" s="91"/>
      <c r="AU603" s="91"/>
      <c r="AV603" s="91"/>
      <c r="AW603" s="91"/>
      <c r="AX603" s="91"/>
      <c r="AY603" s="91"/>
      <c r="AZ603" s="91"/>
      <c r="BA603" s="91"/>
      <c r="BB603" s="91"/>
      <c r="BC603" s="91"/>
      <c r="BD603" s="91"/>
      <c r="BE603" s="91"/>
      <c r="BF603" s="91"/>
      <c r="BG603" s="91"/>
      <c r="BH603" s="91"/>
      <c r="BI603" s="91"/>
    </row>
    <row r="604" spans="1:61" s="44" customFormat="1" ht="24.6" hidden="1" customHeight="1">
      <c r="A604" s="927"/>
      <c r="B604" s="484" t="s">
        <v>247</v>
      </c>
      <c r="C604" s="484"/>
      <c r="D604" s="484"/>
      <c r="E604" s="484"/>
      <c r="F604" s="484"/>
      <c r="G604" s="81">
        <f t="shared" si="184"/>
        <v>0</v>
      </c>
      <c r="H604" s="81"/>
      <c r="I604" s="81"/>
      <c r="J604" s="81"/>
      <c r="K604" s="81"/>
      <c r="L604" s="81"/>
      <c r="M604" s="580"/>
      <c r="N604" s="484"/>
      <c r="O604" s="944"/>
      <c r="AJ604" s="91"/>
      <c r="AK604" s="91"/>
      <c r="AL604" s="91"/>
      <c r="AM604" s="91"/>
      <c r="AN604" s="91"/>
      <c r="AO604" s="91"/>
      <c r="AP604" s="91"/>
      <c r="AQ604" s="91"/>
      <c r="AR604" s="91"/>
      <c r="AS604" s="91"/>
      <c r="AT604" s="91"/>
      <c r="AU604" s="91"/>
      <c r="AV604" s="91"/>
      <c r="AW604" s="91"/>
      <c r="AX604" s="91"/>
      <c r="AY604" s="91"/>
      <c r="AZ604" s="91"/>
      <c r="BA604" s="91"/>
      <c r="BB604" s="91"/>
      <c r="BC604" s="91"/>
      <c r="BD604" s="91"/>
      <c r="BE604" s="91"/>
      <c r="BF604" s="91"/>
      <c r="BG604" s="91"/>
      <c r="BH604" s="91"/>
      <c r="BI604" s="91"/>
    </row>
    <row r="605" spans="1:61" s="44" customFormat="1" ht="24.6" hidden="1" customHeight="1">
      <c r="A605" s="928"/>
      <c r="B605" s="484" t="s">
        <v>495</v>
      </c>
      <c r="C605" s="484"/>
      <c r="D605" s="484"/>
      <c r="E605" s="484"/>
      <c r="F605" s="484"/>
      <c r="G605" s="81">
        <f t="shared" si="184"/>
        <v>0</v>
      </c>
      <c r="H605" s="81"/>
      <c r="I605" s="81"/>
      <c r="J605" s="81"/>
      <c r="K605" s="81"/>
      <c r="L605" s="81"/>
      <c r="M605" s="580"/>
      <c r="N605" s="484"/>
      <c r="O605" s="944"/>
      <c r="AJ605" s="91"/>
      <c r="AK605" s="91"/>
      <c r="AL605" s="91"/>
      <c r="AM605" s="91"/>
      <c r="AN605" s="91"/>
      <c r="AO605" s="91"/>
      <c r="AP605" s="91"/>
      <c r="AQ605" s="91"/>
      <c r="AR605" s="91"/>
      <c r="AS605" s="91"/>
      <c r="AT605" s="91"/>
      <c r="AU605" s="91"/>
      <c r="AV605" s="91"/>
      <c r="AW605" s="91"/>
      <c r="AX605" s="91"/>
      <c r="AY605" s="91"/>
      <c r="AZ605" s="91"/>
      <c r="BA605" s="91"/>
      <c r="BB605" s="91"/>
      <c r="BC605" s="91"/>
      <c r="BD605" s="91"/>
      <c r="BE605" s="91"/>
      <c r="BF605" s="91"/>
      <c r="BG605" s="91"/>
      <c r="BH605" s="91"/>
      <c r="BI605" s="91"/>
    </row>
    <row r="606" spans="1:61" s="44" customFormat="1" ht="22.15" customHeight="1">
      <c r="A606" s="1019" t="s">
        <v>119</v>
      </c>
      <c r="B606" s="57" t="s">
        <v>89</v>
      </c>
      <c r="C606" s="57"/>
      <c r="D606" s="57"/>
      <c r="E606" s="57"/>
      <c r="F606" s="57"/>
      <c r="G606" s="80">
        <f>G610</f>
        <v>0</v>
      </c>
      <c r="H606" s="80">
        <f t="shared" ref="H606:K606" si="185">H610+H618+H616</f>
        <v>0</v>
      </c>
      <c r="I606" s="80">
        <f t="shared" si="185"/>
        <v>0</v>
      </c>
      <c r="J606" s="80">
        <f t="shared" si="185"/>
        <v>0</v>
      </c>
      <c r="K606" s="80">
        <f t="shared" si="185"/>
        <v>0</v>
      </c>
      <c r="L606" s="80">
        <f t="shared" ref="L606" si="186">L610+L618</f>
        <v>1</v>
      </c>
      <c r="M606" s="439"/>
      <c r="N606" s="484"/>
      <c r="O606" s="57"/>
      <c r="AJ606" s="91"/>
      <c r="AK606" s="91"/>
      <c r="AL606" s="91"/>
      <c r="AM606" s="91"/>
      <c r="AN606" s="91"/>
      <c r="AO606" s="91"/>
      <c r="AP606" s="91"/>
      <c r="AQ606" s="91"/>
      <c r="AR606" s="91"/>
      <c r="AS606" s="91"/>
      <c r="AT606" s="91"/>
      <c r="AU606" s="91"/>
      <c r="AV606" s="91"/>
      <c r="AW606" s="91"/>
      <c r="AX606" s="91"/>
      <c r="AY606" s="91"/>
      <c r="AZ606" s="91"/>
      <c r="BA606" s="91"/>
      <c r="BB606" s="91"/>
      <c r="BC606" s="91"/>
      <c r="BD606" s="91"/>
      <c r="BE606" s="91"/>
      <c r="BF606" s="91"/>
      <c r="BG606" s="91"/>
      <c r="BH606" s="91"/>
      <c r="BI606" s="91"/>
    </row>
    <row r="607" spans="1:61" ht="24.6" customHeight="1">
      <c r="A607" s="1019"/>
      <c r="B607" s="57" t="s">
        <v>246</v>
      </c>
      <c r="C607" s="57"/>
      <c r="D607" s="57"/>
      <c r="E607" s="57"/>
      <c r="F607" s="57"/>
      <c r="G607" s="80">
        <f t="shared" ref="G607:L607" si="187">G608+G609</f>
        <v>40000</v>
      </c>
      <c r="H607" s="80">
        <f t="shared" si="187"/>
        <v>0</v>
      </c>
      <c r="I607" s="80">
        <f t="shared" si="187"/>
        <v>0</v>
      </c>
      <c r="J607" s="80">
        <f t="shared" si="187"/>
        <v>0</v>
      </c>
      <c r="K607" s="80">
        <f t="shared" si="187"/>
        <v>40000</v>
      </c>
      <c r="L607" s="80">
        <f t="shared" si="187"/>
        <v>41200</v>
      </c>
      <c r="M607" s="439"/>
      <c r="N607" s="484"/>
      <c r="O607" s="57"/>
    </row>
    <row r="608" spans="1:61" ht="24.6" customHeight="1">
      <c r="A608" s="1019"/>
      <c r="B608" s="57" t="s">
        <v>247</v>
      </c>
      <c r="C608" s="57"/>
      <c r="D608" s="57"/>
      <c r="E608" s="57"/>
      <c r="F608" s="57"/>
      <c r="G608" s="80">
        <f>G612+G619+G617</f>
        <v>40000</v>
      </c>
      <c r="H608" s="80">
        <f t="shared" ref="H608:K608" si="188">H612+H619+H617</f>
        <v>0</v>
      </c>
      <c r="I608" s="80">
        <f t="shared" si="188"/>
        <v>0</v>
      </c>
      <c r="J608" s="80">
        <f t="shared" si="188"/>
        <v>0</v>
      </c>
      <c r="K608" s="80">
        <f t="shared" si="188"/>
        <v>40000</v>
      </c>
      <c r="L608" s="80">
        <f t="shared" ref="L608" si="189">L612+L619</f>
        <v>41200</v>
      </c>
      <c r="M608" s="439"/>
      <c r="N608" s="484"/>
      <c r="O608" s="57"/>
    </row>
    <row r="609" spans="1:61" ht="24" customHeight="1">
      <c r="A609" s="1019"/>
      <c r="B609" s="57" t="s">
        <v>248</v>
      </c>
      <c r="C609" s="57"/>
      <c r="D609" s="57"/>
      <c r="E609" s="57"/>
      <c r="F609" s="57"/>
      <c r="G609" s="80">
        <f t="shared" ref="G609:L609" si="190">G613</f>
        <v>0</v>
      </c>
      <c r="H609" s="80"/>
      <c r="I609" s="80"/>
      <c r="J609" s="80"/>
      <c r="K609" s="80"/>
      <c r="L609" s="80">
        <f t="shared" si="190"/>
        <v>0</v>
      </c>
      <c r="M609" s="439"/>
      <c r="N609" s="484"/>
      <c r="O609" s="57"/>
    </row>
    <row r="610" spans="1:61" ht="24.6" customHeight="1">
      <c r="A610" s="932" t="s">
        <v>960</v>
      </c>
      <c r="B610" s="484" t="s">
        <v>89</v>
      </c>
      <c r="C610" s="484">
        <v>176</v>
      </c>
      <c r="D610" s="484" t="s">
        <v>15</v>
      </c>
      <c r="E610" s="484">
        <v>6100404</v>
      </c>
      <c r="F610" s="484">
        <v>243</v>
      </c>
      <c r="G610" s="81">
        <f>K610</f>
        <v>0</v>
      </c>
      <c r="H610" s="81"/>
      <c r="I610" s="81"/>
      <c r="J610" s="81"/>
      <c r="K610" s="81"/>
      <c r="L610" s="81">
        <v>1</v>
      </c>
      <c r="M610" s="580"/>
      <c r="N610" s="484"/>
      <c r="O610" s="944" t="s">
        <v>1076</v>
      </c>
    </row>
    <row r="611" spans="1:61" ht="24.6" customHeight="1">
      <c r="A611" s="932"/>
      <c r="B611" s="484" t="s">
        <v>235</v>
      </c>
      <c r="C611" s="484"/>
      <c r="D611" s="484"/>
      <c r="E611" s="484"/>
      <c r="F611" s="484"/>
      <c r="G611" s="81">
        <f>G612</f>
        <v>40000</v>
      </c>
      <c r="H611" s="81"/>
      <c r="I611" s="81"/>
      <c r="J611" s="81"/>
      <c r="K611" s="81">
        <v>40000</v>
      </c>
      <c r="L611" s="81">
        <f t="shared" ref="L611" si="191">L612+L613</f>
        <v>41200</v>
      </c>
      <c r="M611" s="580"/>
      <c r="N611" s="484"/>
      <c r="O611" s="944"/>
    </row>
    <row r="612" spans="1:61" ht="24.6" customHeight="1">
      <c r="A612" s="932"/>
      <c r="B612" s="484" t="s">
        <v>247</v>
      </c>
      <c r="C612" s="484"/>
      <c r="D612" s="484"/>
      <c r="E612" s="484"/>
      <c r="F612" s="484"/>
      <c r="G612" s="81">
        <f>K612</f>
        <v>40000</v>
      </c>
      <c r="H612" s="81"/>
      <c r="I612" s="81"/>
      <c r="J612" s="81"/>
      <c r="K612" s="81">
        <v>40000</v>
      </c>
      <c r="L612" s="81">
        <v>41200</v>
      </c>
      <c r="M612" s="580"/>
      <c r="N612" s="484"/>
      <c r="O612" s="944"/>
    </row>
    <row r="613" spans="1:61" ht="24" customHeight="1">
      <c r="A613" s="932"/>
      <c r="B613" s="484" t="s">
        <v>248</v>
      </c>
      <c r="C613" s="484"/>
      <c r="D613" s="484"/>
      <c r="E613" s="484"/>
      <c r="F613" s="484"/>
      <c r="G613" s="81"/>
      <c r="H613" s="81"/>
      <c r="I613" s="81"/>
      <c r="J613" s="81"/>
      <c r="K613" s="81"/>
      <c r="L613" s="81"/>
      <c r="M613" s="580"/>
      <c r="N613" s="484"/>
      <c r="O613" s="944"/>
    </row>
    <row r="614" spans="1:61" ht="24.6" hidden="1" customHeight="1">
      <c r="A614" s="1018" t="s">
        <v>120</v>
      </c>
      <c r="B614" s="484" t="s">
        <v>89</v>
      </c>
      <c r="C614" s="484">
        <v>176</v>
      </c>
      <c r="D614" s="484" t="s">
        <v>15</v>
      </c>
      <c r="E614" s="484">
        <v>6100404</v>
      </c>
      <c r="F614" s="484">
        <v>243</v>
      </c>
      <c r="G614" s="81"/>
      <c r="H614" s="81"/>
      <c r="I614" s="81"/>
      <c r="J614" s="81"/>
      <c r="K614" s="81"/>
      <c r="L614" s="81"/>
      <c r="M614" s="580"/>
      <c r="N614" s="484"/>
      <c r="O614" s="944" t="s">
        <v>37</v>
      </c>
    </row>
    <row r="615" spans="1:61" ht="24.6" hidden="1" customHeight="1">
      <c r="A615" s="1018"/>
      <c r="B615" s="484" t="s">
        <v>246</v>
      </c>
      <c r="C615" s="484"/>
      <c r="D615" s="484"/>
      <c r="E615" s="484"/>
      <c r="F615" s="484"/>
      <c r="G615" s="81"/>
      <c r="H615" s="81"/>
      <c r="I615" s="81"/>
      <c r="J615" s="81"/>
      <c r="K615" s="81"/>
      <c r="L615" s="81"/>
      <c r="M615" s="580"/>
      <c r="N615" s="484"/>
      <c r="O615" s="944"/>
    </row>
    <row r="616" spans="1:61" ht="23.45" hidden="1" customHeight="1">
      <c r="A616" s="1018" t="s">
        <v>316</v>
      </c>
      <c r="B616" s="484" t="s">
        <v>89</v>
      </c>
      <c r="C616" s="484">
        <v>176</v>
      </c>
      <c r="D616" s="484" t="s">
        <v>15</v>
      </c>
      <c r="E616" s="484">
        <v>6100404</v>
      </c>
      <c r="F616" s="484">
        <v>243</v>
      </c>
      <c r="G616" s="81">
        <f>J616</f>
        <v>0</v>
      </c>
      <c r="H616" s="81"/>
      <c r="I616" s="81"/>
      <c r="J616" s="81"/>
      <c r="K616" s="81"/>
      <c r="L616" s="81"/>
      <c r="M616" s="580"/>
      <c r="N616" s="484"/>
      <c r="O616" s="944" t="s">
        <v>279</v>
      </c>
    </row>
    <row r="617" spans="1:61" s="44" customFormat="1" ht="24.6" hidden="1" customHeight="1">
      <c r="A617" s="1018"/>
      <c r="B617" s="484" t="s">
        <v>246</v>
      </c>
      <c r="C617" s="484"/>
      <c r="D617" s="484"/>
      <c r="E617" s="484"/>
      <c r="F617" s="484"/>
      <c r="G617" s="81">
        <f>J617</f>
        <v>0</v>
      </c>
      <c r="H617" s="81"/>
      <c r="I617" s="81"/>
      <c r="J617" s="81"/>
      <c r="K617" s="81"/>
      <c r="L617" s="81"/>
      <c r="M617" s="580"/>
      <c r="N617" s="484"/>
      <c r="O617" s="944"/>
      <c r="AJ617" s="91"/>
      <c r="AK617" s="91"/>
      <c r="AL617" s="91"/>
      <c r="AM617" s="91"/>
      <c r="AN617" s="91"/>
      <c r="AO617" s="91"/>
      <c r="AP617" s="91"/>
      <c r="AQ617" s="91"/>
      <c r="AR617" s="91"/>
      <c r="AS617" s="91"/>
      <c r="AT617" s="91"/>
      <c r="AU617" s="91"/>
      <c r="AV617" s="91"/>
      <c r="AW617" s="91"/>
      <c r="AX617" s="91"/>
      <c r="AY617" s="91"/>
      <c r="AZ617" s="91"/>
      <c r="BA617" s="91"/>
      <c r="BB617" s="91"/>
      <c r="BC617" s="91"/>
      <c r="BD617" s="91"/>
      <c r="BE617" s="91"/>
      <c r="BF617" s="91"/>
      <c r="BG617" s="91"/>
      <c r="BH617" s="91"/>
      <c r="BI617" s="91"/>
    </row>
    <row r="618" spans="1:61" s="44" customFormat="1" ht="24.6" hidden="1" customHeight="1">
      <c r="A618" s="1018" t="s">
        <v>111</v>
      </c>
      <c r="B618" s="484" t="s">
        <v>89</v>
      </c>
      <c r="C618" s="484">
        <v>176</v>
      </c>
      <c r="D618" s="484" t="s">
        <v>15</v>
      </c>
      <c r="E618" s="484">
        <v>6100404</v>
      </c>
      <c r="F618" s="484">
        <v>243</v>
      </c>
      <c r="G618" s="81"/>
      <c r="H618" s="81"/>
      <c r="I618" s="81"/>
      <c r="J618" s="81"/>
      <c r="K618" s="81"/>
      <c r="L618" s="81"/>
      <c r="M618" s="580"/>
      <c r="N618" s="484"/>
      <c r="O618" s="944" t="s">
        <v>111</v>
      </c>
      <c r="AJ618" s="91"/>
      <c r="AK618" s="91"/>
      <c r="AL618" s="91"/>
      <c r="AM618" s="91"/>
      <c r="AN618" s="91"/>
      <c r="AO618" s="91"/>
      <c r="AP618" s="91"/>
      <c r="AQ618" s="91"/>
      <c r="AR618" s="91"/>
      <c r="AS618" s="91"/>
      <c r="AT618" s="91"/>
      <c r="AU618" s="91"/>
      <c r="AV618" s="91"/>
      <c r="AW618" s="91"/>
      <c r="AX618" s="91"/>
      <c r="AY618" s="91"/>
      <c r="AZ618" s="91"/>
      <c r="BA618" s="91"/>
      <c r="BB618" s="91"/>
      <c r="BC618" s="91"/>
      <c r="BD618" s="91"/>
      <c r="BE618" s="91"/>
      <c r="BF618" s="91"/>
      <c r="BG618" s="91"/>
      <c r="BH618" s="91"/>
      <c r="BI618" s="91"/>
    </row>
    <row r="619" spans="1:61" ht="24.6" hidden="1" customHeight="1">
      <c r="A619" s="1018"/>
      <c r="B619" s="484" t="s">
        <v>246</v>
      </c>
      <c r="C619" s="484"/>
      <c r="D619" s="484"/>
      <c r="E619" s="484"/>
      <c r="F619" s="484"/>
      <c r="G619" s="81"/>
      <c r="H619" s="81"/>
      <c r="I619" s="81"/>
      <c r="J619" s="81"/>
      <c r="K619" s="81"/>
      <c r="L619" s="81"/>
      <c r="M619" s="580"/>
      <c r="N619" s="484"/>
      <c r="O619" s="944"/>
    </row>
    <row r="620" spans="1:61" ht="24.6" customHeight="1">
      <c r="A620" s="945" t="s">
        <v>124</v>
      </c>
      <c r="B620" s="57" t="s">
        <v>721</v>
      </c>
      <c r="C620" s="57"/>
      <c r="D620" s="57"/>
      <c r="E620" s="57"/>
      <c r="F620" s="57"/>
      <c r="G620" s="80">
        <f>G626+G630</f>
        <v>2</v>
      </c>
      <c r="H620" s="80">
        <f t="shared" ref="H620:K620" si="192">H626+H630</f>
        <v>0</v>
      </c>
      <c r="I620" s="80">
        <f t="shared" si="192"/>
        <v>0</v>
      </c>
      <c r="J620" s="80">
        <f t="shared" si="192"/>
        <v>0</v>
      </c>
      <c r="K620" s="80">
        <f t="shared" si="192"/>
        <v>2</v>
      </c>
      <c r="L620" s="80">
        <f t="shared" ref="L620:M620" si="193">L624+L626</f>
        <v>0</v>
      </c>
      <c r="M620" s="439">
        <f t="shared" si="193"/>
        <v>0</v>
      </c>
      <c r="N620" s="484"/>
      <c r="O620" s="57"/>
    </row>
    <row r="621" spans="1:61" ht="21" customHeight="1">
      <c r="A621" s="945"/>
      <c r="B621" s="57" t="s">
        <v>439</v>
      </c>
      <c r="C621" s="57"/>
      <c r="D621" s="57"/>
      <c r="E621" s="57"/>
      <c r="F621" s="57"/>
      <c r="G621" s="80">
        <f>G622</f>
        <v>26000</v>
      </c>
      <c r="H621" s="80">
        <f t="shared" ref="H621:K621" si="194">H622</f>
        <v>0</v>
      </c>
      <c r="I621" s="80">
        <f t="shared" si="194"/>
        <v>0</v>
      </c>
      <c r="J621" s="80">
        <f t="shared" si="194"/>
        <v>0</v>
      </c>
      <c r="K621" s="80">
        <f t="shared" si="194"/>
        <v>26000</v>
      </c>
      <c r="L621" s="80"/>
      <c r="M621" s="439"/>
      <c r="N621" s="484"/>
      <c r="O621" s="57"/>
    </row>
    <row r="622" spans="1:61" ht="20.25" customHeight="1">
      <c r="A622" s="945"/>
      <c r="B622" s="57" t="s">
        <v>247</v>
      </c>
      <c r="C622" s="57"/>
      <c r="D622" s="57"/>
      <c r="E622" s="57"/>
      <c r="F622" s="57"/>
      <c r="G622" s="80">
        <f t="shared" ref="G622:G623" si="195">K622</f>
        <v>26000</v>
      </c>
      <c r="H622" s="80"/>
      <c r="I622" s="80"/>
      <c r="J622" s="80">
        <f>J628</f>
        <v>0</v>
      </c>
      <c r="K622" s="80">
        <f>K628+K631</f>
        <v>26000</v>
      </c>
      <c r="L622" s="80"/>
      <c r="M622" s="439"/>
      <c r="N622" s="484"/>
      <c r="O622" s="57"/>
    </row>
    <row r="623" spans="1:61" ht="24.6" customHeight="1">
      <c r="A623" s="945"/>
      <c r="B623" s="57" t="s">
        <v>495</v>
      </c>
      <c r="C623" s="57"/>
      <c r="D623" s="57"/>
      <c r="E623" s="57"/>
      <c r="F623" s="57"/>
      <c r="G623" s="80">
        <f t="shared" si="195"/>
        <v>0</v>
      </c>
      <c r="H623" s="80">
        <f t="shared" ref="H623:M623" si="196">H625+H633+H629</f>
        <v>0</v>
      </c>
      <c r="I623" s="80">
        <f t="shared" si="196"/>
        <v>0</v>
      </c>
      <c r="J623" s="80">
        <f>J629</f>
        <v>0</v>
      </c>
      <c r="K623" s="80">
        <f t="shared" si="196"/>
        <v>0</v>
      </c>
      <c r="L623" s="80">
        <f t="shared" si="196"/>
        <v>0</v>
      </c>
      <c r="M623" s="439">
        <f t="shared" si="196"/>
        <v>0</v>
      </c>
      <c r="N623" s="484"/>
      <c r="O623" s="57"/>
    </row>
    <row r="624" spans="1:61" ht="22.9" hidden="1" customHeight="1">
      <c r="A624" s="932" t="s">
        <v>111</v>
      </c>
      <c r="B624" s="484" t="s">
        <v>89</v>
      </c>
      <c r="C624" s="484">
        <v>176</v>
      </c>
      <c r="D624" s="484" t="s">
        <v>15</v>
      </c>
      <c r="E624" s="484">
        <v>6100404</v>
      </c>
      <c r="F624" s="484">
        <v>243</v>
      </c>
      <c r="G624" s="81"/>
      <c r="H624" s="81"/>
      <c r="I624" s="81"/>
      <c r="J624" s="81"/>
      <c r="K624" s="81"/>
      <c r="L624" s="81"/>
      <c r="M624" s="580"/>
      <c r="N624" s="484"/>
      <c r="O624" s="944" t="s">
        <v>111</v>
      </c>
    </row>
    <row r="625" spans="1:61" ht="24.6" hidden="1" customHeight="1">
      <c r="A625" s="932"/>
      <c r="B625" s="484" t="s">
        <v>246</v>
      </c>
      <c r="C625" s="484"/>
      <c r="D625" s="484"/>
      <c r="E625" s="484"/>
      <c r="F625" s="484"/>
      <c r="G625" s="81">
        <f>J625</f>
        <v>0</v>
      </c>
      <c r="H625" s="81"/>
      <c r="I625" s="81"/>
      <c r="J625" s="81"/>
      <c r="K625" s="81"/>
      <c r="L625" s="81"/>
      <c r="M625" s="580"/>
      <c r="N625" s="484"/>
      <c r="O625" s="944"/>
    </row>
    <row r="626" spans="1:61" ht="20.25" customHeight="1">
      <c r="A626" s="926" t="s">
        <v>1096</v>
      </c>
      <c r="B626" s="484" t="s">
        <v>721</v>
      </c>
      <c r="C626" s="484">
        <v>176</v>
      </c>
      <c r="D626" s="484" t="s">
        <v>15</v>
      </c>
      <c r="E626" s="484">
        <v>6100404</v>
      </c>
      <c r="F626" s="484">
        <v>243</v>
      </c>
      <c r="G626" s="81">
        <f>K626</f>
        <v>1</v>
      </c>
      <c r="H626" s="81"/>
      <c r="I626" s="81"/>
      <c r="J626" s="81"/>
      <c r="K626" s="81">
        <v>1</v>
      </c>
      <c r="L626" s="270"/>
      <c r="M626" s="596"/>
      <c r="N626" s="484"/>
      <c r="O626" s="944" t="s">
        <v>920</v>
      </c>
    </row>
    <row r="627" spans="1:61" ht="21" customHeight="1">
      <c r="A627" s="927"/>
      <c r="B627" s="484" t="s">
        <v>439</v>
      </c>
      <c r="C627" s="484"/>
      <c r="D627" s="484"/>
      <c r="E627" s="484"/>
      <c r="F627" s="484"/>
      <c r="G627" s="81">
        <f t="shared" ref="G627:G631" si="197">K627</f>
        <v>10000</v>
      </c>
      <c r="H627" s="81"/>
      <c r="I627" s="81"/>
      <c r="J627" s="81">
        <f>J628+J629</f>
        <v>0</v>
      </c>
      <c r="K627" s="81">
        <f>K628</f>
        <v>10000</v>
      </c>
      <c r="L627" s="270"/>
      <c r="M627" s="596"/>
      <c r="N627" s="484"/>
      <c r="O627" s="944"/>
    </row>
    <row r="628" spans="1:61" ht="23.25" customHeight="1">
      <c r="A628" s="927"/>
      <c r="B628" s="484" t="s">
        <v>247</v>
      </c>
      <c r="C628" s="484"/>
      <c r="D628" s="484"/>
      <c r="E628" s="484"/>
      <c r="F628" s="484"/>
      <c r="G628" s="81">
        <f t="shared" si="197"/>
        <v>10000</v>
      </c>
      <c r="H628" s="81"/>
      <c r="I628" s="81"/>
      <c r="J628" s="81"/>
      <c r="K628" s="81">
        <v>10000</v>
      </c>
      <c r="L628" s="270"/>
      <c r="M628" s="596"/>
      <c r="N628" s="484"/>
      <c r="O628" s="944"/>
    </row>
    <row r="629" spans="1:61" ht="23.45" hidden="1" customHeight="1">
      <c r="A629" s="928"/>
      <c r="B629" s="484" t="s">
        <v>495</v>
      </c>
      <c r="C629" s="484"/>
      <c r="D629" s="484"/>
      <c r="E629" s="484"/>
      <c r="F629" s="484"/>
      <c r="G629" s="81">
        <f t="shared" si="197"/>
        <v>0</v>
      </c>
      <c r="H629" s="81"/>
      <c r="I629" s="81"/>
      <c r="J629" s="81"/>
      <c r="K629" s="81"/>
      <c r="L629" s="81"/>
      <c r="M629" s="580"/>
      <c r="N629" s="484"/>
      <c r="O629" s="944"/>
    </row>
    <row r="630" spans="1:61" ht="24.6" customHeight="1">
      <c r="A630" s="926" t="s">
        <v>180</v>
      </c>
      <c r="B630" s="484" t="s">
        <v>89</v>
      </c>
      <c r="C630" s="484">
        <v>176</v>
      </c>
      <c r="D630" s="484" t="s">
        <v>15</v>
      </c>
      <c r="E630" s="484">
        <v>6100404</v>
      </c>
      <c r="F630" s="484">
        <v>243</v>
      </c>
      <c r="G630" s="81">
        <f t="shared" si="197"/>
        <v>1</v>
      </c>
      <c r="H630" s="81"/>
      <c r="I630" s="81"/>
      <c r="J630" s="81"/>
      <c r="K630" s="81">
        <v>1</v>
      </c>
      <c r="L630" s="81"/>
      <c r="M630" s="580"/>
      <c r="N630" s="484"/>
      <c r="O630" s="933" t="s">
        <v>224</v>
      </c>
    </row>
    <row r="631" spans="1:61" ht="25.5" customHeight="1">
      <c r="A631" s="928"/>
      <c r="B631" s="484" t="s">
        <v>246</v>
      </c>
      <c r="C631" s="484"/>
      <c r="D631" s="484"/>
      <c r="E631" s="484"/>
      <c r="F631" s="484"/>
      <c r="G631" s="81">
        <f t="shared" si="197"/>
        <v>16000</v>
      </c>
      <c r="H631" s="81"/>
      <c r="I631" s="81"/>
      <c r="J631" s="81"/>
      <c r="K631" s="81">
        <v>16000</v>
      </c>
      <c r="L631" s="81"/>
      <c r="M631" s="580"/>
      <c r="N631" s="484"/>
      <c r="O631" s="934"/>
    </row>
    <row r="632" spans="1:61" ht="33.75" hidden="1" customHeight="1">
      <c r="A632" s="926" t="s">
        <v>183</v>
      </c>
      <c r="B632" s="484" t="s">
        <v>89</v>
      </c>
      <c r="C632" s="484">
        <v>176</v>
      </c>
      <c r="D632" s="484" t="s">
        <v>15</v>
      </c>
      <c r="E632" s="484">
        <v>6100404</v>
      </c>
      <c r="F632" s="484">
        <v>243</v>
      </c>
      <c r="G632" s="81">
        <v>0</v>
      </c>
      <c r="H632" s="81"/>
      <c r="I632" s="81"/>
      <c r="J632" s="81"/>
      <c r="K632" s="81"/>
      <c r="L632" s="81"/>
      <c r="M632" s="580"/>
      <c r="N632" s="484"/>
      <c r="O632" s="944" t="s">
        <v>229</v>
      </c>
    </row>
    <row r="633" spans="1:61" s="44" customFormat="1" ht="24.6" hidden="1" customHeight="1">
      <c r="A633" s="928"/>
      <c r="B633" s="484" t="s">
        <v>246</v>
      </c>
      <c r="C633" s="484"/>
      <c r="D633" s="484"/>
      <c r="E633" s="484"/>
      <c r="F633" s="484"/>
      <c r="G633" s="81"/>
      <c r="H633" s="81"/>
      <c r="I633" s="81"/>
      <c r="J633" s="81"/>
      <c r="K633" s="81"/>
      <c r="L633" s="81"/>
      <c r="M633" s="580"/>
      <c r="N633" s="484"/>
      <c r="O633" s="944"/>
      <c r="AJ633" s="91"/>
      <c r="AK633" s="91"/>
      <c r="AL633" s="91"/>
      <c r="AM633" s="91"/>
      <c r="AN633" s="91"/>
      <c r="AO633" s="91"/>
      <c r="AP633" s="91"/>
      <c r="AQ633" s="91"/>
      <c r="AR633" s="91"/>
      <c r="AS633" s="91"/>
      <c r="AT633" s="91"/>
      <c r="AU633" s="91"/>
      <c r="AV633" s="91"/>
      <c r="AW633" s="91"/>
      <c r="AX633" s="91"/>
      <c r="AY633" s="91"/>
      <c r="AZ633" s="91"/>
      <c r="BA633" s="91"/>
      <c r="BB633" s="91"/>
      <c r="BC633" s="91"/>
      <c r="BD633" s="91"/>
      <c r="BE633" s="91"/>
      <c r="BF633" s="91"/>
      <c r="BG633" s="91"/>
      <c r="BH633" s="91"/>
      <c r="BI633" s="91"/>
    </row>
    <row r="634" spans="1:61" s="44" customFormat="1" ht="24.6" hidden="1" customHeight="1">
      <c r="A634" s="926" t="s">
        <v>181</v>
      </c>
      <c r="B634" s="484" t="s">
        <v>89</v>
      </c>
      <c r="C634" s="484">
        <v>176</v>
      </c>
      <c r="D634" s="484" t="s">
        <v>15</v>
      </c>
      <c r="E634" s="484">
        <v>6100404</v>
      </c>
      <c r="F634" s="484">
        <v>243</v>
      </c>
      <c r="G634" s="81">
        <v>0</v>
      </c>
      <c r="H634" s="81"/>
      <c r="I634" s="81"/>
      <c r="J634" s="81"/>
      <c r="K634" s="81"/>
      <c r="L634" s="81"/>
      <c r="M634" s="580"/>
      <c r="N634" s="484"/>
      <c r="O634" s="484" t="s">
        <v>31</v>
      </c>
      <c r="AJ634" s="91"/>
      <c r="AK634" s="91"/>
      <c r="AL634" s="91"/>
      <c r="AM634" s="91"/>
      <c r="AN634" s="91"/>
      <c r="AO634" s="91"/>
      <c r="AP634" s="91"/>
      <c r="AQ634" s="91"/>
      <c r="AR634" s="91"/>
      <c r="AS634" s="91"/>
      <c r="AT634" s="91"/>
      <c r="AU634" s="91"/>
      <c r="AV634" s="91"/>
      <c r="AW634" s="91"/>
      <c r="AX634" s="91"/>
      <c r="AY634" s="91"/>
      <c r="AZ634" s="91"/>
      <c r="BA634" s="91"/>
      <c r="BB634" s="91"/>
      <c r="BC634" s="91"/>
      <c r="BD634" s="91"/>
      <c r="BE634" s="91"/>
      <c r="BF634" s="91"/>
      <c r="BG634" s="91"/>
      <c r="BH634" s="91"/>
      <c r="BI634" s="91"/>
    </row>
    <row r="635" spans="1:61" ht="24.6" hidden="1" customHeight="1">
      <c r="A635" s="928"/>
      <c r="B635" s="484" t="s">
        <v>246</v>
      </c>
      <c r="C635" s="484"/>
      <c r="D635" s="484"/>
      <c r="E635" s="484"/>
      <c r="F635" s="484"/>
      <c r="G635" s="81"/>
      <c r="H635" s="81"/>
      <c r="I635" s="81"/>
      <c r="J635" s="81"/>
      <c r="K635" s="81"/>
      <c r="L635" s="81"/>
      <c r="M635" s="580"/>
      <c r="N635" s="484"/>
      <c r="O635" s="484"/>
      <c r="V635" s="43">
        <v>34.700000000000003</v>
      </c>
    </row>
    <row r="636" spans="1:61" ht="24.95" hidden="1" customHeight="1">
      <c r="A636" s="945" t="s">
        <v>122</v>
      </c>
      <c r="B636" s="57" t="s">
        <v>721</v>
      </c>
      <c r="C636" s="57"/>
      <c r="D636" s="57"/>
      <c r="E636" s="57"/>
      <c r="F636" s="57"/>
      <c r="G636" s="111">
        <f>G640+G648+G652</f>
        <v>4.8000000000000001E-2</v>
      </c>
      <c r="H636" s="111">
        <f t="shared" ref="H636:K636" si="198">H640+H648+H652</f>
        <v>0</v>
      </c>
      <c r="I636" s="111">
        <f t="shared" si="198"/>
        <v>0</v>
      </c>
      <c r="J636" s="111">
        <f t="shared" si="198"/>
        <v>0</v>
      </c>
      <c r="K636" s="111">
        <f t="shared" si="198"/>
        <v>4.8000000000000001E-2</v>
      </c>
      <c r="L636" s="111">
        <f t="shared" ref="L636:M636" si="199">L640+L642+L646+L648+L652</f>
        <v>0</v>
      </c>
      <c r="M636" s="597">
        <f t="shared" si="199"/>
        <v>0</v>
      </c>
      <c r="N636" s="484"/>
      <c r="O636" s="57"/>
    </row>
    <row r="637" spans="1:61" ht="24.95" hidden="1" customHeight="1">
      <c r="A637" s="945"/>
      <c r="B637" s="57" t="s">
        <v>439</v>
      </c>
      <c r="C637" s="57"/>
      <c r="D637" s="57"/>
      <c r="E637" s="57"/>
      <c r="F637" s="57"/>
      <c r="G637" s="80">
        <f>K637</f>
        <v>0</v>
      </c>
      <c r="H637" s="80"/>
      <c r="I637" s="80"/>
      <c r="J637" s="80"/>
      <c r="K637" s="80">
        <f>K638+K639</f>
        <v>0</v>
      </c>
      <c r="L637" s="111"/>
      <c r="M637" s="597"/>
      <c r="N637" s="484"/>
      <c r="O637" s="57"/>
    </row>
    <row r="638" spans="1:61" ht="24.95" hidden="1" customHeight="1">
      <c r="A638" s="945"/>
      <c r="B638" s="57" t="s">
        <v>247</v>
      </c>
      <c r="C638" s="57"/>
      <c r="D638" s="57"/>
      <c r="E638" s="57"/>
      <c r="F638" s="57"/>
      <c r="G638" s="80">
        <f>K638</f>
        <v>0</v>
      </c>
      <c r="H638" s="80"/>
      <c r="I638" s="80"/>
      <c r="J638" s="80"/>
      <c r="K638" s="80">
        <f>K650</f>
        <v>0</v>
      </c>
      <c r="L638" s="111"/>
      <c r="M638" s="597"/>
      <c r="N638" s="484"/>
      <c r="O638" s="57"/>
    </row>
    <row r="639" spans="1:61" ht="21.75" hidden="1" customHeight="1">
      <c r="A639" s="945"/>
      <c r="B639" s="57" t="s">
        <v>495</v>
      </c>
      <c r="C639" s="57"/>
      <c r="D639" s="57"/>
      <c r="E639" s="57"/>
      <c r="F639" s="57"/>
      <c r="G639" s="80">
        <f>G641+G643+G647+G651+G653</f>
        <v>0</v>
      </c>
      <c r="H639" s="80">
        <f t="shared" ref="H639:J639" si="200">H641+H643+H647+H651+H653</f>
        <v>0</v>
      </c>
      <c r="I639" s="80">
        <f t="shared" si="200"/>
        <v>0</v>
      </c>
      <c r="J639" s="80">
        <f t="shared" si="200"/>
        <v>0</v>
      </c>
      <c r="K639" s="80">
        <f>K651</f>
        <v>0</v>
      </c>
      <c r="L639" s="80">
        <f t="shared" ref="L639:M639" si="201">L641+L643+L647+L651+L653</f>
        <v>0</v>
      </c>
      <c r="M639" s="439">
        <f t="shared" si="201"/>
        <v>0</v>
      </c>
      <c r="N639" s="484"/>
      <c r="O639" s="57"/>
      <c r="V639" s="43">
        <v>37</v>
      </c>
    </row>
    <row r="640" spans="1:61" ht="23.45" hidden="1" customHeight="1">
      <c r="A640" s="932" t="s">
        <v>121</v>
      </c>
      <c r="B640" s="484" t="s">
        <v>89</v>
      </c>
      <c r="C640" s="484">
        <v>176</v>
      </c>
      <c r="D640" s="484" t="s">
        <v>15</v>
      </c>
      <c r="E640" s="484">
        <v>6100404</v>
      </c>
      <c r="F640" s="484">
        <v>243</v>
      </c>
      <c r="G640" s="81">
        <v>4.8000000000000001E-2</v>
      </c>
      <c r="H640" s="81"/>
      <c r="I640" s="81"/>
      <c r="J640" s="81"/>
      <c r="K640" s="81">
        <v>4.8000000000000001E-2</v>
      </c>
      <c r="L640" s="81"/>
      <c r="M640" s="580"/>
      <c r="N640" s="484"/>
      <c r="O640" s="944" t="s">
        <v>445</v>
      </c>
    </row>
    <row r="641" spans="1:61" ht="24.6" hidden="1" customHeight="1">
      <c r="A641" s="932"/>
      <c r="B641" s="484" t="s">
        <v>246</v>
      </c>
      <c r="C641" s="484"/>
      <c r="D641" s="484"/>
      <c r="E641" s="484"/>
      <c r="F641" s="484"/>
      <c r="G641" s="81"/>
      <c r="H641" s="81"/>
      <c r="I641" s="81"/>
      <c r="J641" s="81"/>
      <c r="K641" s="81"/>
      <c r="L641" s="81"/>
      <c r="M641" s="580"/>
      <c r="N641" s="484"/>
      <c r="O641" s="944"/>
    </row>
    <row r="642" spans="1:61" ht="24.6" hidden="1" customHeight="1">
      <c r="A642" s="932" t="s">
        <v>175</v>
      </c>
      <c r="B642" s="484" t="s">
        <v>89</v>
      </c>
      <c r="C642" s="484">
        <v>176</v>
      </c>
      <c r="D642" s="484" t="s">
        <v>15</v>
      </c>
      <c r="E642" s="484">
        <v>6100404</v>
      </c>
      <c r="F642" s="484">
        <v>243</v>
      </c>
      <c r="G642" s="81"/>
      <c r="H642" s="81"/>
      <c r="I642" s="81"/>
      <c r="J642" s="81"/>
      <c r="K642" s="81"/>
      <c r="L642" s="81"/>
      <c r="M642" s="580"/>
      <c r="N642" s="484"/>
      <c r="O642" s="944" t="s">
        <v>505</v>
      </c>
    </row>
    <row r="643" spans="1:61" ht="24" hidden="1" customHeight="1">
      <c r="A643" s="932"/>
      <c r="B643" s="484" t="s">
        <v>246</v>
      </c>
      <c r="C643" s="484"/>
      <c r="D643" s="484"/>
      <c r="E643" s="484"/>
      <c r="F643" s="484"/>
      <c r="G643" s="81">
        <f>H643+I643+J643</f>
        <v>0</v>
      </c>
      <c r="H643" s="81"/>
      <c r="I643" s="81"/>
      <c r="J643" s="81"/>
      <c r="K643" s="81"/>
      <c r="L643" s="81"/>
      <c r="M643" s="580"/>
      <c r="N643" s="484"/>
      <c r="O643" s="944"/>
    </row>
    <row r="644" spans="1:61" ht="0.6" hidden="1" customHeight="1">
      <c r="A644" s="483" t="s">
        <v>176</v>
      </c>
      <c r="B644" s="484" t="s">
        <v>89</v>
      </c>
      <c r="C644" s="484">
        <v>176</v>
      </c>
      <c r="D644" s="484" t="s">
        <v>15</v>
      </c>
      <c r="E644" s="484">
        <v>6100404</v>
      </c>
      <c r="F644" s="484">
        <v>243</v>
      </c>
      <c r="G644" s="81"/>
      <c r="H644" s="81"/>
      <c r="I644" s="81"/>
      <c r="J644" s="81"/>
      <c r="K644" s="81"/>
      <c r="L644" s="81"/>
      <c r="M644" s="580"/>
      <c r="N644" s="484"/>
      <c r="O644" s="484" t="s">
        <v>223</v>
      </c>
    </row>
    <row r="645" spans="1:61" ht="24.6" hidden="1" customHeight="1">
      <c r="A645" s="926" t="s">
        <v>177</v>
      </c>
      <c r="B645" s="484" t="s">
        <v>246</v>
      </c>
      <c r="C645" s="484"/>
      <c r="D645" s="484"/>
      <c r="E645" s="484"/>
      <c r="F645" s="484"/>
      <c r="G645" s="81"/>
      <c r="H645" s="81"/>
      <c r="I645" s="81"/>
      <c r="J645" s="81"/>
      <c r="K645" s="81"/>
      <c r="L645" s="81"/>
      <c r="M645" s="580"/>
      <c r="N645" s="484"/>
      <c r="O645" s="484"/>
    </row>
    <row r="646" spans="1:61" ht="24.95" hidden="1" customHeight="1">
      <c r="A646" s="927"/>
      <c r="B646" s="484" t="s">
        <v>89</v>
      </c>
      <c r="C646" s="484">
        <v>176</v>
      </c>
      <c r="D646" s="484" t="s">
        <v>15</v>
      </c>
      <c r="E646" s="484">
        <v>6100404</v>
      </c>
      <c r="F646" s="484">
        <v>243</v>
      </c>
      <c r="G646" s="81"/>
      <c r="H646" s="81"/>
      <c r="I646" s="81"/>
      <c r="J646" s="81"/>
      <c r="K646" s="81"/>
      <c r="L646" s="81"/>
      <c r="M646" s="580"/>
      <c r="N646" s="484"/>
      <c r="O646" s="944" t="s">
        <v>506</v>
      </c>
    </row>
    <row r="647" spans="1:61" s="44" customFormat="1" ht="24.6" hidden="1" customHeight="1">
      <c r="A647" s="928"/>
      <c r="B647" s="484" t="s">
        <v>246</v>
      </c>
      <c r="C647" s="484"/>
      <c r="D647" s="484"/>
      <c r="E647" s="484"/>
      <c r="F647" s="484"/>
      <c r="G647" s="81">
        <f>J647+K647</f>
        <v>0</v>
      </c>
      <c r="H647" s="81"/>
      <c r="I647" s="81"/>
      <c r="J647" s="81"/>
      <c r="K647" s="81"/>
      <c r="L647" s="81"/>
      <c r="M647" s="580"/>
      <c r="N647" s="484"/>
      <c r="O647" s="944"/>
      <c r="AJ647" s="91"/>
      <c r="AK647" s="91"/>
      <c r="AL647" s="91"/>
      <c r="AM647" s="91"/>
      <c r="AN647" s="91"/>
      <c r="AO647" s="91"/>
      <c r="AP647" s="91"/>
      <c r="AQ647" s="91"/>
      <c r="AR647" s="91"/>
      <c r="AS647" s="91"/>
      <c r="AT647" s="91"/>
      <c r="AU647" s="91"/>
      <c r="AV647" s="91"/>
      <c r="AW647" s="91"/>
      <c r="AX647" s="91"/>
      <c r="AY647" s="91"/>
      <c r="AZ647" s="91"/>
      <c r="BA647" s="91"/>
      <c r="BB647" s="91"/>
      <c r="BC647" s="91"/>
      <c r="BD647" s="91"/>
      <c r="BE647" s="91"/>
      <c r="BF647" s="91"/>
      <c r="BG647" s="91"/>
      <c r="BH647" s="91"/>
      <c r="BI647" s="91"/>
    </row>
    <row r="648" spans="1:61" s="44" customFormat="1" ht="24.6" hidden="1" customHeight="1">
      <c r="A648" s="926" t="s">
        <v>308</v>
      </c>
      <c r="B648" s="484" t="s">
        <v>721</v>
      </c>
      <c r="C648" s="484"/>
      <c r="D648" s="484"/>
      <c r="E648" s="484"/>
      <c r="F648" s="484"/>
      <c r="G648" s="81">
        <f>K648</f>
        <v>0</v>
      </c>
      <c r="H648" s="81"/>
      <c r="I648" s="81"/>
      <c r="J648" s="81"/>
      <c r="K648" s="81"/>
      <c r="L648" s="81"/>
      <c r="M648" s="580"/>
      <c r="N648" s="484"/>
      <c r="O648" s="944" t="s">
        <v>725</v>
      </c>
      <c r="AJ648" s="91"/>
      <c r="AK648" s="91"/>
      <c r="AL648" s="91"/>
      <c r="AM648" s="91"/>
      <c r="AN648" s="91"/>
      <c r="AO648" s="91"/>
      <c r="AP648" s="91"/>
      <c r="AQ648" s="91"/>
      <c r="AR648" s="91"/>
      <c r="AS648" s="91"/>
      <c r="AT648" s="91"/>
      <c r="AU648" s="91"/>
      <c r="AV648" s="91"/>
      <c r="AW648" s="91"/>
      <c r="AX648" s="91"/>
      <c r="AY648" s="91"/>
      <c r="AZ648" s="91"/>
      <c r="BA648" s="91"/>
      <c r="BB648" s="91"/>
      <c r="BC648" s="91"/>
      <c r="BD648" s="91"/>
      <c r="BE648" s="91"/>
      <c r="BF648" s="91"/>
      <c r="BG648" s="91"/>
      <c r="BH648" s="91"/>
      <c r="BI648" s="91"/>
    </row>
    <row r="649" spans="1:61" s="44" customFormat="1" ht="24.6" hidden="1" customHeight="1">
      <c r="A649" s="927"/>
      <c r="B649" s="484" t="s">
        <v>439</v>
      </c>
      <c r="C649" s="484"/>
      <c r="D649" s="484"/>
      <c r="E649" s="484"/>
      <c r="F649" s="484"/>
      <c r="G649" s="81">
        <f>K649</f>
        <v>0</v>
      </c>
      <c r="H649" s="81"/>
      <c r="I649" s="81"/>
      <c r="J649" s="81"/>
      <c r="K649" s="81">
        <f>K650+K651</f>
        <v>0</v>
      </c>
      <c r="L649" s="81"/>
      <c r="M649" s="580"/>
      <c r="N649" s="484"/>
      <c r="O649" s="944"/>
      <c r="AJ649" s="91"/>
      <c r="AK649" s="91"/>
      <c r="AL649" s="91"/>
      <c r="AM649" s="91"/>
      <c r="AN649" s="91"/>
      <c r="AO649" s="91"/>
      <c r="AP649" s="91"/>
      <c r="AQ649" s="91"/>
      <c r="AR649" s="91"/>
      <c r="AS649" s="91"/>
      <c r="AT649" s="91"/>
      <c r="AU649" s="91"/>
      <c r="AV649" s="91"/>
      <c r="AW649" s="91"/>
      <c r="AX649" s="91"/>
      <c r="AY649" s="91"/>
      <c r="AZ649" s="91"/>
      <c r="BA649" s="91"/>
      <c r="BB649" s="91"/>
      <c r="BC649" s="91"/>
      <c r="BD649" s="91"/>
      <c r="BE649" s="91"/>
      <c r="BF649" s="91"/>
      <c r="BG649" s="91"/>
      <c r="BH649" s="91"/>
      <c r="BI649" s="91"/>
    </row>
    <row r="650" spans="1:61" s="44" customFormat="1" ht="24.6" hidden="1" customHeight="1">
      <c r="A650" s="927"/>
      <c r="B650" s="484" t="s">
        <v>247</v>
      </c>
      <c r="C650" s="484"/>
      <c r="D650" s="484"/>
      <c r="E650" s="484"/>
      <c r="F650" s="484"/>
      <c r="G650" s="81">
        <f t="shared" ref="G650:G651" si="202">K650</f>
        <v>0</v>
      </c>
      <c r="H650" s="81"/>
      <c r="I650" s="81"/>
      <c r="J650" s="81"/>
      <c r="K650" s="81"/>
      <c r="L650" s="81"/>
      <c r="M650" s="580"/>
      <c r="N650" s="484"/>
      <c r="O650" s="944"/>
      <c r="AJ650" s="91"/>
      <c r="AK650" s="91"/>
      <c r="AL650" s="91"/>
      <c r="AM650" s="91"/>
      <c r="AN650" s="91"/>
      <c r="AO650" s="91"/>
      <c r="AP650" s="91"/>
      <c r="AQ650" s="91"/>
      <c r="AR650" s="91"/>
      <c r="AS650" s="91"/>
      <c r="AT650" s="91"/>
      <c r="AU650" s="91"/>
      <c r="AV650" s="91"/>
      <c r="AW650" s="91"/>
      <c r="AX650" s="91"/>
      <c r="AY650" s="91"/>
      <c r="AZ650" s="91"/>
      <c r="BA650" s="91"/>
      <c r="BB650" s="91"/>
      <c r="BC650" s="91"/>
      <c r="BD650" s="91"/>
      <c r="BE650" s="91"/>
      <c r="BF650" s="91"/>
      <c r="BG650" s="91"/>
      <c r="BH650" s="91"/>
      <c r="BI650" s="91"/>
    </row>
    <row r="651" spans="1:61" s="44" customFormat="1" ht="24.6" hidden="1" customHeight="1">
      <c r="A651" s="928"/>
      <c r="B651" s="484" t="s">
        <v>495</v>
      </c>
      <c r="C651" s="484"/>
      <c r="D651" s="484"/>
      <c r="E651" s="484"/>
      <c r="F651" s="484"/>
      <c r="G651" s="81">
        <f t="shared" si="202"/>
        <v>0</v>
      </c>
      <c r="H651" s="81"/>
      <c r="I651" s="81"/>
      <c r="J651" s="81"/>
      <c r="K651" s="81"/>
      <c r="L651" s="81"/>
      <c r="M651" s="580"/>
      <c r="N651" s="484"/>
      <c r="O651" s="944"/>
      <c r="AJ651" s="91"/>
      <c r="AK651" s="91"/>
      <c r="AL651" s="91"/>
      <c r="AM651" s="91"/>
      <c r="AN651" s="91"/>
      <c r="AO651" s="91"/>
      <c r="AP651" s="91"/>
      <c r="AQ651" s="91"/>
      <c r="AR651" s="91"/>
      <c r="AS651" s="91"/>
      <c r="AT651" s="91"/>
      <c r="AU651" s="91"/>
      <c r="AV651" s="91"/>
      <c r="AW651" s="91"/>
      <c r="AX651" s="91"/>
      <c r="AY651" s="91"/>
      <c r="AZ651" s="91"/>
      <c r="BA651" s="91"/>
      <c r="BB651" s="91"/>
      <c r="BC651" s="91"/>
      <c r="BD651" s="91"/>
      <c r="BE651" s="91"/>
      <c r="BF651" s="91"/>
      <c r="BG651" s="91"/>
      <c r="BH651" s="91"/>
      <c r="BI651" s="91"/>
    </row>
    <row r="652" spans="1:61" s="44" customFormat="1" ht="24.95" hidden="1" customHeight="1">
      <c r="A652" s="932" t="s">
        <v>111</v>
      </c>
      <c r="B652" s="484" t="s">
        <v>89</v>
      </c>
      <c r="C652" s="484">
        <v>176</v>
      </c>
      <c r="D652" s="484" t="s">
        <v>15</v>
      </c>
      <c r="E652" s="484">
        <v>6100404</v>
      </c>
      <c r="F652" s="484">
        <v>243</v>
      </c>
      <c r="G652" s="81">
        <v>0</v>
      </c>
      <c r="H652" s="81"/>
      <c r="I652" s="81"/>
      <c r="J652" s="81"/>
      <c r="K652" s="81"/>
      <c r="L652" s="81"/>
      <c r="M652" s="580"/>
      <c r="N652" s="484"/>
      <c r="O652" s="944" t="s">
        <v>309</v>
      </c>
      <c r="AJ652" s="91"/>
      <c r="AK652" s="91"/>
      <c r="AL652" s="91"/>
      <c r="AM652" s="91"/>
      <c r="AN652" s="91"/>
      <c r="AO652" s="91"/>
      <c r="AP652" s="91"/>
      <c r="AQ652" s="91"/>
      <c r="AR652" s="91"/>
      <c r="AS652" s="91"/>
      <c r="AT652" s="91"/>
      <c r="AU652" s="91"/>
      <c r="AV652" s="91"/>
      <c r="AW652" s="91"/>
      <c r="AX652" s="91"/>
      <c r="AY652" s="91"/>
      <c r="AZ652" s="91"/>
      <c r="BA652" s="91"/>
      <c r="BB652" s="91"/>
      <c r="BC652" s="91"/>
      <c r="BD652" s="91"/>
      <c r="BE652" s="91"/>
      <c r="BF652" s="91"/>
      <c r="BG652" s="91"/>
      <c r="BH652" s="91"/>
      <c r="BI652" s="91"/>
    </row>
    <row r="653" spans="1:61" ht="24.95" hidden="1" customHeight="1">
      <c r="A653" s="932"/>
      <c r="B653" s="484" t="s">
        <v>246</v>
      </c>
      <c r="C653" s="484"/>
      <c r="D653" s="484"/>
      <c r="E653" s="484"/>
      <c r="F653" s="484"/>
      <c r="G653" s="81">
        <f>J653</f>
        <v>0</v>
      </c>
      <c r="H653" s="81"/>
      <c r="I653" s="81"/>
      <c r="J653" s="81"/>
      <c r="K653" s="81"/>
      <c r="L653" s="81"/>
      <c r="M653" s="580"/>
      <c r="N653" s="484"/>
      <c r="O653" s="944"/>
    </row>
    <row r="654" spans="1:61" ht="24.95" hidden="1" customHeight="1">
      <c r="A654" s="945" t="s">
        <v>101</v>
      </c>
      <c r="B654" s="57" t="s">
        <v>89</v>
      </c>
      <c r="C654" s="57"/>
      <c r="D654" s="57"/>
      <c r="E654" s="57"/>
      <c r="F654" s="57"/>
      <c r="G654" s="80">
        <f>G656</f>
        <v>0</v>
      </c>
      <c r="H654" s="80">
        <f t="shared" ref="H654:J654" si="203">H656</f>
        <v>0</v>
      </c>
      <c r="I654" s="80">
        <f t="shared" si="203"/>
        <v>0</v>
      </c>
      <c r="J654" s="80">
        <f t="shared" si="203"/>
        <v>0</v>
      </c>
      <c r="K654" s="80"/>
      <c r="L654" s="80">
        <f t="shared" ref="K654:M655" si="204">L658</f>
        <v>0</v>
      </c>
      <c r="M654" s="439">
        <f t="shared" si="204"/>
        <v>0</v>
      </c>
      <c r="N654" s="484"/>
      <c r="O654" s="57"/>
    </row>
    <row r="655" spans="1:61" ht="24.95" hidden="1" customHeight="1">
      <c r="A655" s="945"/>
      <c r="B655" s="57" t="s">
        <v>246</v>
      </c>
      <c r="C655" s="57"/>
      <c r="D655" s="57"/>
      <c r="E655" s="57"/>
      <c r="F655" s="57"/>
      <c r="G655" s="80"/>
      <c r="H655" s="80">
        <f t="shared" ref="H655:I655" si="205">H657+H659</f>
        <v>0</v>
      </c>
      <c r="I655" s="80">
        <f t="shared" si="205"/>
        <v>0</v>
      </c>
      <c r="J655" s="80"/>
      <c r="K655" s="80">
        <f t="shared" si="204"/>
        <v>0</v>
      </c>
      <c r="L655" s="80">
        <f t="shared" si="204"/>
        <v>0</v>
      </c>
      <c r="M655" s="439">
        <f t="shared" si="204"/>
        <v>0</v>
      </c>
      <c r="N655" s="484"/>
      <c r="O655" s="57"/>
    </row>
    <row r="656" spans="1:61" ht="24.95" hidden="1" customHeight="1">
      <c r="A656" s="926" t="s">
        <v>478</v>
      </c>
      <c r="B656" s="484" t="s">
        <v>89</v>
      </c>
      <c r="C656" s="57"/>
      <c r="D656" s="57"/>
      <c r="E656" s="57"/>
      <c r="F656" s="57"/>
      <c r="G656" s="81">
        <f>J656</f>
        <v>0</v>
      </c>
      <c r="H656" s="81"/>
      <c r="I656" s="81"/>
      <c r="J656" s="81"/>
      <c r="K656" s="80"/>
      <c r="L656" s="80"/>
      <c r="M656" s="439"/>
      <c r="N656" s="484"/>
      <c r="O656" s="944" t="s">
        <v>510</v>
      </c>
    </row>
    <row r="657" spans="1:61" ht="24.95" hidden="1" customHeight="1">
      <c r="A657" s="889"/>
      <c r="B657" s="484" t="s">
        <v>246</v>
      </c>
      <c r="C657" s="57"/>
      <c r="D657" s="57"/>
      <c r="E657" s="57"/>
      <c r="F657" s="57"/>
      <c r="G657" s="81">
        <f>J657</f>
        <v>0</v>
      </c>
      <c r="H657" s="81"/>
      <c r="I657" s="81"/>
      <c r="J657" s="81"/>
      <c r="K657" s="80"/>
      <c r="L657" s="80"/>
      <c r="M657" s="439"/>
      <c r="N657" s="484"/>
      <c r="O657" s="944"/>
    </row>
    <row r="658" spans="1:61" ht="24.95" hidden="1" customHeight="1">
      <c r="A658" s="926" t="s">
        <v>109</v>
      </c>
      <c r="B658" s="484" t="s">
        <v>89</v>
      </c>
      <c r="C658" s="484">
        <v>176</v>
      </c>
      <c r="D658" s="484" t="s">
        <v>15</v>
      </c>
      <c r="E658" s="484">
        <v>6100404</v>
      </c>
      <c r="F658" s="484">
        <v>243</v>
      </c>
      <c r="G658" s="81"/>
      <c r="H658" s="81"/>
      <c r="I658" s="81"/>
      <c r="J658" s="81"/>
      <c r="K658" s="81"/>
      <c r="L658" s="81"/>
      <c r="M658" s="580"/>
      <c r="N658" s="484"/>
      <c r="O658" s="944" t="s">
        <v>309</v>
      </c>
    </row>
    <row r="659" spans="1:61" ht="24.95" hidden="1" customHeight="1">
      <c r="A659" s="928"/>
      <c r="B659" s="484" t="s">
        <v>246</v>
      </c>
      <c r="C659" s="484"/>
      <c r="D659" s="484"/>
      <c r="E659" s="484"/>
      <c r="F659" s="484"/>
      <c r="G659" s="81">
        <f>J659</f>
        <v>0</v>
      </c>
      <c r="H659" s="81"/>
      <c r="I659" s="81"/>
      <c r="J659" s="81"/>
      <c r="K659" s="81"/>
      <c r="L659" s="81"/>
      <c r="M659" s="580"/>
      <c r="N659" s="484"/>
      <c r="O659" s="944"/>
    </row>
    <row r="660" spans="1:61" ht="24.95" customHeight="1">
      <c r="A660" s="945" t="s">
        <v>155</v>
      </c>
      <c r="B660" s="57" t="s">
        <v>721</v>
      </c>
      <c r="C660" s="484"/>
      <c r="D660" s="484"/>
      <c r="E660" s="484"/>
      <c r="F660" s="484"/>
      <c r="G660" s="80">
        <f>K660</f>
        <v>1</v>
      </c>
      <c r="H660" s="80">
        <f t="shared" ref="H660:K661" si="206">H662+H664</f>
        <v>0</v>
      </c>
      <c r="I660" s="80">
        <f t="shared" si="206"/>
        <v>0</v>
      </c>
      <c r="J660" s="80"/>
      <c r="K660" s="80">
        <v>1</v>
      </c>
      <c r="L660" s="80">
        <f t="shared" ref="L660:M661" si="207">L662+L664</f>
        <v>0</v>
      </c>
      <c r="M660" s="439">
        <f t="shared" si="207"/>
        <v>0</v>
      </c>
      <c r="N660" s="484"/>
      <c r="O660" s="484"/>
    </row>
    <row r="661" spans="1:61" s="44" customFormat="1" ht="24.95" customHeight="1">
      <c r="A661" s="945"/>
      <c r="B661" s="57" t="s">
        <v>246</v>
      </c>
      <c r="C661" s="484"/>
      <c r="D661" s="484"/>
      <c r="E661" s="484"/>
      <c r="F661" s="484"/>
      <c r="G661" s="80">
        <f t="shared" ref="G661:G663" si="208">K661</f>
        <v>11420.7</v>
      </c>
      <c r="H661" s="80">
        <f t="shared" si="206"/>
        <v>0</v>
      </c>
      <c r="I661" s="80">
        <f t="shared" si="206"/>
        <v>0</v>
      </c>
      <c r="J661" s="80">
        <f t="shared" si="206"/>
        <v>0</v>
      </c>
      <c r="K661" s="80">
        <f t="shared" si="206"/>
        <v>11420.7</v>
      </c>
      <c r="L661" s="80">
        <f t="shared" si="207"/>
        <v>0</v>
      </c>
      <c r="M661" s="439">
        <f t="shared" si="207"/>
        <v>0</v>
      </c>
      <c r="N661" s="484"/>
      <c r="O661" s="484"/>
      <c r="AJ661" s="91"/>
      <c r="AK661" s="91"/>
      <c r="AL661" s="91"/>
      <c r="AM661" s="91"/>
      <c r="AN661" s="91"/>
      <c r="AO661" s="91"/>
      <c r="AP661" s="91"/>
      <c r="AQ661" s="91"/>
      <c r="AR661" s="91"/>
      <c r="AS661" s="91"/>
      <c r="AT661" s="91"/>
      <c r="AU661" s="91"/>
      <c r="AV661" s="91"/>
      <c r="AW661" s="91"/>
      <c r="AX661" s="91"/>
      <c r="AY661" s="91"/>
      <c r="AZ661" s="91"/>
      <c r="BA661" s="91"/>
      <c r="BB661" s="91"/>
      <c r="BC661" s="91"/>
      <c r="BD661" s="91"/>
      <c r="BE661" s="91"/>
      <c r="BF661" s="91"/>
      <c r="BG661" s="91"/>
      <c r="BH661" s="91"/>
      <c r="BI661" s="91"/>
    </row>
    <row r="662" spans="1:61" s="44" customFormat="1" ht="24.95" customHeight="1">
      <c r="A662" s="926" t="s">
        <v>109</v>
      </c>
      <c r="B662" s="484" t="s">
        <v>721</v>
      </c>
      <c r="C662" s="484"/>
      <c r="D662" s="484"/>
      <c r="E662" s="484"/>
      <c r="F662" s="484"/>
      <c r="G662" s="81">
        <f t="shared" si="208"/>
        <v>1</v>
      </c>
      <c r="H662" s="81"/>
      <c r="I662" s="81"/>
      <c r="J662" s="81"/>
      <c r="K662" s="81">
        <v>1</v>
      </c>
      <c r="L662" s="80"/>
      <c r="M662" s="580">
        <v>0</v>
      </c>
      <c r="N662" s="484"/>
      <c r="O662" s="944" t="s">
        <v>730</v>
      </c>
      <c r="AJ662" s="91"/>
      <c r="AK662" s="91"/>
      <c r="AL662" s="91"/>
      <c r="AM662" s="91"/>
      <c r="AN662" s="91"/>
      <c r="AO662" s="91"/>
      <c r="AP662" s="91"/>
      <c r="AQ662" s="91"/>
      <c r="AR662" s="91"/>
      <c r="AS662" s="91"/>
      <c r="AT662" s="91"/>
      <c r="AU662" s="91"/>
      <c r="AV662" s="91"/>
      <c r="AW662" s="91"/>
      <c r="AX662" s="91"/>
      <c r="AY662" s="91"/>
      <c r="AZ662" s="91"/>
      <c r="BA662" s="91"/>
      <c r="BB662" s="91"/>
      <c r="BC662" s="91"/>
      <c r="BD662" s="91"/>
      <c r="BE662" s="91"/>
      <c r="BF662" s="91"/>
      <c r="BG662" s="91"/>
      <c r="BH662" s="91"/>
      <c r="BI662" s="91"/>
    </row>
    <row r="663" spans="1:61" s="44" customFormat="1" ht="24.95" customHeight="1">
      <c r="A663" s="928"/>
      <c r="B663" s="484" t="s">
        <v>246</v>
      </c>
      <c r="C663" s="484"/>
      <c r="D663" s="484"/>
      <c r="E663" s="484"/>
      <c r="F663" s="484"/>
      <c r="G663" s="81">
        <f t="shared" si="208"/>
        <v>11420.7</v>
      </c>
      <c r="H663" s="81"/>
      <c r="I663" s="81"/>
      <c r="J663" s="81"/>
      <c r="K663" s="81">
        <v>11420.7</v>
      </c>
      <c r="L663" s="81"/>
      <c r="M663" s="580"/>
      <c r="N663" s="484"/>
      <c r="O663" s="944"/>
      <c r="AJ663" s="91"/>
      <c r="AK663" s="91"/>
      <c r="AL663" s="91"/>
      <c r="AM663" s="91"/>
      <c r="AN663" s="91"/>
      <c r="AO663" s="91"/>
      <c r="AP663" s="91"/>
      <c r="AQ663" s="91"/>
      <c r="AR663" s="91"/>
      <c r="AS663" s="91"/>
      <c r="AT663" s="91"/>
      <c r="AU663" s="91"/>
      <c r="AV663" s="91"/>
      <c r="AW663" s="91"/>
      <c r="AX663" s="91"/>
      <c r="AY663" s="91"/>
      <c r="AZ663" s="91"/>
      <c r="BA663" s="91"/>
      <c r="BB663" s="91"/>
      <c r="BC663" s="91"/>
      <c r="BD663" s="91"/>
      <c r="BE663" s="91"/>
      <c r="BF663" s="91"/>
      <c r="BG663" s="91"/>
      <c r="BH663" s="91"/>
      <c r="BI663" s="91"/>
    </row>
    <row r="664" spans="1:61" s="44" customFormat="1" ht="24.95" hidden="1" customHeight="1">
      <c r="A664" s="932" t="s">
        <v>252</v>
      </c>
      <c r="B664" s="484" t="s">
        <v>89</v>
      </c>
      <c r="C664" s="484"/>
      <c r="D664" s="484"/>
      <c r="E664" s="484"/>
      <c r="F664" s="484"/>
      <c r="G664" s="81"/>
      <c r="H664" s="81"/>
      <c r="I664" s="81"/>
      <c r="J664" s="81"/>
      <c r="K664" s="81"/>
      <c r="L664" s="81"/>
      <c r="M664" s="580"/>
      <c r="N664" s="484"/>
      <c r="O664" s="944" t="s">
        <v>448</v>
      </c>
      <c r="AJ664" s="91"/>
      <c r="AK664" s="91"/>
      <c r="AL664" s="91"/>
      <c r="AM664" s="91"/>
      <c r="AN664" s="91"/>
      <c r="AO664" s="91"/>
      <c r="AP664" s="91"/>
      <c r="AQ664" s="91"/>
      <c r="AR664" s="91"/>
      <c r="AS664" s="91"/>
      <c r="AT664" s="91"/>
      <c r="AU664" s="91"/>
      <c r="AV664" s="91"/>
      <c r="AW664" s="91"/>
      <c r="AX664" s="91"/>
      <c r="AY664" s="91"/>
      <c r="AZ664" s="91"/>
      <c r="BA664" s="91"/>
      <c r="BB664" s="91"/>
      <c r="BC664" s="91"/>
      <c r="BD664" s="91"/>
      <c r="BE664" s="91"/>
      <c r="BF664" s="91"/>
      <c r="BG664" s="91"/>
      <c r="BH664" s="91"/>
      <c r="BI664" s="91"/>
    </row>
    <row r="665" spans="1:61" ht="24.95" hidden="1" customHeight="1">
      <c r="A665" s="932"/>
      <c r="B665" s="484" t="s">
        <v>246</v>
      </c>
      <c r="C665" s="484"/>
      <c r="D665" s="484"/>
      <c r="E665" s="484"/>
      <c r="F665" s="484"/>
      <c r="G665" s="81">
        <f>H665+I665+J665+K665</f>
        <v>0</v>
      </c>
      <c r="H665" s="81"/>
      <c r="I665" s="81"/>
      <c r="J665" s="81"/>
      <c r="K665" s="81"/>
      <c r="L665" s="81"/>
      <c r="M665" s="580"/>
      <c r="N665" s="484"/>
      <c r="O665" s="944"/>
    </row>
    <row r="666" spans="1:61" ht="24.95" hidden="1" customHeight="1">
      <c r="A666" s="945" t="s">
        <v>125</v>
      </c>
      <c r="B666" s="57" t="s">
        <v>89</v>
      </c>
      <c r="C666" s="57"/>
      <c r="D666" s="57"/>
      <c r="E666" s="57"/>
      <c r="F666" s="57"/>
      <c r="G666" s="80">
        <f t="shared" ref="G666:L667" si="209">G670</f>
        <v>0</v>
      </c>
      <c r="H666" s="80"/>
      <c r="I666" s="80"/>
      <c r="J666" s="80"/>
      <c r="K666" s="80"/>
      <c r="L666" s="80">
        <f t="shared" si="209"/>
        <v>0</v>
      </c>
      <c r="M666" s="439">
        <f>M668</f>
        <v>0</v>
      </c>
      <c r="N666" s="484"/>
      <c r="O666" s="57"/>
    </row>
    <row r="667" spans="1:61" s="44" customFormat="1" ht="24.95" hidden="1" customHeight="1">
      <c r="A667" s="945"/>
      <c r="B667" s="57" t="s">
        <v>246</v>
      </c>
      <c r="C667" s="57"/>
      <c r="D667" s="57"/>
      <c r="E667" s="57"/>
      <c r="F667" s="57"/>
      <c r="G667" s="80">
        <f t="shared" si="209"/>
        <v>0</v>
      </c>
      <c r="H667" s="80">
        <f t="shared" si="209"/>
        <v>0</v>
      </c>
      <c r="I667" s="80">
        <f t="shared" si="209"/>
        <v>0</v>
      </c>
      <c r="J667" s="80">
        <f t="shared" si="209"/>
        <v>0</v>
      </c>
      <c r="K667" s="80">
        <f t="shared" si="209"/>
        <v>0</v>
      </c>
      <c r="L667" s="80">
        <f t="shared" si="209"/>
        <v>0</v>
      </c>
      <c r="M667" s="439">
        <f>M669</f>
        <v>0</v>
      </c>
      <c r="N667" s="484"/>
      <c r="O667" s="57"/>
      <c r="AJ667" s="91"/>
      <c r="AK667" s="91"/>
      <c r="AL667" s="91"/>
      <c r="AM667" s="91"/>
      <c r="AN667" s="91"/>
      <c r="AO667" s="91"/>
      <c r="AP667" s="91"/>
      <c r="AQ667" s="91"/>
      <c r="AR667" s="91"/>
      <c r="AS667" s="91"/>
      <c r="AT667" s="91"/>
      <c r="AU667" s="91"/>
      <c r="AV667" s="91"/>
      <c r="AW667" s="91"/>
      <c r="AX667" s="91"/>
      <c r="AY667" s="91"/>
      <c r="AZ667" s="91"/>
      <c r="BA667" s="91"/>
      <c r="BB667" s="91"/>
      <c r="BC667" s="91"/>
      <c r="BD667" s="91"/>
      <c r="BE667" s="91"/>
      <c r="BF667" s="91"/>
      <c r="BG667" s="91"/>
      <c r="BH667" s="91"/>
      <c r="BI667" s="91"/>
    </row>
    <row r="668" spans="1:61" s="44" customFormat="1" ht="24.6" hidden="1" customHeight="1">
      <c r="A668" s="926" t="s">
        <v>336</v>
      </c>
      <c r="B668" s="484" t="s">
        <v>89</v>
      </c>
      <c r="C668" s="57"/>
      <c r="D668" s="57"/>
      <c r="E668" s="57"/>
      <c r="F668" s="57"/>
      <c r="G668" s="80"/>
      <c r="H668" s="80"/>
      <c r="I668" s="80"/>
      <c r="J668" s="80"/>
      <c r="K668" s="80"/>
      <c r="L668" s="80"/>
      <c r="M668" s="580"/>
      <c r="N668" s="484"/>
      <c r="O668" s="944" t="s">
        <v>293</v>
      </c>
      <c r="AJ668" s="91"/>
      <c r="AK668" s="91"/>
      <c r="AL668" s="91"/>
      <c r="AM668" s="91"/>
      <c r="AN668" s="91"/>
      <c r="AO668" s="91"/>
      <c r="AP668" s="91"/>
      <c r="AQ668" s="91"/>
      <c r="AR668" s="91"/>
      <c r="AS668" s="91"/>
      <c r="AT668" s="91"/>
      <c r="AU668" s="91"/>
      <c r="AV668" s="91"/>
      <c r="AW668" s="91"/>
      <c r="AX668" s="91"/>
      <c r="AY668" s="91"/>
      <c r="AZ668" s="91"/>
      <c r="BA668" s="91"/>
      <c r="BB668" s="91"/>
      <c r="BC668" s="91"/>
      <c r="BD668" s="91"/>
      <c r="BE668" s="91"/>
      <c r="BF668" s="91"/>
      <c r="BG668" s="91"/>
      <c r="BH668" s="91"/>
      <c r="BI668" s="91"/>
    </row>
    <row r="669" spans="1:61" s="44" customFormat="1" ht="24.6" hidden="1" customHeight="1">
      <c r="A669" s="928"/>
      <c r="B669" s="484" t="s">
        <v>246</v>
      </c>
      <c r="C669" s="57"/>
      <c r="D669" s="57"/>
      <c r="E669" s="57"/>
      <c r="F669" s="57"/>
      <c r="G669" s="80"/>
      <c r="H669" s="80"/>
      <c r="I669" s="80"/>
      <c r="J669" s="80"/>
      <c r="K669" s="80"/>
      <c r="L669" s="80"/>
      <c r="M669" s="580"/>
      <c r="N669" s="484"/>
      <c r="O669" s="944"/>
      <c r="AJ669" s="91"/>
      <c r="AK669" s="91"/>
      <c r="AL669" s="91"/>
      <c r="AM669" s="91"/>
      <c r="AN669" s="91"/>
      <c r="AO669" s="91"/>
      <c r="AP669" s="91"/>
      <c r="AQ669" s="91"/>
      <c r="AR669" s="91"/>
      <c r="AS669" s="91"/>
      <c r="AT669" s="91"/>
      <c r="AU669" s="91"/>
      <c r="AV669" s="91"/>
      <c r="AW669" s="91"/>
      <c r="AX669" s="91"/>
      <c r="AY669" s="91"/>
      <c r="AZ669" s="91"/>
      <c r="BA669" s="91"/>
      <c r="BB669" s="91"/>
      <c r="BC669" s="91"/>
      <c r="BD669" s="91"/>
      <c r="BE669" s="91"/>
      <c r="BF669" s="91"/>
      <c r="BG669" s="91"/>
      <c r="BH669" s="91"/>
      <c r="BI669" s="91"/>
    </row>
    <row r="670" spans="1:61" s="44" customFormat="1" ht="23.45" hidden="1" customHeight="1">
      <c r="A670" s="932" t="s">
        <v>109</v>
      </c>
      <c r="B670" s="484" t="s">
        <v>89</v>
      </c>
      <c r="C670" s="484">
        <v>176</v>
      </c>
      <c r="D670" s="484" t="s">
        <v>15</v>
      </c>
      <c r="E670" s="484">
        <v>6100404</v>
      </c>
      <c r="F670" s="484">
        <v>243</v>
      </c>
      <c r="G670" s="81"/>
      <c r="H670" s="81"/>
      <c r="I670" s="81"/>
      <c r="J670" s="81"/>
      <c r="K670" s="81"/>
      <c r="L670" s="81"/>
      <c r="M670" s="580"/>
      <c r="N670" s="484"/>
      <c r="O670" s="944" t="s">
        <v>291</v>
      </c>
      <c r="AJ670" s="91"/>
      <c r="AK670" s="91"/>
      <c r="AL670" s="91"/>
      <c r="AM670" s="91"/>
      <c r="AN670" s="91"/>
      <c r="AO670" s="91"/>
      <c r="AP670" s="91"/>
      <c r="AQ670" s="91"/>
      <c r="AR670" s="91"/>
      <c r="AS670" s="91"/>
      <c r="AT670" s="91"/>
      <c r="AU670" s="91"/>
      <c r="AV670" s="91"/>
      <c r="AW670" s="91"/>
      <c r="AX670" s="91"/>
      <c r="AY670" s="91"/>
      <c r="AZ670" s="91"/>
      <c r="BA670" s="91"/>
      <c r="BB670" s="91"/>
      <c r="BC670" s="91"/>
      <c r="BD670" s="91"/>
      <c r="BE670" s="91"/>
      <c r="BF670" s="91"/>
      <c r="BG670" s="91"/>
      <c r="BH670" s="91"/>
      <c r="BI670" s="91"/>
    </row>
    <row r="671" spans="1:61" ht="24.6" hidden="1" customHeight="1">
      <c r="A671" s="932"/>
      <c r="B671" s="484" t="s">
        <v>246</v>
      </c>
      <c r="C671" s="484"/>
      <c r="D671" s="484"/>
      <c r="E671" s="484"/>
      <c r="F671" s="484"/>
      <c r="G671" s="81">
        <f>J671+K671</f>
        <v>0</v>
      </c>
      <c r="H671" s="81"/>
      <c r="I671" s="81"/>
      <c r="J671" s="81"/>
      <c r="K671" s="81"/>
      <c r="L671" s="81">
        <v>0</v>
      </c>
      <c r="M671" s="580"/>
      <c r="N671" s="484"/>
      <c r="O671" s="944"/>
    </row>
    <row r="672" spans="1:61" ht="24.6" hidden="1" customHeight="1">
      <c r="A672" s="945" t="s">
        <v>127</v>
      </c>
      <c r="B672" s="57" t="s">
        <v>721</v>
      </c>
      <c r="C672" s="57"/>
      <c r="D672" s="57"/>
      <c r="E672" s="57"/>
      <c r="F672" s="57"/>
      <c r="G672" s="80">
        <f t="shared" ref="G672:M673" si="210">G674+G680</f>
        <v>0</v>
      </c>
      <c r="H672" s="80"/>
      <c r="I672" s="80"/>
      <c r="J672" s="80"/>
      <c r="K672" s="80">
        <f>K680</f>
        <v>0</v>
      </c>
      <c r="L672" s="80">
        <f t="shared" si="210"/>
        <v>0</v>
      </c>
      <c r="M672" s="439">
        <f t="shared" si="210"/>
        <v>0</v>
      </c>
      <c r="N672" s="484"/>
      <c r="O672" s="57"/>
    </row>
    <row r="673" spans="1:61" ht="22.15" hidden="1" customHeight="1">
      <c r="A673" s="945"/>
      <c r="B673" s="57" t="s">
        <v>246</v>
      </c>
      <c r="C673" s="57"/>
      <c r="D673" s="57"/>
      <c r="E673" s="57"/>
      <c r="F673" s="57"/>
      <c r="G673" s="80">
        <f t="shared" si="210"/>
        <v>0</v>
      </c>
      <c r="H673" s="80">
        <f t="shared" si="210"/>
        <v>0</v>
      </c>
      <c r="I673" s="80">
        <f t="shared" si="210"/>
        <v>0</v>
      </c>
      <c r="J673" s="80">
        <f t="shared" si="210"/>
        <v>0</v>
      </c>
      <c r="K673" s="80">
        <f t="shared" si="210"/>
        <v>0</v>
      </c>
      <c r="L673" s="80">
        <f t="shared" si="210"/>
        <v>0</v>
      </c>
      <c r="M673" s="439">
        <f t="shared" si="210"/>
        <v>0</v>
      </c>
      <c r="N673" s="484"/>
      <c r="O673" s="57"/>
    </row>
    <row r="674" spans="1:61" ht="27" hidden="1" customHeight="1">
      <c r="A674" s="932" t="s">
        <v>126</v>
      </c>
      <c r="B674" s="484" t="s">
        <v>89</v>
      </c>
      <c r="C674" s="484">
        <v>176</v>
      </c>
      <c r="D674" s="484" t="s">
        <v>15</v>
      </c>
      <c r="E674" s="484">
        <v>6100404</v>
      </c>
      <c r="F674" s="484">
        <v>243</v>
      </c>
      <c r="G674" s="81">
        <v>0</v>
      </c>
      <c r="H674" s="81"/>
      <c r="I674" s="81"/>
      <c r="J674" s="81"/>
      <c r="K674" s="81"/>
      <c r="L674" s="81"/>
      <c r="M674" s="580"/>
      <c r="N674" s="484"/>
      <c r="O674" s="944" t="s">
        <v>38</v>
      </c>
    </row>
    <row r="675" spans="1:61" ht="27.75" hidden="1" customHeight="1">
      <c r="A675" s="932"/>
      <c r="B675" s="484" t="s">
        <v>246</v>
      </c>
      <c r="C675" s="484"/>
      <c r="D675" s="484"/>
      <c r="E675" s="484"/>
      <c r="F675" s="484"/>
      <c r="G675" s="81"/>
      <c r="H675" s="81"/>
      <c r="I675" s="81"/>
      <c r="J675" s="81"/>
      <c r="K675" s="81"/>
      <c r="L675" s="81"/>
      <c r="M675" s="580"/>
      <c r="N675" s="484"/>
      <c r="O675" s="944"/>
      <c r="V675" s="43">
        <v>123.1</v>
      </c>
    </row>
    <row r="676" spans="1:61" ht="23.25" hidden="1" customHeight="1">
      <c r="A676" s="483" t="s">
        <v>178</v>
      </c>
      <c r="B676" s="484" t="s">
        <v>89</v>
      </c>
      <c r="C676" s="484">
        <v>176</v>
      </c>
      <c r="D676" s="484" t="s">
        <v>15</v>
      </c>
      <c r="E676" s="484">
        <v>6100404</v>
      </c>
      <c r="F676" s="484">
        <v>243</v>
      </c>
      <c r="G676" s="81">
        <v>0</v>
      </c>
      <c r="H676" s="81"/>
      <c r="I676" s="81"/>
      <c r="J676" s="81"/>
      <c r="K676" s="81"/>
      <c r="L676" s="81"/>
      <c r="M676" s="580"/>
      <c r="N676" s="484"/>
      <c r="O676" s="484"/>
    </row>
    <row r="677" spans="1:61" ht="23.25" hidden="1" customHeight="1">
      <c r="A677" s="483"/>
      <c r="B677" s="484" t="s">
        <v>246</v>
      </c>
      <c r="C677" s="484"/>
      <c r="D677" s="484"/>
      <c r="E677" s="484"/>
      <c r="F677" s="484"/>
      <c r="G677" s="81"/>
      <c r="H677" s="81"/>
      <c r="I677" s="81"/>
      <c r="J677" s="81"/>
      <c r="K677" s="81"/>
      <c r="L677" s="81"/>
      <c r="M677" s="580"/>
      <c r="N677" s="484"/>
      <c r="O677" s="484"/>
    </row>
    <row r="678" spans="1:61" ht="24" hidden="1" customHeight="1">
      <c r="A678" s="483" t="s">
        <v>179</v>
      </c>
      <c r="B678" s="484" t="s">
        <v>89</v>
      </c>
      <c r="C678" s="484">
        <v>176</v>
      </c>
      <c r="D678" s="484" t="s">
        <v>15</v>
      </c>
      <c r="E678" s="484">
        <v>6100404</v>
      </c>
      <c r="F678" s="484">
        <v>243</v>
      </c>
      <c r="G678" s="81"/>
      <c r="H678" s="81"/>
      <c r="I678" s="81"/>
      <c r="J678" s="81"/>
      <c r="K678" s="81"/>
      <c r="L678" s="81"/>
      <c r="M678" s="580"/>
      <c r="N678" s="484"/>
      <c r="O678" s="484" t="s">
        <v>93</v>
      </c>
    </row>
    <row r="679" spans="1:61" s="44" customFormat="1" ht="24.95" hidden="1" customHeight="1">
      <c r="A679" s="483"/>
      <c r="B679" s="484" t="s">
        <v>246</v>
      </c>
      <c r="C679" s="484"/>
      <c r="D679" s="484"/>
      <c r="E679" s="484"/>
      <c r="F679" s="484"/>
      <c r="G679" s="81"/>
      <c r="H679" s="81"/>
      <c r="I679" s="81"/>
      <c r="J679" s="81"/>
      <c r="K679" s="81"/>
      <c r="L679" s="81"/>
      <c r="M679" s="580"/>
      <c r="N679" s="484"/>
      <c r="O679" s="484"/>
      <c r="AJ679" s="91"/>
      <c r="AK679" s="91"/>
      <c r="AL679" s="91"/>
      <c r="AM679" s="91"/>
      <c r="AN679" s="91"/>
      <c r="AO679" s="91"/>
      <c r="AP679" s="91"/>
      <c r="AQ679" s="91"/>
      <c r="AR679" s="91"/>
      <c r="AS679" s="91"/>
      <c r="AT679" s="91"/>
      <c r="AU679" s="91"/>
      <c r="AV679" s="91"/>
      <c r="AW679" s="91"/>
      <c r="AX679" s="91"/>
      <c r="AY679" s="91"/>
      <c r="AZ679" s="91"/>
      <c r="BA679" s="91"/>
      <c r="BB679" s="91"/>
      <c r="BC679" s="91"/>
      <c r="BD679" s="91"/>
      <c r="BE679" s="91"/>
      <c r="BF679" s="91"/>
      <c r="BG679" s="91"/>
      <c r="BH679" s="91"/>
      <c r="BI679" s="91"/>
    </row>
    <row r="680" spans="1:61" s="44" customFormat="1" ht="23.45" hidden="1" customHeight="1">
      <c r="A680" s="932" t="s">
        <v>109</v>
      </c>
      <c r="B680" s="484" t="s">
        <v>721</v>
      </c>
      <c r="C680" s="484">
        <v>176</v>
      </c>
      <c r="D680" s="484" t="s">
        <v>15</v>
      </c>
      <c r="E680" s="484">
        <v>6100404</v>
      </c>
      <c r="F680" s="484">
        <v>243</v>
      </c>
      <c r="G680" s="81">
        <f>K680</f>
        <v>0</v>
      </c>
      <c r="H680" s="81"/>
      <c r="I680" s="81"/>
      <c r="J680" s="81"/>
      <c r="K680" s="81"/>
      <c r="L680" s="81"/>
      <c r="M680" s="580"/>
      <c r="N680" s="484"/>
      <c r="O680" s="944" t="s">
        <v>730</v>
      </c>
      <c r="AJ680" s="91"/>
      <c r="AK680" s="91"/>
      <c r="AL680" s="91"/>
      <c r="AM680" s="91"/>
      <c r="AN680" s="91"/>
      <c r="AO680" s="91"/>
      <c r="AP680" s="91"/>
      <c r="AQ680" s="91"/>
      <c r="AR680" s="91"/>
      <c r="AS680" s="91"/>
      <c r="AT680" s="91"/>
      <c r="AU680" s="91"/>
      <c r="AV680" s="91"/>
      <c r="AW680" s="91"/>
      <c r="AX680" s="91"/>
      <c r="AY680" s="91"/>
      <c r="AZ680" s="91"/>
      <c r="BA680" s="91"/>
      <c r="BB680" s="91"/>
      <c r="BC680" s="91"/>
      <c r="BD680" s="91"/>
      <c r="BE680" s="91"/>
      <c r="BF680" s="91"/>
      <c r="BG680" s="91"/>
      <c r="BH680" s="91"/>
      <c r="BI680" s="91"/>
    </row>
    <row r="681" spans="1:61" ht="24.6" hidden="1" customHeight="1">
      <c r="A681" s="932"/>
      <c r="B681" s="484" t="s">
        <v>246</v>
      </c>
      <c r="C681" s="484"/>
      <c r="D681" s="484"/>
      <c r="E681" s="484"/>
      <c r="F681" s="484"/>
      <c r="G681" s="81">
        <f>K681</f>
        <v>0</v>
      </c>
      <c r="H681" s="81"/>
      <c r="I681" s="81"/>
      <c r="J681" s="81"/>
      <c r="K681" s="81"/>
      <c r="L681" s="81"/>
      <c r="M681" s="580"/>
      <c r="N681" s="484"/>
      <c r="O681" s="944"/>
    </row>
    <row r="682" spans="1:61" ht="24.6" hidden="1" customHeight="1">
      <c r="A682" s="945" t="s">
        <v>129</v>
      </c>
      <c r="B682" s="57" t="s">
        <v>89</v>
      </c>
      <c r="C682" s="57"/>
      <c r="D682" s="57"/>
      <c r="E682" s="57"/>
      <c r="F682" s="57"/>
      <c r="G682" s="80">
        <f t="shared" ref="G682:L683" si="211">G684+G686</f>
        <v>0</v>
      </c>
      <c r="H682" s="80">
        <f t="shared" si="211"/>
        <v>0</v>
      </c>
      <c r="I682" s="80">
        <f t="shared" si="211"/>
        <v>0</v>
      </c>
      <c r="J682" s="80">
        <f t="shared" si="211"/>
        <v>0</v>
      </c>
      <c r="K682" s="80">
        <f t="shared" si="211"/>
        <v>0</v>
      </c>
      <c r="L682" s="80">
        <f t="shared" si="211"/>
        <v>0</v>
      </c>
      <c r="M682" s="439"/>
      <c r="N682" s="484"/>
      <c r="O682" s="57"/>
    </row>
    <row r="683" spans="1:61" ht="24.6" hidden="1" customHeight="1">
      <c r="A683" s="945"/>
      <c r="B683" s="57" t="s">
        <v>246</v>
      </c>
      <c r="C683" s="57"/>
      <c r="D683" s="57"/>
      <c r="E683" s="57"/>
      <c r="F683" s="57"/>
      <c r="G683" s="80">
        <f t="shared" si="211"/>
        <v>0</v>
      </c>
      <c r="H683" s="80">
        <f t="shared" si="211"/>
        <v>0</v>
      </c>
      <c r="I683" s="80">
        <f t="shared" si="211"/>
        <v>0</v>
      </c>
      <c r="J683" s="80">
        <f t="shared" si="211"/>
        <v>0</v>
      </c>
      <c r="K683" s="80">
        <f t="shared" si="211"/>
        <v>0</v>
      </c>
      <c r="L683" s="80">
        <f t="shared" si="211"/>
        <v>0</v>
      </c>
      <c r="M683" s="439"/>
      <c r="N683" s="484"/>
      <c r="O683" s="57"/>
    </row>
    <row r="684" spans="1:61" ht="22.15" hidden="1" customHeight="1">
      <c r="A684" s="932" t="s">
        <v>128</v>
      </c>
      <c r="B684" s="484" t="s">
        <v>89</v>
      </c>
      <c r="C684" s="484">
        <v>176</v>
      </c>
      <c r="D684" s="484" t="s">
        <v>15</v>
      </c>
      <c r="E684" s="484">
        <v>6100404</v>
      </c>
      <c r="F684" s="484">
        <v>243</v>
      </c>
      <c r="G684" s="81"/>
      <c r="H684" s="81"/>
      <c r="I684" s="81"/>
      <c r="J684" s="81"/>
      <c r="K684" s="81"/>
      <c r="L684" s="81"/>
      <c r="M684" s="580"/>
      <c r="N684" s="484"/>
      <c r="O684" s="944" t="s">
        <v>324</v>
      </c>
    </row>
    <row r="685" spans="1:61" s="44" customFormat="1" ht="23.45" hidden="1" customHeight="1">
      <c r="A685" s="932"/>
      <c r="B685" s="484" t="s">
        <v>246</v>
      </c>
      <c r="C685" s="484"/>
      <c r="D685" s="484"/>
      <c r="E685" s="484"/>
      <c r="F685" s="484"/>
      <c r="G685" s="81">
        <f>K685</f>
        <v>0</v>
      </c>
      <c r="H685" s="81"/>
      <c r="I685" s="81"/>
      <c r="J685" s="81"/>
      <c r="K685" s="81"/>
      <c r="L685" s="81"/>
      <c r="M685" s="580"/>
      <c r="N685" s="484"/>
      <c r="O685" s="944"/>
      <c r="AJ685" s="91"/>
      <c r="AK685" s="91"/>
      <c r="AL685" s="91"/>
      <c r="AM685" s="91"/>
      <c r="AN685" s="91"/>
      <c r="AO685" s="91"/>
      <c r="AP685" s="91"/>
      <c r="AQ685" s="91"/>
      <c r="AR685" s="91"/>
      <c r="AS685" s="91"/>
      <c r="AT685" s="91"/>
      <c r="AU685" s="91"/>
      <c r="AV685" s="91"/>
      <c r="AW685" s="91"/>
      <c r="AX685" s="91"/>
      <c r="AY685" s="91"/>
      <c r="AZ685" s="91"/>
      <c r="BA685" s="91"/>
      <c r="BB685" s="91"/>
      <c r="BC685" s="91"/>
      <c r="BD685" s="91"/>
      <c r="BE685" s="91"/>
      <c r="BF685" s="91"/>
      <c r="BG685" s="91"/>
      <c r="BH685" s="91"/>
      <c r="BI685" s="91"/>
    </row>
    <row r="686" spans="1:61" s="44" customFormat="1" ht="24" hidden="1" customHeight="1">
      <c r="A686" s="932" t="s">
        <v>109</v>
      </c>
      <c r="B686" s="484" t="s">
        <v>89</v>
      </c>
      <c r="C686" s="484">
        <v>176</v>
      </c>
      <c r="D686" s="484" t="s">
        <v>15</v>
      </c>
      <c r="E686" s="484">
        <v>6100404</v>
      </c>
      <c r="F686" s="484">
        <v>243</v>
      </c>
      <c r="G686" s="81"/>
      <c r="H686" s="81"/>
      <c r="I686" s="81"/>
      <c r="J686" s="81"/>
      <c r="K686" s="81"/>
      <c r="L686" s="81"/>
      <c r="M686" s="580"/>
      <c r="N686" s="484"/>
      <c r="O686" s="944" t="s">
        <v>291</v>
      </c>
      <c r="AJ686" s="91"/>
      <c r="AK686" s="91"/>
      <c r="AL686" s="91"/>
      <c r="AM686" s="91"/>
      <c r="AN686" s="91"/>
      <c r="AO686" s="91"/>
      <c r="AP686" s="91"/>
      <c r="AQ686" s="91"/>
      <c r="AR686" s="91"/>
      <c r="AS686" s="91"/>
      <c r="AT686" s="91"/>
      <c r="AU686" s="91"/>
      <c r="AV686" s="91"/>
      <c r="AW686" s="91"/>
      <c r="AX686" s="91"/>
      <c r="AY686" s="91"/>
      <c r="AZ686" s="91"/>
      <c r="BA686" s="91"/>
      <c r="BB686" s="91"/>
      <c r="BC686" s="91"/>
      <c r="BD686" s="91"/>
      <c r="BE686" s="91"/>
      <c r="BF686" s="91"/>
      <c r="BG686" s="91"/>
      <c r="BH686" s="91"/>
      <c r="BI686" s="91"/>
    </row>
    <row r="687" spans="1:61" ht="12.75" hidden="1" customHeight="1">
      <c r="A687" s="932"/>
      <c r="B687" s="484" t="s">
        <v>246</v>
      </c>
      <c r="C687" s="484"/>
      <c r="D687" s="484"/>
      <c r="E687" s="484"/>
      <c r="F687" s="484"/>
      <c r="G687" s="81"/>
      <c r="H687" s="81"/>
      <c r="I687" s="81"/>
      <c r="J687" s="81"/>
      <c r="K687" s="81"/>
      <c r="L687" s="81"/>
      <c r="M687" s="580"/>
      <c r="N687" s="484"/>
      <c r="O687" s="944"/>
    </row>
    <row r="688" spans="1:61" ht="24.6" customHeight="1">
      <c r="A688" s="945" t="s">
        <v>102</v>
      </c>
      <c r="B688" s="57" t="s">
        <v>721</v>
      </c>
      <c r="C688" s="57"/>
      <c r="D688" s="57"/>
      <c r="E688" s="57"/>
      <c r="F688" s="57"/>
      <c r="G688" s="80">
        <f>K688</f>
        <v>0</v>
      </c>
      <c r="H688" s="80"/>
      <c r="I688" s="80"/>
      <c r="J688" s="80"/>
      <c r="K688" s="80">
        <f>K694+K698</f>
        <v>0</v>
      </c>
      <c r="L688" s="80">
        <f>L694+L698</f>
        <v>0</v>
      </c>
      <c r="M688" s="439"/>
      <c r="N688" s="484"/>
      <c r="O688" s="57"/>
    </row>
    <row r="689" spans="1:61" ht="24.6" customHeight="1">
      <c r="A689" s="945"/>
      <c r="B689" s="57" t="s">
        <v>439</v>
      </c>
      <c r="C689" s="57"/>
      <c r="D689" s="57"/>
      <c r="E689" s="57"/>
      <c r="F689" s="57"/>
      <c r="G689" s="80">
        <f>K689</f>
        <v>3418.3</v>
      </c>
      <c r="H689" s="80"/>
      <c r="I689" s="80"/>
      <c r="J689" s="80"/>
      <c r="K689" s="80">
        <f>K690+K691</f>
        <v>3418.3</v>
      </c>
      <c r="L689" s="80">
        <f>L690+L691</f>
        <v>0</v>
      </c>
      <c r="M689" s="439"/>
      <c r="N689" s="484"/>
      <c r="O689" s="57"/>
    </row>
    <row r="690" spans="1:61" ht="24.6" customHeight="1">
      <c r="A690" s="945"/>
      <c r="B690" s="57" t="s">
        <v>247</v>
      </c>
      <c r="C690" s="57"/>
      <c r="D690" s="57"/>
      <c r="E690" s="57"/>
      <c r="F690" s="57"/>
      <c r="G690" s="80">
        <f t="shared" ref="G690:G699" si="212">K690</f>
        <v>3418.3</v>
      </c>
      <c r="H690" s="80"/>
      <c r="I690" s="80"/>
      <c r="J690" s="80"/>
      <c r="K690" s="80">
        <f>K696+K699</f>
        <v>3418.3</v>
      </c>
      <c r="L690" s="80">
        <f>L696+L699</f>
        <v>0</v>
      </c>
      <c r="M690" s="439"/>
      <c r="N690" s="484"/>
      <c r="O690" s="57"/>
    </row>
    <row r="691" spans="1:61" ht="23.45" customHeight="1">
      <c r="A691" s="945"/>
      <c r="B691" s="57" t="s">
        <v>495</v>
      </c>
      <c r="C691" s="57"/>
      <c r="D691" s="57"/>
      <c r="E691" s="57"/>
      <c r="F691" s="57"/>
      <c r="G691" s="80">
        <f t="shared" si="212"/>
        <v>0</v>
      </c>
      <c r="H691" s="80">
        <f>H693+H699</f>
        <v>0</v>
      </c>
      <c r="I691" s="80">
        <f>I693+I699</f>
        <v>0</v>
      </c>
      <c r="J691" s="80">
        <f>J693+J699</f>
        <v>0</v>
      </c>
      <c r="K691" s="80">
        <f>K697</f>
        <v>0</v>
      </c>
      <c r="L691" s="80">
        <f>L697</f>
        <v>0</v>
      </c>
      <c r="M691" s="439"/>
      <c r="N691" s="484"/>
      <c r="O691" s="57"/>
    </row>
    <row r="692" spans="1:61" ht="24.6" hidden="1" customHeight="1">
      <c r="A692" s="932" t="s">
        <v>130</v>
      </c>
      <c r="B692" s="484" t="s">
        <v>89</v>
      </c>
      <c r="C692" s="484">
        <v>176</v>
      </c>
      <c r="D692" s="484" t="s">
        <v>15</v>
      </c>
      <c r="E692" s="484">
        <v>6100404</v>
      </c>
      <c r="F692" s="484">
        <v>243</v>
      </c>
      <c r="G692" s="80">
        <f t="shared" si="212"/>
        <v>0</v>
      </c>
      <c r="H692" s="81"/>
      <c r="I692" s="81"/>
      <c r="J692" s="81"/>
      <c r="K692" s="81"/>
      <c r="L692" s="81"/>
      <c r="M692" s="580"/>
      <c r="N692" s="484"/>
      <c r="O692" s="944" t="s">
        <v>211</v>
      </c>
    </row>
    <row r="693" spans="1:61" ht="24.6" hidden="1" customHeight="1">
      <c r="A693" s="932"/>
      <c r="B693" s="484" t="s">
        <v>246</v>
      </c>
      <c r="C693" s="484"/>
      <c r="D693" s="484"/>
      <c r="E693" s="484"/>
      <c r="F693" s="484"/>
      <c r="G693" s="80">
        <f t="shared" si="212"/>
        <v>0</v>
      </c>
      <c r="H693" s="81"/>
      <c r="I693" s="81"/>
      <c r="J693" s="81"/>
      <c r="K693" s="81"/>
      <c r="L693" s="81"/>
      <c r="M693" s="580"/>
      <c r="N693" s="484"/>
      <c r="O693" s="944"/>
    </row>
    <row r="694" spans="1:61" ht="24.6" customHeight="1">
      <c r="A694" s="932" t="s">
        <v>849</v>
      </c>
      <c r="B694" s="484" t="s">
        <v>721</v>
      </c>
      <c r="C694" s="484">
        <v>176</v>
      </c>
      <c r="D694" s="484" t="s">
        <v>15</v>
      </c>
      <c r="E694" s="484">
        <v>6100404</v>
      </c>
      <c r="F694" s="484">
        <v>243</v>
      </c>
      <c r="G694" s="81">
        <f t="shared" si="212"/>
        <v>0</v>
      </c>
      <c r="H694" s="81"/>
      <c r="I694" s="81"/>
      <c r="J694" s="81"/>
      <c r="K694" s="81"/>
      <c r="L694" s="81"/>
      <c r="M694" s="580"/>
      <c r="N694" s="484"/>
      <c r="O694" s="944" t="s">
        <v>822</v>
      </c>
    </row>
    <row r="695" spans="1:61" ht="24.6" customHeight="1">
      <c r="A695" s="932"/>
      <c r="B695" s="484" t="s">
        <v>439</v>
      </c>
      <c r="C695" s="484"/>
      <c r="D695" s="484"/>
      <c r="E695" s="484"/>
      <c r="F695" s="484"/>
      <c r="G695" s="81">
        <f t="shared" si="212"/>
        <v>3418.3</v>
      </c>
      <c r="H695" s="81"/>
      <c r="I695" s="81"/>
      <c r="J695" s="81"/>
      <c r="K695" s="81">
        <f>K696+K697</f>
        <v>3418.3</v>
      </c>
      <c r="L695" s="81">
        <f>L696+L697</f>
        <v>0</v>
      </c>
      <c r="M695" s="580"/>
      <c r="N695" s="484"/>
      <c r="O695" s="944"/>
    </row>
    <row r="696" spans="1:61" ht="24.6" customHeight="1">
      <c r="A696" s="932"/>
      <c r="B696" s="484" t="s">
        <v>247</v>
      </c>
      <c r="C696" s="484"/>
      <c r="D696" s="484"/>
      <c r="E696" s="484"/>
      <c r="F696" s="484"/>
      <c r="G696" s="81">
        <f t="shared" si="212"/>
        <v>3418.3</v>
      </c>
      <c r="H696" s="81"/>
      <c r="I696" s="81"/>
      <c r="J696" s="81"/>
      <c r="K696" s="81">
        <v>3418.3</v>
      </c>
      <c r="L696" s="81"/>
      <c r="M696" s="580"/>
      <c r="N696" s="484"/>
      <c r="O696" s="944"/>
    </row>
    <row r="697" spans="1:61" s="44" customFormat="1" ht="24.6" customHeight="1">
      <c r="A697" s="932"/>
      <c r="B697" s="484" t="s">
        <v>495</v>
      </c>
      <c r="C697" s="484"/>
      <c r="D697" s="484"/>
      <c r="E697" s="484"/>
      <c r="F697" s="484"/>
      <c r="G697" s="81">
        <f t="shared" si="212"/>
        <v>0</v>
      </c>
      <c r="H697" s="81"/>
      <c r="I697" s="81"/>
      <c r="J697" s="81"/>
      <c r="K697" s="81"/>
      <c r="L697" s="81"/>
      <c r="M697" s="580"/>
      <c r="N697" s="484"/>
      <c r="O697" s="944"/>
      <c r="AJ697" s="91"/>
      <c r="AK697" s="91"/>
      <c r="AL697" s="91"/>
      <c r="AM697" s="91"/>
      <c r="AN697" s="91"/>
      <c r="AO697" s="91"/>
      <c r="AP697" s="91"/>
      <c r="AQ697" s="91"/>
      <c r="AR697" s="91"/>
      <c r="AS697" s="91"/>
      <c r="AT697" s="91"/>
      <c r="AU697" s="91"/>
      <c r="AV697" s="91"/>
      <c r="AW697" s="91"/>
      <c r="AX697" s="91"/>
      <c r="AY697" s="91"/>
      <c r="AZ697" s="91"/>
      <c r="BA697" s="91"/>
      <c r="BB697" s="91"/>
      <c r="BC697" s="91"/>
      <c r="BD697" s="91"/>
      <c r="BE697" s="91"/>
      <c r="BF697" s="91"/>
      <c r="BG697" s="91"/>
      <c r="BH697" s="91"/>
      <c r="BI697" s="91"/>
    </row>
    <row r="698" spans="1:61" s="44" customFormat="1" ht="24.95" hidden="1" customHeight="1">
      <c r="A698" s="932" t="s">
        <v>109</v>
      </c>
      <c r="B698" s="484" t="s">
        <v>721</v>
      </c>
      <c r="C698" s="484">
        <v>176</v>
      </c>
      <c r="D698" s="484" t="s">
        <v>15</v>
      </c>
      <c r="E698" s="484">
        <v>6100404</v>
      </c>
      <c r="F698" s="484">
        <v>243</v>
      </c>
      <c r="G698" s="81">
        <f t="shared" si="212"/>
        <v>0</v>
      </c>
      <c r="H698" s="81"/>
      <c r="I698" s="81"/>
      <c r="J698" s="81"/>
      <c r="K698" s="81"/>
      <c r="L698" s="81"/>
      <c r="M698" s="580"/>
      <c r="N698" s="484"/>
      <c r="O698" s="944" t="s">
        <v>730</v>
      </c>
      <c r="AJ698" s="91"/>
      <c r="AK698" s="91"/>
      <c r="AL698" s="91"/>
      <c r="AM698" s="91"/>
      <c r="AN698" s="91"/>
      <c r="AO698" s="91"/>
      <c r="AP698" s="91"/>
      <c r="AQ698" s="91"/>
      <c r="AR698" s="91"/>
      <c r="AS698" s="91"/>
      <c r="AT698" s="91"/>
      <c r="AU698" s="91"/>
      <c r="AV698" s="91"/>
      <c r="AW698" s="91"/>
      <c r="AX698" s="91"/>
      <c r="AY698" s="91"/>
      <c r="AZ698" s="91"/>
      <c r="BA698" s="91"/>
      <c r="BB698" s="91"/>
      <c r="BC698" s="91"/>
      <c r="BD698" s="91"/>
      <c r="BE698" s="91"/>
      <c r="BF698" s="91"/>
      <c r="BG698" s="91"/>
      <c r="BH698" s="91"/>
      <c r="BI698" s="91"/>
    </row>
    <row r="699" spans="1:61" s="44" customFormat="1" ht="24.95" hidden="1" customHeight="1">
      <c r="A699" s="932"/>
      <c r="B699" s="484" t="s">
        <v>246</v>
      </c>
      <c r="C699" s="484"/>
      <c r="D699" s="484"/>
      <c r="E699" s="484"/>
      <c r="F699" s="484"/>
      <c r="G699" s="81">
        <f t="shared" si="212"/>
        <v>0</v>
      </c>
      <c r="H699" s="81"/>
      <c r="I699" s="81"/>
      <c r="J699" s="81"/>
      <c r="K699" s="81"/>
      <c r="L699" s="81"/>
      <c r="M699" s="580"/>
      <c r="N699" s="484"/>
      <c r="O699" s="944"/>
      <c r="AJ699" s="91"/>
      <c r="AK699" s="91"/>
      <c r="AL699" s="91"/>
      <c r="AM699" s="91"/>
      <c r="AN699" s="91"/>
      <c r="AO699" s="91"/>
      <c r="AP699" s="91"/>
      <c r="AQ699" s="91"/>
      <c r="AR699" s="91"/>
      <c r="AS699" s="91"/>
      <c r="AT699" s="91"/>
      <c r="AU699" s="91"/>
      <c r="AV699" s="91"/>
      <c r="AW699" s="91"/>
      <c r="AX699" s="91"/>
      <c r="AY699" s="91"/>
      <c r="AZ699" s="91"/>
      <c r="BA699" s="91"/>
      <c r="BB699" s="91"/>
      <c r="BC699" s="91"/>
      <c r="BD699" s="91"/>
      <c r="BE699" s="91"/>
      <c r="BF699" s="91"/>
      <c r="BG699" s="91"/>
      <c r="BH699" s="91"/>
      <c r="BI699" s="91"/>
    </row>
    <row r="700" spans="1:61" s="44" customFormat="1" ht="24.95" hidden="1" customHeight="1">
      <c r="A700" s="887" t="s">
        <v>132</v>
      </c>
      <c r="B700" s="57" t="s">
        <v>721</v>
      </c>
      <c r="C700" s="57"/>
      <c r="D700" s="57"/>
      <c r="E700" s="57"/>
      <c r="F700" s="57"/>
      <c r="G700" s="80">
        <f>G704+G708</f>
        <v>0</v>
      </c>
      <c r="H700" s="80">
        <f t="shared" ref="H700:J700" si="213">H704+H708</f>
        <v>0</v>
      </c>
      <c r="I700" s="80">
        <f t="shared" si="213"/>
        <v>0</v>
      </c>
      <c r="J700" s="80">
        <f t="shared" si="213"/>
        <v>0</v>
      </c>
      <c r="K700" s="80">
        <f>K704</f>
        <v>0</v>
      </c>
      <c r="L700" s="80">
        <f t="shared" ref="L700:M700" si="214">L704+L708</f>
        <v>0</v>
      </c>
      <c r="M700" s="439">
        <f t="shared" si="214"/>
        <v>0</v>
      </c>
      <c r="N700" s="484"/>
      <c r="O700" s="57"/>
      <c r="AJ700" s="91"/>
      <c r="AK700" s="91"/>
      <c r="AL700" s="91"/>
      <c r="AM700" s="91"/>
      <c r="AN700" s="91"/>
      <c r="AO700" s="91"/>
      <c r="AP700" s="91"/>
      <c r="AQ700" s="91"/>
      <c r="AR700" s="91"/>
      <c r="AS700" s="91"/>
      <c r="AT700" s="91"/>
      <c r="AU700" s="91"/>
      <c r="AV700" s="91"/>
      <c r="AW700" s="91"/>
      <c r="AX700" s="91"/>
      <c r="AY700" s="91"/>
      <c r="AZ700" s="91"/>
      <c r="BA700" s="91"/>
      <c r="BB700" s="91"/>
      <c r="BC700" s="91"/>
      <c r="BD700" s="91"/>
      <c r="BE700" s="91"/>
      <c r="BF700" s="91"/>
      <c r="BG700" s="91"/>
      <c r="BH700" s="91"/>
      <c r="BI700" s="91"/>
    </row>
    <row r="701" spans="1:61" ht="24.95" hidden="1" customHeight="1">
      <c r="A701" s="888"/>
      <c r="B701" s="57" t="s">
        <v>235</v>
      </c>
      <c r="C701" s="57"/>
      <c r="D701" s="57"/>
      <c r="E701" s="57"/>
      <c r="F701" s="57"/>
      <c r="G701" s="80">
        <f t="shared" ref="G701:M701" si="215">G702+G703</f>
        <v>0</v>
      </c>
      <c r="H701" s="80">
        <f t="shared" si="215"/>
        <v>0</v>
      </c>
      <c r="I701" s="80">
        <f t="shared" si="215"/>
        <v>0</v>
      </c>
      <c r="J701" s="80">
        <f t="shared" si="215"/>
        <v>0</v>
      </c>
      <c r="K701" s="80">
        <f t="shared" si="215"/>
        <v>0</v>
      </c>
      <c r="L701" s="80">
        <f t="shared" si="215"/>
        <v>0</v>
      </c>
      <c r="M701" s="439">
        <f t="shared" si="215"/>
        <v>0</v>
      </c>
      <c r="N701" s="484"/>
      <c r="O701" s="57"/>
    </row>
    <row r="702" spans="1:61" ht="23.45" hidden="1" customHeight="1">
      <c r="A702" s="888"/>
      <c r="B702" s="57" t="s">
        <v>247</v>
      </c>
      <c r="C702" s="57"/>
      <c r="D702" s="57"/>
      <c r="E702" s="57"/>
      <c r="F702" s="57"/>
      <c r="G702" s="80">
        <f>K702</f>
        <v>0</v>
      </c>
      <c r="H702" s="80">
        <f t="shared" ref="H702:J702" si="216">H707+H709</f>
        <v>0</v>
      </c>
      <c r="I702" s="80">
        <f t="shared" si="216"/>
        <v>0</v>
      </c>
      <c r="J702" s="80">
        <f t="shared" si="216"/>
        <v>0</v>
      </c>
      <c r="K702" s="80">
        <f>K706+K709</f>
        <v>0</v>
      </c>
      <c r="L702" s="80">
        <f>L706+L709</f>
        <v>0</v>
      </c>
      <c r="M702" s="439">
        <f t="shared" ref="M702" si="217">M707+M709</f>
        <v>0</v>
      </c>
      <c r="N702" s="484"/>
      <c r="O702" s="57"/>
    </row>
    <row r="703" spans="1:61" ht="24.6" hidden="1" customHeight="1">
      <c r="A703" s="491"/>
      <c r="B703" s="57" t="s">
        <v>495</v>
      </c>
      <c r="C703" s="57"/>
      <c r="D703" s="57"/>
      <c r="E703" s="57"/>
      <c r="F703" s="57"/>
      <c r="G703" s="80">
        <f>K703</f>
        <v>0</v>
      </c>
      <c r="H703" s="80"/>
      <c r="I703" s="80"/>
      <c r="J703" s="80"/>
      <c r="K703" s="80">
        <f>K707</f>
        <v>0</v>
      </c>
      <c r="L703" s="80">
        <f>L707</f>
        <v>0</v>
      </c>
      <c r="M703" s="439"/>
      <c r="N703" s="484"/>
      <c r="O703" s="57"/>
    </row>
    <row r="704" spans="1:61" ht="22.5" hidden="1" customHeight="1">
      <c r="A704" s="926" t="s">
        <v>310</v>
      </c>
      <c r="B704" s="484" t="s">
        <v>721</v>
      </c>
      <c r="C704" s="57"/>
      <c r="D704" s="57"/>
      <c r="E704" s="57"/>
      <c r="F704" s="57"/>
      <c r="G704" s="81">
        <f>K704</f>
        <v>0</v>
      </c>
      <c r="H704" s="81"/>
      <c r="I704" s="81"/>
      <c r="J704" s="81"/>
      <c r="K704" s="81"/>
      <c r="L704" s="81"/>
      <c r="M704" s="579"/>
      <c r="N704" s="484"/>
      <c r="O704" s="944" t="s">
        <v>822</v>
      </c>
    </row>
    <row r="705" spans="1:61" ht="28.5" hidden="1" customHeight="1">
      <c r="A705" s="927"/>
      <c r="B705" s="484" t="s">
        <v>439</v>
      </c>
      <c r="C705" s="57"/>
      <c r="D705" s="57"/>
      <c r="E705" s="57"/>
      <c r="F705" s="57"/>
      <c r="G705" s="81">
        <f t="shared" ref="G705:G707" si="218">K705</f>
        <v>0</v>
      </c>
      <c r="H705" s="81"/>
      <c r="I705" s="81"/>
      <c r="J705" s="81"/>
      <c r="K705" s="81">
        <f>K706+K707</f>
        <v>0</v>
      </c>
      <c r="L705" s="81">
        <f>L706+L707</f>
        <v>0</v>
      </c>
      <c r="M705" s="579"/>
      <c r="N705" s="484"/>
      <c r="O705" s="944"/>
    </row>
    <row r="706" spans="1:61" ht="28.5" hidden="1" customHeight="1">
      <c r="A706" s="927"/>
      <c r="B706" s="484" t="s">
        <v>247</v>
      </c>
      <c r="C706" s="57"/>
      <c r="D706" s="57"/>
      <c r="E706" s="57"/>
      <c r="F706" s="57"/>
      <c r="G706" s="81">
        <f t="shared" si="218"/>
        <v>0</v>
      </c>
      <c r="H706" s="81"/>
      <c r="I706" s="81"/>
      <c r="J706" s="81"/>
      <c r="K706" s="81"/>
      <c r="L706" s="81"/>
      <c r="M706" s="579"/>
      <c r="N706" s="484"/>
      <c r="O706" s="944"/>
    </row>
    <row r="707" spans="1:61" ht="24.6" hidden="1" customHeight="1">
      <c r="A707" s="928"/>
      <c r="B707" s="484" t="s">
        <v>495</v>
      </c>
      <c r="C707" s="57"/>
      <c r="D707" s="57"/>
      <c r="E707" s="57"/>
      <c r="F707" s="57"/>
      <c r="G707" s="81">
        <f t="shared" si="218"/>
        <v>0</v>
      </c>
      <c r="H707" s="81"/>
      <c r="I707" s="81"/>
      <c r="J707" s="81"/>
      <c r="K707" s="81"/>
      <c r="L707" s="81"/>
      <c r="M707" s="580"/>
      <c r="N707" s="484"/>
      <c r="O707" s="944"/>
    </row>
    <row r="708" spans="1:61" ht="24.6" hidden="1" customHeight="1">
      <c r="A708" s="932" t="s">
        <v>131</v>
      </c>
      <c r="B708" s="57" t="s">
        <v>721</v>
      </c>
      <c r="C708" s="484">
        <v>176</v>
      </c>
      <c r="D708" s="484" t="s">
        <v>15</v>
      </c>
      <c r="E708" s="484">
        <v>6100404</v>
      </c>
      <c r="F708" s="484">
        <v>243</v>
      </c>
      <c r="G708" s="81">
        <f>J708</f>
        <v>0</v>
      </c>
      <c r="H708" s="81"/>
      <c r="I708" s="81"/>
      <c r="J708" s="81"/>
      <c r="K708" s="81"/>
      <c r="L708" s="81"/>
      <c r="M708" s="580"/>
      <c r="N708" s="484"/>
      <c r="O708" s="944" t="s">
        <v>731</v>
      </c>
    </row>
    <row r="709" spans="1:61" ht="23.45" hidden="1" customHeight="1">
      <c r="A709" s="932"/>
      <c r="B709" s="484" t="s">
        <v>246</v>
      </c>
      <c r="C709" s="484"/>
      <c r="D709" s="484"/>
      <c r="E709" s="484"/>
      <c r="F709" s="484"/>
      <c r="G709" s="81">
        <f>J709+K709</f>
        <v>0</v>
      </c>
      <c r="H709" s="81"/>
      <c r="I709" s="81"/>
      <c r="J709" s="81"/>
      <c r="K709" s="81"/>
      <c r="L709" s="81"/>
      <c r="M709" s="580"/>
      <c r="N709" s="484"/>
      <c r="O709" s="944"/>
    </row>
    <row r="710" spans="1:61" ht="24.6" hidden="1" customHeight="1">
      <c r="A710" s="932" t="s">
        <v>173</v>
      </c>
      <c r="B710" s="484" t="s">
        <v>89</v>
      </c>
      <c r="C710" s="484">
        <v>176</v>
      </c>
      <c r="D710" s="484" t="s">
        <v>15</v>
      </c>
      <c r="E710" s="484">
        <v>6100404</v>
      </c>
      <c r="F710" s="484">
        <v>243</v>
      </c>
      <c r="G710" s="81">
        <v>0</v>
      </c>
      <c r="H710" s="81"/>
      <c r="I710" s="81"/>
      <c r="J710" s="81"/>
      <c r="K710" s="81"/>
      <c r="L710" s="81"/>
      <c r="M710" s="580"/>
      <c r="N710" s="484"/>
      <c r="O710" s="944" t="s">
        <v>211</v>
      </c>
    </row>
    <row r="711" spans="1:61" ht="24" hidden="1" customHeight="1">
      <c r="A711" s="932"/>
      <c r="B711" s="484" t="s">
        <v>246</v>
      </c>
      <c r="C711" s="484"/>
      <c r="D711" s="484"/>
      <c r="E711" s="484"/>
      <c r="F711" s="484"/>
      <c r="G711" s="81"/>
      <c r="H711" s="81"/>
      <c r="I711" s="81"/>
      <c r="J711" s="81"/>
      <c r="K711" s="81"/>
      <c r="L711" s="81"/>
      <c r="M711" s="580"/>
      <c r="N711" s="484"/>
      <c r="O711" s="944"/>
    </row>
    <row r="712" spans="1:61" ht="24.6" hidden="1" customHeight="1">
      <c r="A712" s="932" t="s">
        <v>109</v>
      </c>
      <c r="B712" s="484" t="s">
        <v>89</v>
      </c>
      <c r="C712" s="484"/>
      <c r="D712" s="484"/>
      <c r="E712" s="484"/>
      <c r="F712" s="484"/>
      <c r="G712" s="81"/>
      <c r="H712" s="81"/>
      <c r="I712" s="81"/>
      <c r="J712" s="81"/>
      <c r="K712" s="81"/>
      <c r="L712" s="81"/>
      <c r="M712" s="580"/>
      <c r="N712" s="484"/>
      <c r="O712" s="944" t="s">
        <v>31</v>
      </c>
    </row>
    <row r="713" spans="1:61" s="44" customFormat="1" ht="24.6" hidden="1" customHeight="1">
      <c r="A713" s="932"/>
      <c r="B713" s="484" t="s">
        <v>235</v>
      </c>
      <c r="C713" s="484">
        <v>176</v>
      </c>
      <c r="D713" s="484" t="s">
        <v>15</v>
      </c>
      <c r="E713" s="484">
        <v>6100404</v>
      </c>
      <c r="F713" s="484">
        <v>243</v>
      </c>
      <c r="G713" s="81">
        <f t="shared" ref="G713:L713" si="219">G714+G715</f>
        <v>0</v>
      </c>
      <c r="H713" s="81"/>
      <c r="I713" s="81"/>
      <c r="J713" s="81"/>
      <c r="K713" s="81"/>
      <c r="L713" s="81">
        <f t="shared" si="219"/>
        <v>0</v>
      </c>
      <c r="M713" s="580"/>
      <c r="N713" s="484"/>
      <c r="O713" s="944"/>
      <c r="AJ713" s="91"/>
      <c r="AK713" s="91"/>
      <c r="AL713" s="91"/>
      <c r="AM713" s="91"/>
      <c r="AN713" s="91"/>
      <c r="AO713" s="91"/>
      <c r="AP713" s="91"/>
      <c r="AQ713" s="91"/>
      <c r="AR713" s="91"/>
      <c r="AS713" s="91"/>
      <c r="AT713" s="91"/>
      <c r="AU713" s="91"/>
      <c r="AV713" s="91"/>
      <c r="AW713" s="91"/>
      <c r="AX713" s="91"/>
      <c r="AY713" s="91"/>
      <c r="AZ713" s="91"/>
      <c r="BA713" s="91"/>
      <c r="BB713" s="91"/>
      <c r="BC713" s="91"/>
      <c r="BD713" s="91"/>
      <c r="BE713" s="91"/>
      <c r="BF713" s="91"/>
      <c r="BG713" s="91"/>
      <c r="BH713" s="91"/>
      <c r="BI713" s="91"/>
    </row>
    <row r="714" spans="1:61" s="44" customFormat="1" ht="24.6" hidden="1" customHeight="1">
      <c r="A714" s="932"/>
      <c r="B714" s="484" t="s">
        <v>247</v>
      </c>
      <c r="C714" s="484"/>
      <c r="D714" s="484"/>
      <c r="E714" s="484"/>
      <c r="F714" s="484"/>
      <c r="G714" s="81"/>
      <c r="H714" s="81"/>
      <c r="I714" s="81"/>
      <c r="J714" s="81"/>
      <c r="K714" s="81"/>
      <c r="L714" s="81"/>
      <c r="M714" s="580"/>
      <c r="N714" s="484"/>
      <c r="O714" s="484"/>
      <c r="AJ714" s="91"/>
      <c r="AK714" s="91"/>
      <c r="AL714" s="91"/>
      <c r="AM714" s="91"/>
      <c r="AN714" s="91"/>
      <c r="AO714" s="91"/>
      <c r="AP714" s="91"/>
      <c r="AQ714" s="91"/>
      <c r="AR714" s="91"/>
      <c r="AS714" s="91"/>
      <c r="AT714" s="91"/>
      <c r="AU714" s="91"/>
      <c r="AV714" s="91"/>
      <c r="AW714" s="91"/>
      <c r="AX714" s="91"/>
      <c r="AY714" s="91"/>
      <c r="AZ714" s="91"/>
      <c r="BA714" s="91"/>
      <c r="BB714" s="91"/>
      <c r="BC714" s="91"/>
      <c r="BD714" s="91"/>
      <c r="BE714" s="91"/>
      <c r="BF714" s="91"/>
      <c r="BG714" s="91"/>
      <c r="BH714" s="91"/>
      <c r="BI714" s="91"/>
    </row>
    <row r="715" spans="1:61" ht="24.6" hidden="1" customHeight="1">
      <c r="A715" s="932"/>
      <c r="B715" s="484" t="s">
        <v>248</v>
      </c>
      <c r="C715" s="484"/>
      <c r="D715" s="484"/>
      <c r="E715" s="484"/>
      <c r="F715" s="484"/>
      <c r="G715" s="81"/>
      <c r="H715" s="81"/>
      <c r="I715" s="81"/>
      <c r="J715" s="81"/>
      <c r="K715" s="81"/>
      <c r="L715" s="81"/>
      <c r="M715" s="580"/>
      <c r="N715" s="484"/>
      <c r="O715" s="484"/>
    </row>
    <row r="716" spans="1:61" ht="24.95" customHeight="1">
      <c r="A716" s="945" t="s">
        <v>133</v>
      </c>
      <c r="B716" s="57" t="s">
        <v>721</v>
      </c>
      <c r="C716" s="57"/>
      <c r="D716" s="57"/>
      <c r="E716" s="57"/>
      <c r="F716" s="57"/>
      <c r="G716" s="80">
        <f>G720+G724</f>
        <v>1</v>
      </c>
      <c r="H716" s="80">
        <f t="shared" ref="H716:L716" si="220">H720+H724</f>
        <v>0</v>
      </c>
      <c r="I716" s="80">
        <f t="shared" si="220"/>
        <v>0</v>
      </c>
      <c r="J716" s="80">
        <f t="shared" si="220"/>
        <v>0</v>
      </c>
      <c r="K716" s="80">
        <f t="shared" si="220"/>
        <v>1</v>
      </c>
      <c r="L716" s="80">
        <f t="shared" si="220"/>
        <v>0</v>
      </c>
      <c r="M716" s="439">
        <f>M720+M724</f>
        <v>1</v>
      </c>
      <c r="N716" s="484"/>
      <c r="O716" s="57"/>
    </row>
    <row r="717" spans="1:61" ht="24.95" customHeight="1">
      <c r="A717" s="945"/>
      <c r="B717" s="57" t="s">
        <v>439</v>
      </c>
      <c r="C717" s="57"/>
      <c r="D717" s="57"/>
      <c r="E717" s="57"/>
      <c r="F717" s="57"/>
      <c r="G717" s="80">
        <f>K717</f>
        <v>5663.8</v>
      </c>
      <c r="H717" s="80"/>
      <c r="I717" s="80"/>
      <c r="J717" s="80"/>
      <c r="K717" s="80">
        <f>K718+K719</f>
        <v>5663.8</v>
      </c>
      <c r="L717" s="80">
        <f>L718+L719</f>
        <v>5000</v>
      </c>
      <c r="M717" s="439">
        <f>M718+M719</f>
        <v>143000</v>
      </c>
      <c r="N717" s="484"/>
      <c r="O717" s="57"/>
    </row>
    <row r="718" spans="1:61" ht="24.95" customHeight="1">
      <c r="A718" s="945"/>
      <c r="B718" s="57" t="s">
        <v>247</v>
      </c>
      <c r="C718" s="57"/>
      <c r="D718" s="57"/>
      <c r="E718" s="57"/>
      <c r="F718" s="57"/>
      <c r="G718" s="80">
        <f>G721+G723+G725</f>
        <v>5663.8</v>
      </c>
      <c r="H718" s="80">
        <f t="shared" ref="H718:M718" si="221">H721+H723+H725</f>
        <v>0</v>
      </c>
      <c r="I718" s="80">
        <f t="shared" si="221"/>
        <v>0</v>
      </c>
      <c r="J718" s="80">
        <f t="shared" si="221"/>
        <v>0</v>
      </c>
      <c r="K718" s="80">
        <f t="shared" si="221"/>
        <v>5663.8</v>
      </c>
      <c r="L718" s="80">
        <f t="shared" si="221"/>
        <v>5000</v>
      </c>
      <c r="M718" s="80">
        <f t="shared" si="221"/>
        <v>143000</v>
      </c>
      <c r="N718" s="484"/>
      <c r="O718" s="57"/>
    </row>
    <row r="719" spans="1:61" ht="26.45" customHeight="1">
      <c r="A719" s="945"/>
      <c r="B719" s="57" t="s">
        <v>495</v>
      </c>
      <c r="C719" s="57"/>
      <c r="D719" s="57"/>
      <c r="E719" s="57"/>
      <c r="F719" s="57"/>
      <c r="G719" s="80">
        <f t="shared" ref="G719" si="222">K719</f>
        <v>0</v>
      </c>
      <c r="H719" s="80"/>
      <c r="I719" s="80"/>
      <c r="J719" s="80"/>
      <c r="K719" s="80"/>
      <c r="L719" s="80"/>
      <c r="M719" s="439"/>
      <c r="N719" s="484"/>
      <c r="O719" s="57"/>
    </row>
    <row r="720" spans="1:61" ht="20.25" customHeight="1">
      <c r="A720" s="1020" t="s">
        <v>805</v>
      </c>
      <c r="B720" s="484" t="s">
        <v>721</v>
      </c>
      <c r="C720" s="484">
        <v>176</v>
      </c>
      <c r="D720" s="484" t="s">
        <v>15</v>
      </c>
      <c r="E720" s="484">
        <v>6100404</v>
      </c>
      <c r="F720" s="484">
        <v>243</v>
      </c>
      <c r="G720" s="81">
        <f>K720</f>
        <v>0</v>
      </c>
      <c r="H720" s="81"/>
      <c r="I720" s="81"/>
      <c r="J720" s="81"/>
      <c r="K720" s="81"/>
      <c r="L720" s="81"/>
      <c r="M720" s="580">
        <v>1</v>
      </c>
      <c r="N720" s="484"/>
      <c r="O720" s="944" t="s">
        <v>921</v>
      </c>
    </row>
    <row r="721" spans="1:61" ht="20.25" customHeight="1">
      <c r="A721" s="1021"/>
      <c r="B721" s="484" t="s">
        <v>439</v>
      </c>
      <c r="C721" s="484"/>
      <c r="D721" s="484"/>
      <c r="E721" s="484"/>
      <c r="F721" s="484"/>
      <c r="G721" s="81">
        <v>0</v>
      </c>
      <c r="H721" s="81"/>
      <c r="I721" s="81"/>
      <c r="J721" s="81"/>
      <c r="K721" s="81"/>
      <c r="L721" s="81"/>
      <c r="M721" s="580">
        <f>155000-12000</f>
        <v>143000</v>
      </c>
      <c r="N721" s="484"/>
      <c r="O721" s="944"/>
    </row>
    <row r="722" spans="1:61" s="44" customFormat="1" ht="22.9" customHeight="1">
      <c r="A722" s="926" t="s">
        <v>917</v>
      </c>
      <c r="B722" s="649" t="s">
        <v>721</v>
      </c>
      <c r="C722" s="649">
        <v>176</v>
      </c>
      <c r="D722" s="649" t="s">
        <v>15</v>
      </c>
      <c r="E722" s="649">
        <v>6100404</v>
      </c>
      <c r="F722" s="649">
        <v>243</v>
      </c>
      <c r="G722" s="81">
        <f t="shared" ref="G722:G725" si="223">K722</f>
        <v>0</v>
      </c>
      <c r="H722" s="81"/>
      <c r="I722" s="81"/>
      <c r="J722" s="81"/>
      <c r="K722" s="81"/>
      <c r="L722" s="81"/>
      <c r="M722" s="580"/>
      <c r="N722" s="649"/>
      <c r="O722" s="944" t="s">
        <v>822</v>
      </c>
      <c r="AJ722" s="91"/>
      <c r="AK722" s="91"/>
      <c r="AL722" s="91"/>
      <c r="AM722" s="91"/>
      <c r="AN722" s="91"/>
      <c r="AO722" s="91"/>
      <c r="AP722" s="91"/>
      <c r="AQ722" s="91"/>
      <c r="AR722" s="91"/>
      <c r="AS722" s="91"/>
      <c r="AT722" s="91"/>
      <c r="AU722" s="91"/>
      <c r="AV722" s="91"/>
      <c r="AW722" s="91"/>
      <c r="AX722" s="91"/>
      <c r="AY722" s="91"/>
      <c r="AZ722" s="91"/>
      <c r="BA722" s="91"/>
      <c r="BB722" s="91"/>
      <c r="BC722" s="91"/>
      <c r="BD722" s="91"/>
      <c r="BE722" s="91"/>
      <c r="BF722" s="91"/>
      <c r="BG722" s="91"/>
      <c r="BH722" s="91"/>
      <c r="BI722" s="91"/>
    </row>
    <row r="723" spans="1:61" ht="24.6" customHeight="1">
      <c r="A723" s="928"/>
      <c r="B723" s="649" t="s">
        <v>246</v>
      </c>
      <c r="C723" s="649"/>
      <c r="D723" s="649"/>
      <c r="E723" s="649"/>
      <c r="F723" s="649"/>
      <c r="G723" s="81">
        <v>0</v>
      </c>
      <c r="H723" s="81"/>
      <c r="I723" s="81"/>
      <c r="J723" s="81"/>
      <c r="K723" s="81"/>
      <c r="L723" s="81">
        <f>20000-15000</f>
        <v>5000</v>
      </c>
      <c r="M723" s="580"/>
      <c r="N723" s="649"/>
      <c r="O723" s="944"/>
    </row>
    <row r="724" spans="1:61" s="44" customFormat="1" ht="22.9" customHeight="1">
      <c r="A724" s="926" t="s">
        <v>109</v>
      </c>
      <c r="B724" s="484" t="s">
        <v>721</v>
      </c>
      <c r="C724" s="484">
        <v>176</v>
      </c>
      <c r="D724" s="484" t="s">
        <v>15</v>
      </c>
      <c r="E724" s="484">
        <v>6100404</v>
      </c>
      <c r="F724" s="484">
        <v>243</v>
      </c>
      <c r="G724" s="81">
        <f t="shared" si="223"/>
        <v>1</v>
      </c>
      <c r="H724" s="81"/>
      <c r="I724" s="81"/>
      <c r="J724" s="81"/>
      <c r="K724" s="81">
        <v>1</v>
      </c>
      <c r="L724" s="81"/>
      <c r="M724" s="580"/>
      <c r="N724" s="484"/>
      <c r="O724" s="944" t="s">
        <v>730</v>
      </c>
      <c r="AJ724" s="91"/>
      <c r="AK724" s="91"/>
      <c r="AL724" s="91"/>
      <c r="AM724" s="91"/>
      <c r="AN724" s="91"/>
      <c r="AO724" s="91"/>
      <c r="AP724" s="91"/>
      <c r="AQ724" s="91"/>
      <c r="AR724" s="91"/>
      <c r="AS724" s="91"/>
      <c r="AT724" s="91"/>
      <c r="AU724" s="91"/>
      <c r="AV724" s="91"/>
      <c r="AW724" s="91"/>
      <c r="AX724" s="91"/>
      <c r="AY724" s="91"/>
      <c r="AZ724" s="91"/>
      <c r="BA724" s="91"/>
      <c r="BB724" s="91"/>
      <c r="BC724" s="91"/>
      <c r="BD724" s="91"/>
      <c r="BE724" s="91"/>
      <c r="BF724" s="91"/>
      <c r="BG724" s="91"/>
      <c r="BH724" s="91"/>
      <c r="BI724" s="91"/>
    </row>
    <row r="725" spans="1:61" ht="24.6" customHeight="1">
      <c r="A725" s="928"/>
      <c r="B725" s="484" t="s">
        <v>246</v>
      </c>
      <c r="C725" s="484"/>
      <c r="D725" s="484"/>
      <c r="E725" s="484"/>
      <c r="F725" s="484"/>
      <c r="G725" s="81">
        <f t="shared" si="223"/>
        <v>5663.8</v>
      </c>
      <c r="H725" s="81"/>
      <c r="I725" s="81"/>
      <c r="J725" s="81"/>
      <c r="K725" s="81">
        <v>5663.8</v>
      </c>
      <c r="L725" s="81"/>
      <c r="M725" s="580"/>
      <c r="N725" s="484"/>
      <c r="O725" s="944"/>
    </row>
    <row r="726" spans="1:61" ht="24.6" customHeight="1">
      <c r="A726" s="945" t="s">
        <v>103</v>
      </c>
      <c r="B726" s="57" t="s">
        <v>721</v>
      </c>
      <c r="C726" s="57"/>
      <c r="D726" s="57"/>
      <c r="E726" s="57"/>
      <c r="F726" s="57"/>
      <c r="G726" s="80">
        <f>G730+G732+G734+G739+G743+G745+G747+G749+G751</f>
        <v>0</v>
      </c>
      <c r="H726" s="80">
        <f t="shared" ref="H726:M726" si="224">H730+H732+H734+H739+H743+H745+H747+H749+H751</f>
        <v>0</v>
      </c>
      <c r="I726" s="80">
        <f t="shared" si="224"/>
        <v>0</v>
      </c>
      <c r="J726" s="80">
        <f t="shared" si="224"/>
        <v>0</v>
      </c>
      <c r="K726" s="80">
        <f t="shared" si="224"/>
        <v>0</v>
      </c>
      <c r="L726" s="80">
        <f t="shared" si="224"/>
        <v>7</v>
      </c>
      <c r="M726" s="80">
        <f t="shared" si="224"/>
        <v>1</v>
      </c>
      <c r="N726" s="484"/>
      <c r="O726" s="57"/>
    </row>
    <row r="727" spans="1:61" ht="24.6" customHeight="1">
      <c r="A727" s="945"/>
      <c r="B727" s="57" t="s">
        <v>439</v>
      </c>
      <c r="C727" s="57"/>
      <c r="D727" s="57"/>
      <c r="E727" s="57"/>
      <c r="F727" s="57"/>
      <c r="G727" s="80">
        <f>G728+G729</f>
        <v>2270.4</v>
      </c>
      <c r="H727" s="80">
        <f t="shared" ref="H727:M727" si="225">H728+H729</f>
        <v>0</v>
      </c>
      <c r="I727" s="80">
        <f t="shared" si="225"/>
        <v>0</v>
      </c>
      <c r="J727" s="80">
        <f t="shared" si="225"/>
        <v>0</v>
      </c>
      <c r="K727" s="80">
        <f t="shared" si="225"/>
        <v>2270.4</v>
      </c>
      <c r="L727" s="80">
        <f t="shared" si="225"/>
        <v>150447.70000000001</v>
      </c>
      <c r="M727" s="439">
        <f t="shared" si="225"/>
        <v>15000</v>
      </c>
      <c r="N727" s="484"/>
      <c r="O727" s="57"/>
    </row>
    <row r="728" spans="1:61" ht="30.75" customHeight="1">
      <c r="A728" s="945"/>
      <c r="B728" s="57" t="s">
        <v>247</v>
      </c>
      <c r="C728" s="57"/>
      <c r="D728" s="57"/>
      <c r="E728" s="57"/>
      <c r="F728" s="57"/>
      <c r="G728" s="80">
        <f>G731+G733+G736+G741+G744+G746+G748+G750+G752</f>
        <v>2270.4</v>
      </c>
      <c r="H728" s="80">
        <f t="shared" ref="H728:M728" si="226">H731+H733+H736+H741+H744+H746+H748+H750+H752</f>
        <v>0</v>
      </c>
      <c r="I728" s="80">
        <f t="shared" si="226"/>
        <v>0</v>
      </c>
      <c r="J728" s="80">
        <f t="shared" si="226"/>
        <v>0</v>
      </c>
      <c r="K728" s="80">
        <f t="shared" si="226"/>
        <v>2270.4</v>
      </c>
      <c r="L728" s="80">
        <f t="shared" si="226"/>
        <v>150447.70000000001</v>
      </c>
      <c r="M728" s="80">
        <f t="shared" si="226"/>
        <v>15000</v>
      </c>
      <c r="N728" s="484"/>
      <c r="O728" s="57"/>
    </row>
    <row r="729" spans="1:61" ht="22.5" customHeight="1">
      <c r="A729" s="945"/>
      <c r="B729" s="57" t="s">
        <v>495</v>
      </c>
      <c r="C729" s="57"/>
      <c r="D729" s="57"/>
      <c r="E729" s="57"/>
      <c r="F729" s="57"/>
      <c r="G729" s="80">
        <f t="shared" ref="G729:L729" si="227">G738+G742</f>
        <v>0</v>
      </c>
      <c r="H729" s="80">
        <f t="shared" si="227"/>
        <v>0</v>
      </c>
      <c r="I729" s="80">
        <f t="shared" si="227"/>
        <v>0</v>
      </c>
      <c r="J729" s="80">
        <f t="shared" si="227"/>
        <v>0</v>
      </c>
      <c r="K729" s="80">
        <f t="shared" si="227"/>
        <v>0</v>
      </c>
      <c r="L729" s="80">
        <f t="shared" si="227"/>
        <v>0</v>
      </c>
      <c r="M729" s="439">
        <f>M737</f>
        <v>0</v>
      </c>
      <c r="N729" s="484"/>
      <c r="O729" s="57"/>
    </row>
    <row r="730" spans="1:61" ht="22.5" customHeight="1">
      <c r="A730" s="926" t="s">
        <v>94</v>
      </c>
      <c r="B730" s="484" t="s">
        <v>721</v>
      </c>
      <c r="C730" s="484">
        <v>176</v>
      </c>
      <c r="D730" s="484" t="s">
        <v>15</v>
      </c>
      <c r="E730" s="484">
        <v>6100404</v>
      </c>
      <c r="F730" s="484">
        <v>243</v>
      </c>
      <c r="G730" s="81">
        <v>0</v>
      </c>
      <c r="H730" s="81"/>
      <c r="I730" s="81"/>
      <c r="J730" s="81"/>
      <c r="K730" s="81"/>
      <c r="L730" s="81"/>
      <c r="M730" s="580">
        <v>1</v>
      </c>
      <c r="N730" s="484"/>
      <c r="O730" s="933" t="s">
        <v>224</v>
      </c>
    </row>
    <row r="731" spans="1:61" ht="22.5" customHeight="1">
      <c r="A731" s="928"/>
      <c r="B731" s="484" t="s">
        <v>246</v>
      </c>
      <c r="C731" s="484"/>
      <c r="D731" s="484"/>
      <c r="E731" s="484"/>
      <c r="F731" s="484"/>
      <c r="G731" s="81">
        <f>K731</f>
        <v>0</v>
      </c>
      <c r="H731" s="81"/>
      <c r="I731" s="81"/>
      <c r="J731" s="81"/>
      <c r="K731" s="81"/>
      <c r="L731" s="81"/>
      <c r="M731" s="580">
        <v>15000</v>
      </c>
      <c r="N731" s="484"/>
      <c r="O731" s="934"/>
    </row>
    <row r="732" spans="1:61" ht="22.5" customHeight="1">
      <c r="A732" s="932" t="s">
        <v>922</v>
      </c>
      <c r="B732" s="484" t="s">
        <v>721</v>
      </c>
      <c r="C732" s="484">
        <v>176</v>
      </c>
      <c r="D732" s="484" t="s">
        <v>15</v>
      </c>
      <c r="E732" s="484">
        <v>6100404</v>
      </c>
      <c r="F732" s="484">
        <v>243</v>
      </c>
      <c r="G732" s="81">
        <v>0</v>
      </c>
      <c r="H732" s="81"/>
      <c r="I732" s="81"/>
      <c r="J732" s="81"/>
      <c r="K732" s="81"/>
      <c r="L732" s="81">
        <v>1</v>
      </c>
      <c r="M732" s="580"/>
      <c r="N732" s="484"/>
      <c r="O732" s="944" t="s">
        <v>224</v>
      </c>
    </row>
    <row r="733" spans="1:61" ht="22.5" customHeight="1">
      <c r="A733" s="932"/>
      <c r="B733" s="484" t="s">
        <v>246</v>
      </c>
      <c r="C733" s="484"/>
      <c r="D733" s="484"/>
      <c r="E733" s="484"/>
      <c r="F733" s="484"/>
      <c r="G733" s="81"/>
      <c r="H733" s="81"/>
      <c r="I733" s="81"/>
      <c r="J733" s="81"/>
      <c r="K733" s="81"/>
      <c r="L733" s="81">
        <v>13000</v>
      </c>
      <c r="M733" s="580"/>
      <c r="N733" s="484"/>
      <c r="O733" s="944"/>
    </row>
    <row r="734" spans="1:61" ht="22.5" customHeight="1">
      <c r="A734" s="926" t="s">
        <v>807</v>
      </c>
      <c r="B734" s="484" t="s">
        <v>721</v>
      </c>
      <c r="C734" s="484">
        <v>176</v>
      </c>
      <c r="D734" s="484" t="s">
        <v>15</v>
      </c>
      <c r="E734" s="484">
        <v>6100404</v>
      </c>
      <c r="F734" s="484">
        <v>243</v>
      </c>
      <c r="G734" s="81"/>
      <c r="H734" s="81"/>
      <c r="I734" s="81"/>
      <c r="J734" s="81"/>
      <c r="K734" s="81"/>
      <c r="L734" s="81">
        <v>1</v>
      </c>
      <c r="M734" s="580"/>
      <c r="N734" s="484"/>
      <c r="O734" s="944" t="s">
        <v>224</v>
      </c>
    </row>
    <row r="735" spans="1:61" ht="22.9" customHeight="1">
      <c r="A735" s="927"/>
      <c r="B735" s="484" t="s">
        <v>439</v>
      </c>
      <c r="C735" s="484"/>
      <c r="D735" s="484"/>
      <c r="E735" s="484"/>
      <c r="F735" s="484"/>
      <c r="G735" s="81">
        <f>G736+G738</f>
        <v>0</v>
      </c>
      <c r="H735" s="81">
        <f t="shared" ref="H735:K735" si="228">H736+H738</f>
        <v>0</v>
      </c>
      <c r="I735" s="81">
        <f t="shared" si="228"/>
        <v>0</v>
      </c>
      <c r="J735" s="81">
        <f t="shared" si="228"/>
        <v>0</v>
      </c>
      <c r="K735" s="81">
        <f t="shared" si="228"/>
        <v>0</v>
      </c>
      <c r="L735" s="81">
        <f>L736+L737</f>
        <v>18000</v>
      </c>
      <c r="M735" s="580">
        <f>M736+M737</f>
        <v>0</v>
      </c>
      <c r="N735" s="484"/>
      <c r="O735" s="944"/>
    </row>
    <row r="736" spans="1:61" ht="22.9" customHeight="1">
      <c r="A736" s="927"/>
      <c r="B736" s="484" t="s">
        <v>247</v>
      </c>
      <c r="C736" s="484"/>
      <c r="D736" s="484"/>
      <c r="E736" s="484"/>
      <c r="F736" s="484"/>
      <c r="G736" s="81">
        <f>K736</f>
        <v>0</v>
      </c>
      <c r="H736" s="81"/>
      <c r="I736" s="81"/>
      <c r="J736" s="81"/>
      <c r="K736" s="81"/>
      <c r="L736" s="81">
        <v>18000</v>
      </c>
      <c r="M736" s="580"/>
      <c r="N736" s="484"/>
      <c r="O736" s="944"/>
    </row>
    <row r="737" spans="1:61" ht="15.75" hidden="1" customHeight="1">
      <c r="A737" s="927"/>
      <c r="B737" s="484" t="s">
        <v>495</v>
      </c>
      <c r="C737" s="484"/>
      <c r="D737" s="484"/>
      <c r="E737" s="484"/>
      <c r="F737" s="484"/>
      <c r="G737" s="81">
        <f>J737+K737</f>
        <v>0</v>
      </c>
      <c r="H737" s="81"/>
      <c r="I737" s="81"/>
      <c r="J737" s="81"/>
      <c r="K737" s="81"/>
      <c r="L737" s="81"/>
      <c r="M737" s="580"/>
      <c r="N737" s="484"/>
      <c r="O737" s="944"/>
    </row>
    <row r="738" spans="1:61" ht="23.25" hidden="1" customHeight="1">
      <c r="A738" s="928"/>
      <c r="B738" s="484" t="s">
        <v>495</v>
      </c>
      <c r="C738" s="484"/>
      <c r="D738" s="484"/>
      <c r="E738" s="484"/>
      <c r="F738" s="484"/>
      <c r="G738" s="81">
        <f>K738</f>
        <v>0</v>
      </c>
      <c r="H738" s="81"/>
      <c r="I738" s="81"/>
      <c r="J738" s="81"/>
      <c r="K738" s="81"/>
      <c r="L738" s="81"/>
      <c r="M738" s="580"/>
      <c r="N738" s="484"/>
      <c r="O738" s="944"/>
    </row>
    <row r="739" spans="1:61" ht="23.45" customHeight="1">
      <c r="A739" s="926" t="s">
        <v>182</v>
      </c>
      <c r="B739" s="484" t="s">
        <v>89</v>
      </c>
      <c r="C739" s="484">
        <v>176</v>
      </c>
      <c r="D739" s="484" t="s">
        <v>15</v>
      </c>
      <c r="E739" s="484">
        <v>6100404</v>
      </c>
      <c r="F739" s="484">
        <v>243</v>
      </c>
      <c r="G739" s="81"/>
      <c r="H739" s="81"/>
      <c r="I739" s="81"/>
      <c r="J739" s="81"/>
      <c r="K739" s="81"/>
      <c r="L739" s="81"/>
      <c r="M739" s="580"/>
      <c r="N739" s="484"/>
      <c r="O739" s="944" t="s">
        <v>822</v>
      </c>
    </row>
    <row r="740" spans="1:61" ht="23.45" customHeight="1">
      <c r="A740" s="927"/>
      <c r="B740" s="484" t="s">
        <v>439</v>
      </c>
      <c r="C740" s="484"/>
      <c r="D740" s="484"/>
      <c r="E740" s="484"/>
      <c r="F740" s="484"/>
      <c r="G740" s="81">
        <f>K740</f>
        <v>2270.4</v>
      </c>
      <c r="H740" s="81"/>
      <c r="I740" s="81"/>
      <c r="J740" s="81">
        <f>J741+J742</f>
        <v>0</v>
      </c>
      <c r="K740" s="81">
        <f>K741+K742</f>
        <v>2270.4</v>
      </c>
      <c r="L740" s="81">
        <f>L741</f>
        <v>0</v>
      </c>
      <c r="M740" s="580"/>
      <c r="N740" s="484"/>
      <c r="O740" s="944"/>
    </row>
    <row r="741" spans="1:61" ht="21" customHeight="1">
      <c r="A741" s="927"/>
      <c r="B741" s="484" t="s">
        <v>327</v>
      </c>
      <c r="C741" s="484"/>
      <c r="D741" s="484"/>
      <c r="E741" s="484"/>
      <c r="F741" s="484"/>
      <c r="G741" s="81">
        <f>K741</f>
        <v>2270.4</v>
      </c>
      <c r="H741" s="81"/>
      <c r="I741" s="81"/>
      <c r="J741" s="81"/>
      <c r="K741" s="81">
        <v>2270.4</v>
      </c>
      <c r="L741" s="81"/>
      <c r="N741" s="484"/>
      <c r="O741" s="944"/>
    </row>
    <row r="742" spans="1:61" s="44" customFormat="1" ht="22.9" hidden="1" customHeight="1">
      <c r="A742" s="928"/>
      <c r="B742" s="502" t="s">
        <v>495</v>
      </c>
      <c r="C742" s="484"/>
      <c r="D742" s="484"/>
      <c r="E742" s="484"/>
      <c r="F742" s="484"/>
      <c r="G742" s="81">
        <f t="shared" ref="G742" si="229">L742</f>
        <v>0</v>
      </c>
      <c r="H742" s="81"/>
      <c r="I742" s="81"/>
      <c r="J742" s="81"/>
      <c r="K742" s="81"/>
      <c r="L742" s="81"/>
      <c r="M742" s="580"/>
      <c r="N742" s="484"/>
      <c r="O742" s="944"/>
      <c r="AJ742" s="91"/>
      <c r="AK742" s="91"/>
      <c r="AL742" s="91"/>
      <c r="AM742" s="91"/>
      <c r="AN742" s="91"/>
      <c r="AO742" s="91"/>
      <c r="AP742" s="91"/>
      <c r="AQ742" s="91"/>
      <c r="AR742" s="91"/>
      <c r="AS742" s="91"/>
      <c r="AT742" s="91"/>
      <c r="AU742" s="91"/>
      <c r="AV742" s="91"/>
      <c r="AW742" s="91"/>
      <c r="AX742" s="91"/>
      <c r="AY742" s="91"/>
      <c r="AZ742" s="91"/>
      <c r="BA742" s="91"/>
      <c r="BB742" s="91"/>
      <c r="BC742" s="91"/>
      <c r="BD742" s="91"/>
      <c r="BE742" s="91"/>
      <c r="BF742" s="91"/>
      <c r="BG742" s="91"/>
      <c r="BH742" s="91"/>
      <c r="BI742" s="91"/>
    </row>
    <row r="743" spans="1:61" s="44" customFormat="1" ht="21" customHeight="1">
      <c r="A743" s="932" t="s">
        <v>808</v>
      </c>
      <c r="B743" s="649" t="s">
        <v>721</v>
      </c>
      <c r="C743" s="649">
        <v>176</v>
      </c>
      <c r="D743" s="649" t="s">
        <v>15</v>
      </c>
      <c r="E743" s="649">
        <v>6100404</v>
      </c>
      <c r="F743" s="649">
        <v>243</v>
      </c>
      <c r="G743" s="81"/>
      <c r="H743" s="81"/>
      <c r="I743" s="81"/>
      <c r="J743" s="81"/>
      <c r="K743" s="81"/>
      <c r="L743" s="81">
        <v>1</v>
      </c>
      <c r="M743" s="580"/>
      <c r="N743" s="649"/>
      <c r="O743" s="944" t="s">
        <v>224</v>
      </c>
      <c r="AJ743" s="91"/>
      <c r="AK743" s="91"/>
      <c r="AL743" s="91"/>
      <c r="AM743" s="91"/>
      <c r="AN743" s="91"/>
      <c r="AO743" s="91"/>
      <c r="AP743" s="91"/>
      <c r="AQ743" s="91"/>
      <c r="AR743" s="91"/>
      <c r="AS743" s="91"/>
      <c r="AT743" s="91"/>
      <c r="AU743" s="91"/>
      <c r="AV743" s="91"/>
      <c r="AW743" s="91"/>
      <c r="AX743" s="91"/>
      <c r="AY743" s="91"/>
      <c r="AZ743" s="91"/>
      <c r="BA743" s="91"/>
      <c r="BB743" s="91"/>
      <c r="BC743" s="91"/>
      <c r="BD743" s="91"/>
      <c r="BE743" s="91"/>
      <c r="BF743" s="91"/>
      <c r="BG743" s="91"/>
      <c r="BH743" s="91"/>
      <c r="BI743" s="91"/>
    </row>
    <row r="744" spans="1:61" ht="24.6" customHeight="1">
      <c r="A744" s="932"/>
      <c r="B744" s="649" t="s">
        <v>246</v>
      </c>
      <c r="C744" s="649"/>
      <c r="D744" s="649"/>
      <c r="E744" s="649"/>
      <c r="F744" s="649"/>
      <c r="G744" s="81">
        <f>K744</f>
        <v>0</v>
      </c>
      <c r="H744" s="81"/>
      <c r="I744" s="81"/>
      <c r="J744" s="81"/>
      <c r="K744" s="81"/>
      <c r="L744" s="81">
        <v>18000</v>
      </c>
      <c r="M744" s="580"/>
      <c r="N744" s="649"/>
      <c r="O744" s="944"/>
    </row>
    <row r="745" spans="1:61" s="44" customFormat="1" ht="21" customHeight="1">
      <c r="A745" s="932" t="s">
        <v>923</v>
      </c>
      <c r="B745" s="706" t="s">
        <v>721</v>
      </c>
      <c r="C745" s="706">
        <v>176</v>
      </c>
      <c r="D745" s="706" t="s">
        <v>15</v>
      </c>
      <c r="E745" s="706">
        <v>6100404</v>
      </c>
      <c r="F745" s="706">
        <v>243</v>
      </c>
      <c r="G745" s="81"/>
      <c r="H745" s="81"/>
      <c r="I745" s="81"/>
      <c r="J745" s="81"/>
      <c r="K745" s="81"/>
      <c r="L745" s="81">
        <v>1</v>
      </c>
      <c r="M745" s="580"/>
      <c r="N745" s="706"/>
      <c r="O745" s="944" t="s">
        <v>224</v>
      </c>
      <c r="AJ745" s="91"/>
      <c r="AK745" s="91"/>
      <c r="AL745" s="91"/>
      <c r="AM745" s="91"/>
      <c r="AN745" s="91"/>
      <c r="AO745" s="91"/>
      <c r="AP745" s="91"/>
      <c r="AQ745" s="91"/>
      <c r="AR745" s="91"/>
      <c r="AS745" s="91"/>
      <c r="AT745" s="91"/>
      <c r="AU745" s="91"/>
      <c r="AV745" s="91"/>
      <c r="AW745" s="91"/>
      <c r="AX745" s="91"/>
      <c r="AY745" s="91"/>
      <c r="AZ745" s="91"/>
      <c r="BA745" s="91"/>
      <c r="BB745" s="91"/>
      <c r="BC745" s="91"/>
      <c r="BD745" s="91"/>
      <c r="BE745" s="91"/>
      <c r="BF745" s="91"/>
      <c r="BG745" s="91"/>
      <c r="BH745" s="91"/>
      <c r="BI745" s="91"/>
    </row>
    <row r="746" spans="1:61" ht="24.6" customHeight="1">
      <c r="A746" s="932"/>
      <c r="B746" s="706" t="s">
        <v>246</v>
      </c>
      <c r="C746" s="706"/>
      <c r="D746" s="706"/>
      <c r="E746" s="706"/>
      <c r="F746" s="706"/>
      <c r="G746" s="81">
        <f>K746</f>
        <v>0</v>
      </c>
      <c r="H746" s="81"/>
      <c r="I746" s="81"/>
      <c r="J746" s="81"/>
      <c r="K746" s="81"/>
      <c r="L746" s="81">
        <v>13000</v>
      </c>
      <c r="M746" s="580"/>
      <c r="N746" s="706"/>
      <c r="O746" s="944"/>
    </row>
    <row r="747" spans="1:61" s="44" customFormat="1" ht="21" customHeight="1">
      <c r="A747" s="932" t="s">
        <v>1078</v>
      </c>
      <c r="B747" s="792" t="s">
        <v>721</v>
      </c>
      <c r="C747" s="792">
        <v>176</v>
      </c>
      <c r="D747" s="792" t="s">
        <v>15</v>
      </c>
      <c r="E747" s="792">
        <v>6100404</v>
      </c>
      <c r="F747" s="792">
        <v>243</v>
      </c>
      <c r="G747" s="81"/>
      <c r="H747" s="81"/>
      <c r="I747" s="81"/>
      <c r="J747" s="81"/>
      <c r="K747" s="81"/>
      <c r="L747" s="81">
        <v>1</v>
      </c>
      <c r="M747" s="580"/>
      <c r="N747" s="792"/>
      <c r="O747" s="944" t="s">
        <v>965</v>
      </c>
      <c r="AJ747" s="91"/>
      <c r="AK747" s="91"/>
      <c r="AL747" s="91"/>
      <c r="AM747" s="91"/>
      <c r="AN747" s="91"/>
      <c r="AO747" s="91"/>
      <c r="AP747" s="91"/>
      <c r="AQ747" s="91"/>
      <c r="AR747" s="91"/>
      <c r="AS747" s="91"/>
      <c r="AT747" s="91"/>
      <c r="AU747" s="91"/>
      <c r="AV747" s="91"/>
      <c r="AW747" s="91"/>
      <c r="AX747" s="91"/>
      <c r="AY747" s="91"/>
      <c r="AZ747" s="91"/>
      <c r="BA747" s="91"/>
      <c r="BB747" s="91"/>
      <c r="BC747" s="91"/>
      <c r="BD747" s="91"/>
      <c r="BE747" s="91"/>
      <c r="BF747" s="91"/>
      <c r="BG747" s="91"/>
      <c r="BH747" s="91"/>
      <c r="BI747" s="91"/>
    </row>
    <row r="748" spans="1:61" ht="24.6" customHeight="1">
      <c r="A748" s="932"/>
      <c r="B748" s="792" t="s">
        <v>246</v>
      </c>
      <c r="C748" s="792"/>
      <c r="D748" s="792"/>
      <c r="E748" s="792"/>
      <c r="F748" s="792"/>
      <c r="G748" s="81">
        <f>K748</f>
        <v>0</v>
      </c>
      <c r="H748" s="81"/>
      <c r="I748" s="81"/>
      <c r="J748" s="81"/>
      <c r="K748" s="81"/>
      <c r="L748" s="81">
        <v>7985</v>
      </c>
      <c r="M748" s="580"/>
      <c r="N748" s="792"/>
      <c r="O748" s="944"/>
    </row>
    <row r="749" spans="1:61" s="44" customFormat="1" ht="21" customHeight="1">
      <c r="A749" s="932" t="s">
        <v>1077</v>
      </c>
      <c r="B749" s="792" t="s">
        <v>721</v>
      </c>
      <c r="C749" s="792">
        <v>176</v>
      </c>
      <c r="D749" s="792" t="s">
        <v>15</v>
      </c>
      <c r="E749" s="792">
        <v>6100404</v>
      </c>
      <c r="F749" s="792">
        <v>243</v>
      </c>
      <c r="G749" s="81"/>
      <c r="H749" s="81"/>
      <c r="I749" s="81"/>
      <c r="J749" s="81"/>
      <c r="K749" s="81"/>
      <c r="L749" s="81">
        <v>1</v>
      </c>
      <c r="M749" s="580"/>
      <c r="N749" s="792"/>
      <c r="O749" s="944" t="s">
        <v>965</v>
      </c>
      <c r="AJ749" s="91"/>
      <c r="AK749" s="91"/>
      <c r="AL749" s="91"/>
      <c r="AM749" s="91"/>
      <c r="AN749" s="91"/>
      <c r="AO749" s="91"/>
      <c r="AP749" s="91"/>
      <c r="AQ749" s="91"/>
      <c r="AR749" s="91"/>
      <c r="AS749" s="91"/>
      <c r="AT749" s="91"/>
      <c r="AU749" s="91"/>
      <c r="AV749" s="91"/>
      <c r="AW749" s="91"/>
      <c r="AX749" s="91"/>
      <c r="AY749" s="91"/>
      <c r="AZ749" s="91"/>
      <c r="BA749" s="91"/>
      <c r="BB749" s="91"/>
      <c r="BC749" s="91"/>
      <c r="BD749" s="91"/>
      <c r="BE749" s="91"/>
      <c r="BF749" s="91"/>
      <c r="BG749" s="91"/>
      <c r="BH749" s="91"/>
      <c r="BI749" s="91"/>
    </row>
    <row r="750" spans="1:61" ht="24.6" customHeight="1">
      <c r="A750" s="932"/>
      <c r="B750" s="792" t="s">
        <v>246</v>
      </c>
      <c r="C750" s="792"/>
      <c r="D750" s="792"/>
      <c r="E750" s="792"/>
      <c r="F750" s="792"/>
      <c r="G750" s="81">
        <f>K750</f>
        <v>0</v>
      </c>
      <c r="H750" s="81"/>
      <c r="I750" s="81"/>
      <c r="J750" s="81"/>
      <c r="K750" s="81"/>
      <c r="L750" s="81">
        <v>29579.7</v>
      </c>
      <c r="M750" s="580"/>
      <c r="N750" s="792"/>
      <c r="O750" s="944"/>
    </row>
    <row r="751" spans="1:61" s="44" customFormat="1" ht="21" customHeight="1">
      <c r="A751" s="932" t="s">
        <v>1066</v>
      </c>
      <c r="B751" s="484" t="s">
        <v>721</v>
      </c>
      <c r="C751" s="484">
        <v>176</v>
      </c>
      <c r="D751" s="484" t="s">
        <v>15</v>
      </c>
      <c r="E751" s="484">
        <v>6100404</v>
      </c>
      <c r="F751" s="484">
        <v>243</v>
      </c>
      <c r="G751" s="81"/>
      <c r="H751" s="81"/>
      <c r="I751" s="81"/>
      <c r="J751" s="81"/>
      <c r="K751" s="81"/>
      <c r="L751" s="81">
        <v>1</v>
      </c>
      <c r="M751" s="580"/>
      <c r="N751" s="484"/>
      <c r="O751" s="944" t="s">
        <v>1068</v>
      </c>
      <c r="AJ751" s="91"/>
      <c r="AK751" s="91"/>
      <c r="AL751" s="91"/>
      <c r="AM751" s="91"/>
      <c r="AN751" s="91"/>
      <c r="AO751" s="91"/>
      <c r="AP751" s="91"/>
      <c r="AQ751" s="91"/>
      <c r="AR751" s="91"/>
      <c r="AS751" s="91"/>
      <c r="AT751" s="91"/>
      <c r="AU751" s="91"/>
      <c r="AV751" s="91"/>
      <c r="AW751" s="91"/>
      <c r="AX751" s="91"/>
      <c r="AY751" s="91"/>
      <c r="AZ751" s="91"/>
      <c r="BA751" s="91"/>
      <c r="BB751" s="91"/>
      <c r="BC751" s="91"/>
      <c r="BD751" s="91"/>
      <c r="BE751" s="91"/>
      <c r="BF751" s="91"/>
      <c r="BG751" s="91"/>
      <c r="BH751" s="91"/>
      <c r="BI751" s="91"/>
    </row>
    <row r="752" spans="1:61" ht="24.6" customHeight="1">
      <c r="A752" s="932"/>
      <c r="B752" s="484" t="s">
        <v>246</v>
      </c>
      <c r="C752" s="484"/>
      <c r="D752" s="484"/>
      <c r="E752" s="484"/>
      <c r="F752" s="484"/>
      <c r="G752" s="81">
        <f>K752</f>
        <v>0</v>
      </c>
      <c r="H752" s="81"/>
      <c r="I752" s="81"/>
      <c r="J752" s="81"/>
      <c r="K752" s="81"/>
      <c r="L752" s="81">
        <v>50883</v>
      </c>
      <c r="M752" s="580"/>
      <c r="N752" s="484"/>
      <c r="O752" s="944"/>
    </row>
    <row r="753" spans="1:62" ht="24.6" customHeight="1">
      <c r="A753" s="945" t="s">
        <v>104</v>
      </c>
      <c r="B753" s="57" t="s">
        <v>89</v>
      </c>
      <c r="C753" s="57"/>
      <c r="D753" s="57"/>
      <c r="E753" s="57"/>
      <c r="F753" s="57"/>
      <c r="G753" s="80">
        <f>G755+G757+G759+G761+G765+G767+G769+G771+G773+G775</f>
        <v>6</v>
      </c>
      <c r="H753" s="80">
        <f t="shared" ref="H753:L753" si="230">H755+H757+H759+H761+H765+H767+H769+H771+H773+H775</f>
        <v>0</v>
      </c>
      <c r="I753" s="80">
        <f t="shared" si="230"/>
        <v>0</v>
      </c>
      <c r="J753" s="80">
        <f t="shared" si="230"/>
        <v>0</v>
      </c>
      <c r="K753" s="80">
        <f t="shared" si="230"/>
        <v>6</v>
      </c>
      <c r="L753" s="80">
        <f t="shared" si="230"/>
        <v>3</v>
      </c>
      <c r="M753" s="80">
        <f>M755+M757+M759+M761+M763+M765+M767+M769+M771+M773+M775</f>
        <v>2</v>
      </c>
      <c r="N753" s="484"/>
      <c r="O753" s="57"/>
    </row>
    <row r="754" spans="1:62" ht="22.5" customHeight="1">
      <c r="A754" s="945"/>
      <c r="B754" s="57" t="s">
        <v>246</v>
      </c>
      <c r="C754" s="57"/>
      <c r="D754" s="57"/>
      <c r="E754" s="57"/>
      <c r="F754" s="57"/>
      <c r="G754" s="80">
        <f>G756+G758+G762+G760+G766+G768+G770+G772+G774+G776</f>
        <v>107590.6</v>
      </c>
      <c r="H754" s="80">
        <f t="shared" ref="H754:L754" si="231">H756+H758+H762+H760+H766+H768+H770+H772+H774+H776</f>
        <v>0</v>
      </c>
      <c r="I754" s="80">
        <f t="shared" si="231"/>
        <v>0</v>
      </c>
      <c r="J754" s="80">
        <f t="shared" si="231"/>
        <v>0</v>
      </c>
      <c r="K754" s="80">
        <f t="shared" si="231"/>
        <v>107590.6</v>
      </c>
      <c r="L754" s="80">
        <f t="shared" si="231"/>
        <v>65828</v>
      </c>
      <c r="M754" s="80">
        <f>M756+M758+M760+M762+M764+M766+M768+M770+M772+M774+M776</f>
        <v>82061</v>
      </c>
      <c r="N754" s="484"/>
      <c r="O754" s="805"/>
      <c r="P754" s="267"/>
      <c r="Q754" s="267"/>
    </row>
    <row r="755" spans="1:62" s="798" customFormat="1" ht="22.5" customHeight="1">
      <c r="A755" s="932" t="s">
        <v>1067</v>
      </c>
      <c r="B755" s="792" t="s">
        <v>89</v>
      </c>
      <c r="C755" s="792" t="s">
        <v>89</v>
      </c>
      <c r="D755" s="792">
        <v>176</v>
      </c>
      <c r="E755" s="792" t="s">
        <v>15</v>
      </c>
      <c r="F755" s="792">
        <v>6100404</v>
      </c>
      <c r="G755" s="792"/>
      <c r="H755" s="80"/>
      <c r="I755" s="81"/>
      <c r="J755" s="81"/>
      <c r="K755" s="81"/>
      <c r="L755" s="81">
        <v>1</v>
      </c>
      <c r="M755" s="81"/>
      <c r="N755" s="81"/>
      <c r="O755" s="944" t="s">
        <v>1081</v>
      </c>
      <c r="P755" s="806"/>
      <c r="Q755" s="799"/>
      <c r="AK755" s="799"/>
      <c r="AL755" s="799"/>
      <c r="AM755" s="799"/>
      <c r="AN755" s="799"/>
      <c r="AO755" s="799"/>
      <c r="AP755" s="799"/>
      <c r="AQ755" s="799"/>
      <c r="AR755" s="799"/>
      <c r="AS755" s="799"/>
      <c r="AT755" s="799"/>
      <c r="AU755" s="799"/>
      <c r="AV755" s="799"/>
      <c r="AW755" s="799"/>
      <c r="AX755" s="799"/>
      <c r="AY755" s="799"/>
      <c r="AZ755" s="799"/>
      <c r="BA755" s="799"/>
      <c r="BB755" s="799"/>
      <c r="BC755" s="799"/>
      <c r="BD755" s="799"/>
      <c r="BE755" s="799"/>
      <c r="BF755" s="799"/>
      <c r="BG755" s="799"/>
      <c r="BH755" s="799"/>
      <c r="BI755" s="799"/>
      <c r="BJ755" s="799"/>
    </row>
    <row r="756" spans="1:62" s="800" customFormat="1" ht="29.25" customHeight="1">
      <c r="A756" s="1051"/>
      <c r="B756" s="792" t="s">
        <v>246</v>
      </c>
      <c r="C756" s="792" t="s">
        <v>246</v>
      </c>
      <c r="D756" s="792"/>
      <c r="E756" s="792"/>
      <c r="F756" s="792"/>
      <c r="G756" s="792"/>
      <c r="H756" s="80"/>
      <c r="I756" s="81"/>
      <c r="J756" s="81"/>
      <c r="K756" s="81"/>
      <c r="L756" s="81">
        <v>35000</v>
      </c>
      <c r="M756" s="81"/>
      <c r="N756" s="81"/>
      <c r="O756" s="944"/>
      <c r="P756" s="806"/>
      <c r="Q756" s="801"/>
      <c r="AK756" s="801"/>
      <c r="AL756" s="801"/>
      <c r="AM756" s="801"/>
      <c r="AN756" s="801"/>
      <c r="AO756" s="801"/>
      <c r="AP756" s="801"/>
      <c r="AQ756" s="801"/>
      <c r="AR756" s="801"/>
      <c r="AS756" s="801"/>
      <c r="AT756" s="801"/>
      <c r="AU756" s="801"/>
      <c r="AV756" s="801"/>
      <c r="AW756" s="801"/>
      <c r="AX756" s="801"/>
      <c r="AY756" s="801"/>
      <c r="AZ756" s="801"/>
      <c r="BA756" s="801"/>
      <c r="BB756" s="801"/>
      <c r="BC756" s="801"/>
      <c r="BD756" s="801"/>
      <c r="BE756" s="801"/>
      <c r="BF756" s="801"/>
      <c r="BG756" s="801"/>
      <c r="BH756" s="801"/>
      <c r="BI756" s="801"/>
      <c r="BJ756" s="801"/>
    </row>
    <row r="757" spans="1:62" s="800" customFormat="1" ht="22.5" customHeight="1">
      <c r="A757" s="932" t="s">
        <v>109</v>
      </c>
      <c r="B757" s="792" t="s">
        <v>89</v>
      </c>
      <c r="C757" s="792">
        <v>176</v>
      </c>
      <c r="D757" s="792" t="s">
        <v>15</v>
      </c>
      <c r="E757" s="792">
        <v>6100404</v>
      </c>
      <c r="F757" s="792">
        <v>243</v>
      </c>
      <c r="G757" s="81">
        <f t="shared" ref="G757:G774" si="232">K757</f>
        <v>1</v>
      </c>
      <c r="H757" s="81"/>
      <c r="I757" s="81"/>
      <c r="J757" s="81"/>
      <c r="K757" s="81">
        <v>1</v>
      </c>
      <c r="L757" s="81"/>
      <c r="M757" s="81"/>
      <c r="N757" s="792"/>
      <c r="O757" s="944" t="s">
        <v>730</v>
      </c>
      <c r="AJ757" s="801"/>
      <c r="AK757" s="801"/>
      <c r="AL757" s="801"/>
      <c r="AM757" s="801"/>
      <c r="AN757" s="801"/>
      <c r="AO757" s="801"/>
      <c r="AP757" s="801"/>
      <c r="AQ757" s="801"/>
      <c r="AR757" s="801"/>
      <c r="AS757" s="801"/>
      <c r="AT757" s="801"/>
      <c r="AU757" s="801"/>
      <c r="AV757" s="801"/>
      <c r="AW757" s="801"/>
      <c r="AX757" s="801"/>
      <c r="AY757" s="801"/>
      <c r="AZ757" s="801"/>
      <c r="BA757" s="801"/>
      <c r="BB757" s="801"/>
      <c r="BC757" s="801"/>
      <c r="BD757" s="801"/>
      <c r="BE757" s="801"/>
      <c r="BF757" s="801"/>
      <c r="BG757" s="801"/>
      <c r="BH757" s="801"/>
      <c r="BI757" s="801"/>
    </row>
    <row r="758" spans="1:62" s="798" customFormat="1" ht="24.6" customHeight="1">
      <c r="A758" s="932"/>
      <c r="B758" s="792" t="s">
        <v>246</v>
      </c>
      <c r="C758" s="792"/>
      <c r="D758" s="792"/>
      <c r="E758" s="792"/>
      <c r="F758" s="792"/>
      <c r="G758" s="81">
        <f t="shared" si="232"/>
        <v>18442.599999999999</v>
      </c>
      <c r="H758" s="81"/>
      <c r="I758" s="81"/>
      <c r="J758" s="81"/>
      <c r="K758" s="81">
        <v>18442.599999999999</v>
      </c>
      <c r="L758" s="81"/>
      <c r="M758" s="81"/>
      <c r="N758" s="792"/>
      <c r="O758" s="944"/>
      <c r="AJ758" s="799"/>
      <c r="AK758" s="799"/>
      <c r="AL758" s="799"/>
      <c r="AM758" s="799"/>
      <c r="AN758" s="799"/>
      <c r="AO758" s="799"/>
      <c r="AP758" s="799"/>
      <c r="AQ758" s="799"/>
      <c r="AR758" s="799"/>
      <c r="AS758" s="799"/>
      <c r="AT758" s="799"/>
      <c r="AU758" s="799"/>
      <c r="AV758" s="799"/>
      <c r="AW758" s="799"/>
      <c r="AX758" s="799"/>
      <c r="AY758" s="799"/>
      <c r="AZ758" s="799"/>
      <c r="BA758" s="799"/>
      <c r="BB758" s="799"/>
      <c r="BC758" s="799"/>
      <c r="BD758" s="799"/>
      <c r="BE758" s="799"/>
      <c r="BF758" s="799"/>
      <c r="BG758" s="799"/>
      <c r="BH758" s="799"/>
      <c r="BI758" s="799"/>
    </row>
    <row r="759" spans="1:62" s="800" customFormat="1" ht="23.45" customHeight="1">
      <c r="A759" s="926" t="s">
        <v>1079</v>
      </c>
      <c r="B759" s="792" t="s">
        <v>89</v>
      </c>
      <c r="C759" s="792">
        <v>176</v>
      </c>
      <c r="D759" s="792" t="s">
        <v>15</v>
      </c>
      <c r="E759" s="792">
        <v>6100404</v>
      </c>
      <c r="F759" s="792">
        <v>243</v>
      </c>
      <c r="G759" s="81">
        <f t="shared" si="232"/>
        <v>0</v>
      </c>
      <c r="H759" s="81"/>
      <c r="I759" s="81"/>
      <c r="J759" s="81"/>
      <c r="K759" s="81"/>
      <c r="L759" s="81">
        <v>1</v>
      </c>
      <c r="M759" s="81"/>
      <c r="N759" s="792"/>
      <c r="O759" s="933" t="s">
        <v>965</v>
      </c>
      <c r="AJ759" s="801"/>
      <c r="AK759" s="801"/>
      <c r="AL759" s="801"/>
      <c r="AM759" s="801"/>
      <c r="AN759" s="801"/>
      <c r="AO759" s="801"/>
      <c r="AP759" s="801"/>
      <c r="AQ759" s="801"/>
      <c r="AR759" s="801"/>
      <c r="AS759" s="801"/>
      <c r="AT759" s="801"/>
      <c r="AU759" s="801"/>
      <c r="AV759" s="801"/>
      <c r="AW759" s="801"/>
      <c r="AX759" s="801"/>
      <c r="AY759" s="801"/>
      <c r="AZ759" s="801"/>
      <c r="BA759" s="801"/>
      <c r="BB759" s="801"/>
      <c r="BC759" s="801"/>
      <c r="BD759" s="801"/>
      <c r="BE759" s="801"/>
      <c r="BF759" s="801"/>
      <c r="BG759" s="801"/>
      <c r="BH759" s="801"/>
      <c r="BI759" s="801"/>
    </row>
    <row r="760" spans="1:62" s="798" customFormat="1" ht="24.6" customHeight="1">
      <c r="A760" s="928"/>
      <c r="B760" s="792" t="s">
        <v>246</v>
      </c>
      <c r="C760" s="792"/>
      <c r="D760" s="792"/>
      <c r="E760" s="792"/>
      <c r="F760" s="792"/>
      <c r="G760" s="81">
        <f t="shared" si="232"/>
        <v>0</v>
      </c>
      <c r="H760" s="81"/>
      <c r="I760" s="81"/>
      <c r="J760" s="81"/>
      <c r="K760" s="81"/>
      <c r="L760" s="81">
        <v>14650</v>
      </c>
      <c r="M760" s="81"/>
      <c r="N760" s="792"/>
      <c r="O760" s="934"/>
      <c r="AJ760" s="799"/>
      <c r="AK760" s="799"/>
      <c r="AL760" s="799"/>
      <c r="AM760" s="799"/>
      <c r="AN760" s="799"/>
      <c r="AO760" s="799"/>
      <c r="AP760" s="799"/>
      <c r="AQ760" s="799"/>
      <c r="AR760" s="799"/>
      <c r="AS760" s="799"/>
      <c r="AT760" s="799"/>
      <c r="AU760" s="799"/>
      <c r="AV760" s="799"/>
      <c r="AW760" s="799"/>
      <c r="AX760" s="799"/>
      <c r="AY760" s="799"/>
      <c r="AZ760" s="799"/>
      <c r="BA760" s="799"/>
      <c r="BB760" s="799"/>
      <c r="BC760" s="799"/>
      <c r="BD760" s="799"/>
      <c r="BE760" s="799"/>
      <c r="BF760" s="799"/>
      <c r="BG760" s="799"/>
      <c r="BH760" s="799"/>
      <c r="BI760" s="799"/>
    </row>
    <row r="761" spans="1:62" s="800" customFormat="1" ht="23.45" customHeight="1">
      <c r="A761" s="926" t="s">
        <v>961</v>
      </c>
      <c r="B761" s="792" t="s">
        <v>89</v>
      </c>
      <c r="C761" s="792">
        <v>176</v>
      </c>
      <c r="D761" s="792" t="s">
        <v>15</v>
      </c>
      <c r="E761" s="792">
        <v>6100404</v>
      </c>
      <c r="F761" s="792">
        <v>243</v>
      </c>
      <c r="G761" s="81">
        <f t="shared" ref="G761:G764" si="233">K761</f>
        <v>1</v>
      </c>
      <c r="H761" s="81"/>
      <c r="I761" s="81"/>
      <c r="J761" s="81"/>
      <c r="K761" s="81">
        <v>1</v>
      </c>
      <c r="L761" s="81"/>
      <c r="M761" s="81"/>
      <c r="N761" s="792"/>
      <c r="O761" s="933" t="s">
        <v>965</v>
      </c>
      <c r="AJ761" s="801"/>
      <c r="AK761" s="801"/>
      <c r="AL761" s="801"/>
      <c r="AM761" s="801"/>
      <c r="AN761" s="801"/>
      <c r="AO761" s="801"/>
      <c r="AP761" s="801"/>
      <c r="AQ761" s="801"/>
      <c r="AR761" s="801"/>
      <c r="AS761" s="801"/>
      <c r="AT761" s="801"/>
      <c r="AU761" s="801"/>
      <c r="AV761" s="801"/>
      <c r="AW761" s="801"/>
      <c r="AX761" s="801"/>
      <c r="AY761" s="801"/>
      <c r="AZ761" s="801"/>
      <c r="BA761" s="801"/>
      <c r="BB761" s="801"/>
      <c r="BC761" s="801"/>
      <c r="BD761" s="801"/>
      <c r="BE761" s="801"/>
      <c r="BF761" s="801"/>
      <c r="BG761" s="801"/>
      <c r="BH761" s="801"/>
      <c r="BI761" s="801"/>
    </row>
    <row r="762" spans="1:62" s="798" customFormat="1" ht="24.6" customHeight="1">
      <c r="A762" s="928"/>
      <c r="B762" s="792" t="s">
        <v>246</v>
      </c>
      <c r="C762" s="792"/>
      <c r="D762" s="792"/>
      <c r="E762" s="792"/>
      <c r="F762" s="792"/>
      <c r="G762" s="81">
        <f t="shared" si="233"/>
        <v>26100</v>
      </c>
      <c r="H762" s="81"/>
      <c r="I762" s="81"/>
      <c r="J762" s="81"/>
      <c r="K762" s="81">
        <v>26100</v>
      </c>
      <c r="L762" s="81"/>
      <c r="M762" s="81"/>
      <c r="N762" s="792"/>
      <c r="O762" s="934"/>
      <c r="AJ762" s="799"/>
      <c r="AK762" s="799"/>
      <c r="AL762" s="799"/>
      <c r="AM762" s="799"/>
      <c r="AN762" s="799"/>
      <c r="AO762" s="799"/>
      <c r="AP762" s="799"/>
      <c r="AQ762" s="799"/>
      <c r="AR762" s="799"/>
      <c r="AS762" s="799"/>
      <c r="AT762" s="799"/>
      <c r="AU762" s="799"/>
      <c r="AV762" s="799"/>
      <c r="AW762" s="799"/>
      <c r="AX762" s="799"/>
      <c r="AY762" s="799"/>
      <c r="AZ762" s="799"/>
      <c r="BA762" s="799"/>
      <c r="BB762" s="799"/>
      <c r="BC762" s="799"/>
      <c r="BD762" s="799"/>
      <c r="BE762" s="799"/>
      <c r="BF762" s="799"/>
      <c r="BG762" s="799"/>
      <c r="BH762" s="799"/>
      <c r="BI762" s="799"/>
    </row>
    <row r="763" spans="1:62" s="800" customFormat="1" ht="23.45" customHeight="1">
      <c r="A763" s="926" t="s">
        <v>1080</v>
      </c>
      <c r="B763" s="792" t="s">
        <v>89</v>
      </c>
      <c r="C763" s="792">
        <v>176</v>
      </c>
      <c r="D763" s="792" t="s">
        <v>15</v>
      </c>
      <c r="E763" s="792">
        <v>6100404</v>
      </c>
      <c r="F763" s="792">
        <v>243</v>
      </c>
      <c r="G763" s="81">
        <f t="shared" si="233"/>
        <v>0</v>
      </c>
      <c r="H763" s="81"/>
      <c r="I763" s="81"/>
      <c r="J763" s="81"/>
      <c r="K763" s="81"/>
      <c r="L763" s="81"/>
      <c r="M763" s="81">
        <v>1</v>
      </c>
      <c r="N763" s="792"/>
      <c r="O763" s="944" t="s">
        <v>965</v>
      </c>
      <c r="AJ763" s="801"/>
      <c r="AK763" s="801"/>
      <c r="AL763" s="801"/>
      <c r="AM763" s="801"/>
      <c r="AN763" s="801"/>
      <c r="AO763" s="801"/>
      <c r="AP763" s="801"/>
      <c r="AQ763" s="801"/>
      <c r="AR763" s="801"/>
      <c r="AS763" s="801"/>
      <c r="AT763" s="801"/>
      <c r="AU763" s="801"/>
      <c r="AV763" s="801"/>
      <c r="AW763" s="801"/>
      <c r="AX763" s="801"/>
      <c r="AY763" s="801"/>
      <c r="AZ763" s="801"/>
      <c r="BA763" s="801"/>
      <c r="BB763" s="801"/>
      <c r="BC763" s="801"/>
      <c r="BD763" s="801"/>
      <c r="BE763" s="801"/>
      <c r="BF763" s="801"/>
      <c r="BG763" s="801"/>
      <c r="BH763" s="801"/>
      <c r="BI763" s="801"/>
    </row>
    <row r="764" spans="1:62" s="798" customFormat="1" ht="24.6" customHeight="1">
      <c r="A764" s="928"/>
      <c r="B764" s="792" t="s">
        <v>246</v>
      </c>
      <c r="C764" s="792"/>
      <c r="D764" s="792"/>
      <c r="E764" s="792"/>
      <c r="F764" s="792"/>
      <c r="G764" s="81">
        <f t="shared" si="233"/>
        <v>0</v>
      </c>
      <c r="H764" s="81"/>
      <c r="I764" s="81"/>
      <c r="J764" s="81"/>
      <c r="K764" s="81"/>
      <c r="L764" s="81"/>
      <c r="M764" s="81">
        <v>65000</v>
      </c>
      <c r="N764" s="792"/>
      <c r="O764" s="944"/>
      <c r="AJ764" s="799"/>
      <c r="AK764" s="799"/>
      <c r="AL764" s="799"/>
      <c r="AM764" s="799"/>
      <c r="AN764" s="799"/>
      <c r="AO764" s="799"/>
      <c r="AP764" s="799"/>
      <c r="AQ764" s="799"/>
      <c r="AR764" s="799"/>
      <c r="AS764" s="799"/>
      <c r="AT764" s="799"/>
      <c r="AU764" s="799"/>
      <c r="AV764" s="799"/>
      <c r="AW764" s="799"/>
      <c r="AX764" s="799"/>
      <c r="AY764" s="799"/>
      <c r="AZ764" s="799"/>
      <c r="BA764" s="799"/>
      <c r="BB764" s="799"/>
      <c r="BC764" s="799"/>
      <c r="BD764" s="799"/>
      <c r="BE764" s="799"/>
      <c r="BF764" s="799"/>
      <c r="BG764" s="799"/>
      <c r="BH764" s="799"/>
      <c r="BI764" s="799"/>
    </row>
    <row r="765" spans="1:62" s="800" customFormat="1" ht="23.45" customHeight="1">
      <c r="A765" s="926" t="s">
        <v>1083</v>
      </c>
      <c r="B765" s="792" t="s">
        <v>89</v>
      </c>
      <c r="C765" s="792">
        <v>176</v>
      </c>
      <c r="D765" s="792" t="s">
        <v>15</v>
      </c>
      <c r="E765" s="792">
        <v>6100404</v>
      </c>
      <c r="F765" s="792">
        <v>243</v>
      </c>
      <c r="G765" s="81">
        <f t="shared" si="232"/>
        <v>0</v>
      </c>
      <c r="H765" s="81"/>
      <c r="I765" s="81"/>
      <c r="J765" s="81"/>
      <c r="K765" s="81"/>
      <c r="L765" s="81"/>
      <c r="M765" s="81">
        <v>1</v>
      </c>
      <c r="N765" s="792"/>
      <c r="O765" s="944" t="s">
        <v>965</v>
      </c>
      <c r="AJ765" s="801"/>
      <c r="AK765" s="801"/>
      <c r="AL765" s="801"/>
      <c r="AM765" s="801"/>
      <c r="AN765" s="801"/>
      <c r="AO765" s="801"/>
      <c r="AP765" s="801"/>
      <c r="AQ765" s="801"/>
      <c r="AR765" s="801"/>
      <c r="AS765" s="801"/>
      <c r="AT765" s="801"/>
      <c r="AU765" s="801"/>
      <c r="AV765" s="801"/>
      <c r="AW765" s="801"/>
      <c r="AX765" s="801"/>
      <c r="AY765" s="801"/>
      <c r="AZ765" s="801"/>
      <c r="BA765" s="801"/>
      <c r="BB765" s="801"/>
      <c r="BC765" s="801"/>
      <c r="BD765" s="801"/>
      <c r="BE765" s="801"/>
      <c r="BF765" s="801"/>
      <c r="BG765" s="801"/>
      <c r="BH765" s="801"/>
      <c r="BI765" s="801"/>
    </row>
    <row r="766" spans="1:62" s="798" customFormat="1" ht="24.6" customHeight="1">
      <c r="A766" s="928"/>
      <c r="B766" s="792" t="s">
        <v>246</v>
      </c>
      <c r="C766" s="792"/>
      <c r="D766" s="792"/>
      <c r="E766" s="792"/>
      <c r="F766" s="792"/>
      <c r="G766" s="81">
        <f t="shared" si="232"/>
        <v>0</v>
      </c>
      <c r="H766" s="81"/>
      <c r="I766" s="81"/>
      <c r="J766" s="81"/>
      <c r="K766" s="81"/>
      <c r="L766" s="81"/>
      <c r="M766" s="81">
        <v>17061</v>
      </c>
      <c r="N766" s="792"/>
      <c r="O766" s="944"/>
      <c r="AJ766" s="799"/>
      <c r="AK766" s="799"/>
      <c r="AL766" s="799"/>
      <c r="AM766" s="799"/>
      <c r="AN766" s="799"/>
      <c r="AO766" s="799"/>
      <c r="AP766" s="799"/>
      <c r="AQ766" s="799"/>
      <c r="AR766" s="799"/>
      <c r="AS766" s="799"/>
      <c r="AT766" s="799"/>
      <c r="AU766" s="799"/>
      <c r="AV766" s="799"/>
      <c r="AW766" s="799"/>
      <c r="AX766" s="799"/>
      <c r="AY766" s="799"/>
      <c r="AZ766" s="799"/>
      <c r="BA766" s="799"/>
      <c r="BB766" s="799"/>
      <c r="BC766" s="799"/>
      <c r="BD766" s="799"/>
      <c r="BE766" s="799"/>
      <c r="BF766" s="799"/>
      <c r="BG766" s="799"/>
      <c r="BH766" s="799"/>
      <c r="BI766" s="799"/>
    </row>
    <row r="767" spans="1:62" s="800" customFormat="1" ht="23.45" customHeight="1">
      <c r="A767" s="926" t="s">
        <v>962</v>
      </c>
      <c r="B767" s="792" t="s">
        <v>89</v>
      </c>
      <c r="C767" s="792">
        <v>176</v>
      </c>
      <c r="D767" s="792" t="s">
        <v>15</v>
      </c>
      <c r="E767" s="792">
        <v>6100404</v>
      </c>
      <c r="F767" s="792">
        <v>243</v>
      </c>
      <c r="G767" s="81">
        <f t="shared" si="232"/>
        <v>1</v>
      </c>
      <c r="H767" s="81"/>
      <c r="I767" s="81"/>
      <c r="J767" s="81"/>
      <c r="K767" s="81">
        <v>1</v>
      </c>
      <c r="L767" s="81"/>
      <c r="M767" s="81"/>
      <c r="N767" s="792"/>
      <c r="O767" s="944" t="s">
        <v>965</v>
      </c>
      <c r="AJ767" s="801"/>
      <c r="AK767" s="801"/>
      <c r="AL767" s="801"/>
      <c r="AM767" s="801"/>
      <c r="AN767" s="801"/>
      <c r="AO767" s="801"/>
      <c r="AP767" s="801"/>
      <c r="AQ767" s="801"/>
      <c r="AR767" s="801"/>
      <c r="AS767" s="801"/>
      <c r="AT767" s="801"/>
      <c r="AU767" s="801"/>
      <c r="AV767" s="801"/>
      <c r="AW767" s="801"/>
      <c r="AX767" s="801"/>
      <c r="AY767" s="801"/>
      <c r="AZ767" s="801"/>
      <c r="BA767" s="801"/>
      <c r="BB767" s="801"/>
      <c r="BC767" s="801"/>
      <c r="BD767" s="801"/>
      <c r="BE767" s="801"/>
      <c r="BF767" s="801"/>
      <c r="BG767" s="801"/>
      <c r="BH767" s="801"/>
      <c r="BI767" s="801"/>
    </row>
    <row r="768" spans="1:62" s="798" customFormat="1" ht="24.6" customHeight="1">
      <c r="A768" s="928"/>
      <c r="B768" s="792" t="s">
        <v>246</v>
      </c>
      <c r="C768" s="792"/>
      <c r="D768" s="792"/>
      <c r="E768" s="792"/>
      <c r="F768" s="792"/>
      <c r="G768" s="81">
        <f t="shared" si="232"/>
        <v>16236</v>
      </c>
      <c r="H768" s="81"/>
      <c r="I768" s="81"/>
      <c r="J768" s="81"/>
      <c r="K768" s="81">
        <v>16236</v>
      </c>
      <c r="L768" s="81"/>
      <c r="M768" s="81"/>
      <c r="N768" s="792"/>
      <c r="O768" s="944"/>
      <c r="AJ768" s="799"/>
      <c r="AK768" s="799"/>
      <c r="AL768" s="799"/>
      <c r="AM768" s="799"/>
      <c r="AN768" s="799"/>
      <c r="AO768" s="799"/>
      <c r="AP768" s="799"/>
      <c r="AQ768" s="799"/>
      <c r="AR768" s="799"/>
      <c r="AS768" s="799"/>
      <c r="AT768" s="799"/>
      <c r="AU768" s="799"/>
      <c r="AV768" s="799"/>
      <c r="AW768" s="799"/>
      <c r="AX768" s="799"/>
      <c r="AY768" s="799"/>
      <c r="AZ768" s="799"/>
      <c r="BA768" s="799"/>
      <c r="BB768" s="799"/>
      <c r="BC768" s="799"/>
      <c r="BD768" s="799"/>
      <c r="BE768" s="799"/>
      <c r="BF768" s="799"/>
      <c r="BG768" s="799"/>
      <c r="BH768" s="799"/>
      <c r="BI768" s="799"/>
    </row>
    <row r="769" spans="1:61" s="800" customFormat="1" ht="23.45" customHeight="1">
      <c r="A769" s="926" t="s">
        <v>1097</v>
      </c>
      <c r="B769" s="792" t="s">
        <v>89</v>
      </c>
      <c r="C769" s="792">
        <v>176</v>
      </c>
      <c r="D769" s="792" t="s">
        <v>15</v>
      </c>
      <c r="E769" s="792">
        <v>6100404</v>
      </c>
      <c r="F769" s="792">
        <v>243</v>
      </c>
      <c r="G769" s="81">
        <f t="shared" si="232"/>
        <v>1</v>
      </c>
      <c r="H769" s="81"/>
      <c r="I769" s="81"/>
      <c r="J769" s="81"/>
      <c r="K769" s="81">
        <v>1</v>
      </c>
      <c r="L769" s="81"/>
      <c r="M769" s="81"/>
      <c r="N769" s="792"/>
      <c r="O769" s="944" t="s">
        <v>965</v>
      </c>
      <c r="AJ769" s="801"/>
      <c r="AK769" s="801"/>
      <c r="AL769" s="801"/>
      <c r="AM769" s="801"/>
      <c r="AN769" s="801"/>
      <c r="AO769" s="801"/>
      <c r="AP769" s="801"/>
      <c r="AQ769" s="801"/>
      <c r="AR769" s="801"/>
      <c r="AS769" s="801"/>
      <c r="AT769" s="801"/>
      <c r="AU769" s="801"/>
      <c r="AV769" s="801"/>
      <c r="AW769" s="801"/>
      <c r="AX769" s="801"/>
      <c r="AY769" s="801"/>
      <c r="AZ769" s="801"/>
      <c r="BA769" s="801"/>
      <c r="BB769" s="801"/>
      <c r="BC769" s="801"/>
      <c r="BD769" s="801"/>
      <c r="BE769" s="801"/>
      <c r="BF769" s="801"/>
      <c r="BG769" s="801"/>
      <c r="BH769" s="801"/>
      <c r="BI769" s="801"/>
    </row>
    <row r="770" spans="1:61" s="798" customFormat="1" ht="24.6" customHeight="1">
      <c r="A770" s="928"/>
      <c r="B770" s="792" t="s">
        <v>246</v>
      </c>
      <c r="C770" s="792"/>
      <c r="D770" s="792"/>
      <c r="E770" s="792"/>
      <c r="F770" s="792"/>
      <c r="G770" s="81">
        <f t="shared" si="232"/>
        <v>14737</v>
      </c>
      <c r="H770" s="81"/>
      <c r="I770" s="81"/>
      <c r="J770" s="81"/>
      <c r="K770" s="81">
        <v>14737</v>
      </c>
      <c r="L770" s="81"/>
      <c r="M770" s="81"/>
      <c r="N770" s="792"/>
      <c r="O770" s="944"/>
      <c r="AJ770" s="799"/>
      <c r="AK770" s="799"/>
      <c r="AL770" s="799"/>
      <c r="AM770" s="799"/>
      <c r="AN770" s="799"/>
      <c r="AO770" s="799"/>
      <c r="AP770" s="799"/>
      <c r="AQ770" s="799"/>
      <c r="AR770" s="799"/>
      <c r="AS770" s="799"/>
      <c r="AT770" s="799"/>
      <c r="AU770" s="799"/>
      <c r="AV770" s="799"/>
      <c r="AW770" s="799"/>
      <c r="AX770" s="799"/>
      <c r="AY770" s="799"/>
      <c r="AZ770" s="799"/>
      <c r="BA770" s="799"/>
      <c r="BB770" s="799"/>
      <c r="BC770" s="799"/>
      <c r="BD770" s="799"/>
      <c r="BE770" s="799"/>
      <c r="BF770" s="799"/>
      <c r="BG770" s="799"/>
      <c r="BH770" s="799"/>
      <c r="BI770" s="799"/>
    </row>
    <row r="771" spans="1:61" s="800" customFormat="1" ht="23.45" customHeight="1">
      <c r="A771" s="926" t="s">
        <v>963</v>
      </c>
      <c r="B771" s="792" t="s">
        <v>89</v>
      </c>
      <c r="C771" s="792">
        <v>176</v>
      </c>
      <c r="D771" s="792" t="s">
        <v>15</v>
      </c>
      <c r="E771" s="792">
        <v>6100404</v>
      </c>
      <c r="F771" s="792">
        <v>243</v>
      </c>
      <c r="G771" s="81">
        <f t="shared" si="232"/>
        <v>1</v>
      </c>
      <c r="H771" s="81"/>
      <c r="I771" s="81"/>
      <c r="J771" s="81"/>
      <c r="K771" s="81">
        <v>1</v>
      </c>
      <c r="L771" s="81"/>
      <c r="M771" s="81"/>
      <c r="N771" s="792"/>
      <c r="O771" s="944" t="s">
        <v>965</v>
      </c>
      <c r="AJ771" s="801"/>
      <c r="AK771" s="801"/>
      <c r="AL771" s="801"/>
      <c r="AM771" s="801"/>
      <c r="AN771" s="801"/>
      <c r="AO771" s="801"/>
      <c r="AP771" s="801"/>
      <c r="AQ771" s="801"/>
      <c r="AR771" s="801"/>
      <c r="AS771" s="801"/>
      <c r="AT771" s="801"/>
      <c r="AU771" s="801"/>
      <c r="AV771" s="801"/>
      <c r="AW771" s="801"/>
      <c r="AX771" s="801"/>
      <c r="AY771" s="801"/>
      <c r="AZ771" s="801"/>
      <c r="BA771" s="801"/>
      <c r="BB771" s="801"/>
      <c r="BC771" s="801"/>
      <c r="BD771" s="801"/>
      <c r="BE771" s="801"/>
      <c r="BF771" s="801"/>
      <c r="BG771" s="801"/>
      <c r="BH771" s="801"/>
      <c r="BI771" s="801"/>
    </row>
    <row r="772" spans="1:61" s="798" customFormat="1" ht="24.6" customHeight="1">
      <c r="A772" s="928"/>
      <c r="B772" s="792" t="s">
        <v>246</v>
      </c>
      <c r="C772" s="792"/>
      <c r="D772" s="792"/>
      <c r="E772" s="792"/>
      <c r="F772" s="792"/>
      <c r="G772" s="81">
        <f t="shared" si="232"/>
        <v>15668</v>
      </c>
      <c r="H772" s="81"/>
      <c r="I772" s="81"/>
      <c r="J772" s="81"/>
      <c r="K772" s="81">
        <v>15668</v>
      </c>
      <c r="L772" s="81"/>
      <c r="M772" s="81"/>
      <c r="N772" s="792"/>
      <c r="O772" s="944"/>
      <c r="AJ772" s="799"/>
      <c r="AK772" s="799"/>
      <c r="AL772" s="799"/>
      <c r="AM772" s="799"/>
      <c r="AN772" s="799"/>
      <c r="AO772" s="799"/>
      <c r="AP772" s="799"/>
      <c r="AQ772" s="799"/>
      <c r="AR772" s="799"/>
      <c r="AS772" s="799"/>
      <c r="AT772" s="799"/>
      <c r="AU772" s="799"/>
      <c r="AV772" s="799"/>
      <c r="AW772" s="799"/>
      <c r="AX772" s="799"/>
      <c r="AY772" s="799"/>
      <c r="AZ772" s="799"/>
      <c r="BA772" s="799"/>
      <c r="BB772" s="799"/>
      <c r="BC772" s="799"/>
      <c r="BD772" s="799"/>
      <c r="BE772" s="799"/>
      <c r="BF772" s="799"/>
      <c r="BG772" s="799"/>
      <c r="BH772" s="799"/>
      <c r="BI772" s="799"/>
    </row>
    <row r="773" spans="1:61" s="800" customFormat="1" ht="23.45" customHeight="1">
      <c r="A773" s="926" t="s">
        <v>964</v>
      </c>
      <c r="B773" s="792" t="s">
        <v>89</v>
      </c>
      <c r="C773" s="792">
        <v>176</v>
      </c>
      <c r="D773" s="792" t="s">
        <v>15</v>
      </c>
      <c r="E773" s="792">
        <v>6100404</v>
      </c>
      <c r="F773" s="792">
        <v>243</v>
      </c>
      <c r="G773" s="81">
        <f t="shared" si="232"/>
        <v>1</v>
      </c>
      <c r="H773" s="81"/>
      <c r="I773" s="81"/>
      <c r="J773" s="81"/>
      <c r="K773" s="81">
        <v>1</v>
      </c>
      <c r="L773" s="81"/>
      <c r="M773" s="81"/>
      <c r="N773" s="792"/>
      <c r="O773" s="944" t="s">
        <v>965</v>
      </c>
      <c r="AJ773" s="801"/>
      <c r="AK773" s="801"/>
      <c r="AL773" s="801"/>
      <c r="AM773" s="801"/>
      <c r="AN773" s="801"/>
      <c r="AO773" s="801"/>
      <c r="AP773" s="801"/>
      <c r="AQ773" s="801"/>
      <c r="AR773" s="801"/>
      <c r="AS773" s="801"/>
      <c r="AT773" s="801"/>
      <c r="AU773" s="801"/>
      <c r="AV773" s="801"/>
      <c r="AW773" s="801"/>
      <c r="AX773" s="801"/>
      <c r="AY773" s="801"/>
      <c r="AZ773" s="801"/>
      <c r="BA773" s="801"/>
      <c r="BB773" s="801"/>
      <c r="BC773" s="801"/>
      <c r="BD773" s="801"/>
      <c r="BE773" s="801"/>
      <c r="BF773" s="801"/>
      <c r="BG773" s="801"/>
      <c r="BH773" s="801"/>
      <c r="BI773" s="801"/>
    </row>
    <row r="774" spans="1:61" s="798" customFormat="1" ht="24.6" customHeight="1">
      <c r="A774" s="928"/>
      <c r="B774" s="792" t="s">
        <v>246</v>
      </c>
      <c r="C774" s="792"/>
      <c r="D774" s="792"/>
      <c r="E774" s="792"/>
      <c r="F774" s="792"/>
      <c r="G774" s="81">
        <f t="shared" si="232"/>
        <v>16407</v>
      </c>
      <c r="H774" s="81"/>
      <c r="I774" s="81"/>
      <c r="J774" s="81"/>
      <c r="K774" s="81">
        <v>16407</v>
      </c>
      <c r="L774" s="81"/>
      <c r="M774" s="81"/>
      <c r="N774" s="792"/>
      <c r="O774" s="944"/>
      <c r="AJ774" s="799"/>
      <c r="AK774" s="799"/>
      <c r="AL774" s="799"/>
      <c r="AM774" s="799"/>
      <c r="AN774" s="799"/>
      <c r="AO774" s="799"/>
      <c r="AP774" s="799"/>
      <c r="AQ774" s="799"/>
      <c r="AR774" s="799"/>
      <c r="AS774" s="799"/>
      <c r="AT774" s="799"/>
      <c r="AU774" s="799"/>
      <c r="AV774" s="799"/>
      <c r="AW774" s="799"/>
      <c r="AX774" s="799"/>
      <c r="AY774" s="799"/>
      <c r="AZ774" s="799"/>
      <c r="BA774" s="799"/>
      <c r="BB774" s="799"/>
      <c r="BC774" s="799"/>
      <c r="BD774" s="799"/>
      <c r="BE774" s="799"/>
      <c r="BF774" s="799"/>
      <c r="BG774" s="799"/>
      <c r="BH774" s="799"/>
      <c r="BI774" s="799"/>
    </row>
    <row r="775" spans="1:61" s="44" customFormat="1" ht="23.45" customHeight="1">
      <c r="A775" s="926" t="s">
        <v>1082</v>
      </c>
      <c r="B775" s="484" t="s">
        <v>89</v>
      </c>
      <c r="C775" s="484">
        <v>176</v>
      </c>
      <c r="D775" s="484" t="s">
        <v>15</v>
      </c>
      <c r="E775" s="484">
        <v>6100404</v>
      </c>
      <c r="F775" s="484">
        <v>243</v>
      </c>
      <c r="G775" s="81">
        <f t="shared" ref="G775:G776" si="234">K775</f>
        <v>0</v>
      </c>
      <c r="H775" s="81"/>
      <c r="I775" s="81"/>
      <c r="J775" s="81"/>
      <c r="K775" s="81"/>
      <c r="L775" s="81">
        <v>1</v>
      </c>
      <c r="M775" s="580"/>
      <c r="N775" s="484"/>
      <c r="O775" s="944" t="s">
        <v>965</v>
      </c>
      <c r="AJ775" s="91"/>
      <c r="AK775" s="91"/>
      <c r="AL775" s="91"/>
      <c r="AM775" s="91"/>
      <c r="AN775" s="91"/>
      <c r="AO775" s="91"/>
      <c r="AP775" s="91"/>
      <c r="AQ775" s="91"/>
      <c r="AR775" s="91"/>
      <c r="AS775" s="91"/>
      <c r="AT775" s="91"/>
      <c r="AU775" s="91"/>
      <c r="AV775" s="91"/>
      <c r="AW775" s="91"/>
      <c r="AX775" s="91"/>
      <c r="AY775" s="91"/>
      <c r="AZ775" s="91"/>
      <c r="BA775" s="91"/>
      <c r="BB775" s="91"/>
      <c r="BC775" s="91"/>
      <c r="BD775" s="91"/>
      <c r="BE775" s="91"/>
      <c r="BF775" s="91"/>
      <c r="BG775" s="91"/>
      <c r="BH775" s="91"/>
      <c r="BI775" s="91"/>
    </row>
    <row r="776" spans="1:61" ht="24.6" customHeight="1">
      <c r="A776" s="928"/>
      <c r="B776" s="484" t="s">
        <v>246</v>
      </c>
      <c r="C776" s="484"/>
      <c r="D776" s="484"/>
      <c r="E776" s="484"/>
      <c r="F776" s="484"/>
      <c r="G776" s="81">
        <f t="shared" si="234"/>
        <v>0</v>
      </c>
      <c r="H776" s="81"/>
      <c r="I776" s="81"/>
      <c r="J776" s="81"/>
      <c r="K776" s="81"/>
      <c r="L776" s="81">
        <v>16178</v>
      </c>
      <c r="M776" s="580"/>
      <c r="N776" s="484"/>
      <c r="O776" s="944"/>
    </row>
    <row r="777" spans="1:61" ht="24.6" hidden="1" customHeight="1">
      <c r="A777" s="945" t="s">
        <v>136</v>
      </c>
      <c r="B777" s="57" t="s">
        <v>89</v>
      </c>
      <c r="C777" s="57"/>
      <c r="D777" s="57"/>
      <c r="E777" s="57"/>
      <c r="F777" s="57"/>
      <c r="G777" s="80">
        <f>G783+G787+G789</f>
        <v>0</v>
      </c>
      <c r="H777" s="80"/>
      <c r="I777" s="80"/>
      <c r="J777" s="80"/>
      <c r="K777" s="80"/>
      <c r="L777" s="80">
        <f t="shared" ref="L777:M778" si="235">L783+L787+L789</f>
        <v>0</v>
      </c>
      <c r="M777" s="439">
        <f t="shared" si="235"/>
        <v>0</v>
      </c>
      <c r="N777" s="484"/>
      <c r="O777" s="57"/>
    </row>
    <row r="778" spans="1:61" ht="24.6" hidden="1" customHeight="1">
      <c r="A778" s="945"/>
      <c r="B778" s="57" t="s">
        <v>246</v>
      </c>
      <c r="C778" s="57"/>
      <c r="D778" s="57"/>
      <c r="E778" s="57"/>
      <c r="F778" s="57"/>
      <c r="G778" s="80">
        <f>G784+G788+G790</f>
        <v>0</v>
      </c>
      <c r="H778" s="80">
        <f t="shared" ref="H778:K778" si="236">H784+H788+H790</f>
        <v>0</v>
      </c>
      <c r="I778" s="80">
        <f t="shared" si="236"/>
        <v>0</v>
      </c>
      <c r="J778" s="80">
        <f t="shared" si="236"/>
        <v>0</v>
      </c>
      <c r="K778" s="80">
        <f t="shared" si="236"/>
        <v>0</v>
      </c>
      <c r="L778" s="80">
        <f t="shared" si="235"/>
        <v>0</v>
      </c>
      <c r="M778" s="439">
        <f t="shared" si="235"/>
        <v>0</v>
      </c>
      <c r="N778" s="484"/>
      <c r="O778" s="57"/>
    </row>
    <row r="779" spans="1:61" ht="0.6" hidden="1" customHeight="1">
      <c r="A779" s="932" t="s">
        <v>135</v>
      </c>
      <c r="B779" s="484" t="s">
        <v>89</v>
      </c>
      <c r="C779" s="484">
        <v>176</v>
      </c>
      <c r="D779" s="484" t="s">
        <v>15</v>
      </c>
      <c r="E779" s="484">
        <v>6100404</v>
      </c>
      <c r="F779" s="484">
        <v>243</v>
      </c>
      <c r="G779" s="81">
        <v>0</v>
      </c>
      <c r="H779" s="81"/>
      <c r="I779" s="81"/>
      <c r="J779" s="81"/>
      <c r="K779" s="81"/>
      <c r="L779" s="81"/>
      <c r="M779" s="580"/>
      <c r="N779" s="484"/>
      <c r="O779" s="944" t="s">
        <v>211</v>
      </c>
    </row>
    <row r="780" spans="1:61" ht="22.9" hidden="1" customHeight="1">
      <c r="A780" s="932"/>
      <c r="B780" s="484" t="s">
        <v>246</v>
      </c>
      <c r="C780" s="484"/>
      <c r="D780" s="484"/>
      <c r="E780" s="484"/>
      <c r="F780" s="484"/>
      <c r="G780" s="81"/>
      <c r="H780" s="81"/>
      <c r="I780" s="81"/>
      <c r="J780" s="81"/>
      <c r="K780" s="81"/>
      <c r="L780" s="81"/>
      <c r="M780" s="580"/>
      <c r="N780" s="484"/>
      <c r="O780" s="944"/>
    </row>
    <row r="781" spans="1:61" ht="24.6" hidden="1" customHeight="1">
      <c r="A781" s="483" t="s">
        <v>170</v>
      </c>
      <c r="B781" s="484" t="s">
        <v>89</v>
      </c>
      <c r="C781" s="484">
        <v>176</v>
      </c>
      <c r="D781" s="484" t="s">
        <v>15</v>
      </c>
      <c r="E781" s="484">
        <v>6100404</v>
      </c>
      <c r="F781" s="484">
        <v>243</v>
      </c>
      <c r="G781" s="81">
        <v>0</v>
      </c>
      <c r="H781" s="81"/>
      <c r="I781" s="81"/>
      <c r="J781" s="81"/>
      <c r="K781" s="81"/>
      <c r="L781" s="81"/>
      <c r="M781" s="580"/>
      <c r="N781" s="484"/>
      <c r="O781" s="484" t="s">
        <v>39</v>
      </c>
    </row>
    <row r="782" spans="1:61" ht="0.6" hidden="1" customHeight="1">
      <c r="A782" s="483"/>
      <c r="B782" s="484" t="s">
        <v>246</v>
      </c>
      <c r="C782" s="484"/>
      <c r="D782" s="484"/>
      <c r="E782" s="484"/>
      <c r="F782" s="484"/>
      <c r="G782" s="81"/>
      <c r="H782" s="81"/>
      <c r="I782" s="81"/>
      <c r="J782" s="81"/>
      <c r="K782" s="81"/>
      <c r="L782" s="81"/>
      <c r="M782" s="580"/>
      <c r="N782" s="484"/>
      <c r="O782" s="484"/>
    </row>
    <row r="783" spans="1:61" ht="24.6" hidden="1" customHeight="1">
      <c r="A783" s="932" t="s">
        <v>156</v>
      </c>
      <c r="B783" s="484" t="s">
        <v>89</v>
      </c>
      <c r="C783" s="484">
        <v>176</v>
      </c>
      <c r="D783" s="484" t="s">
        <v>15</v>
      </c>
      <c r="E783" s="484">
        <v>6100404</v>
      </c>
      <c r="F783" s="484">
        <v>243</v>
      </c>
      <c r="G783" s="81">
        <v>0</v>
      </c>
      <c r="H783" s="81"/>
      <c r="I783" s="81"/>
      <c r="J783" s="81"/>
      <c r="K783" s="81"/>
      <c r="L783" s="81"/>
      <c r="M783" s="580"/>
      <c r="N783" s="484"/>
      <c r="O783" s="944" t="s">
        <v>313</v>
      </c>
    </row>
    <row r="784" spans="1:61" ht="23.45" hidden="1" customHeight="1">
      <c r="A784" s="932"/>
      <c r="B784" s="484" t="s">
        <v>246</v>
      </c>
      <c r="C784" s="484"/>
      <c r="D784" s="484"/>
      <c r="E784" s="484"/>
      <c r="F784" s="484"/>
      <c r="G784" s="81"/>
      <c r="H784" s="81"/>
      <c r="I784" s="81"/>
      <c r="J784" s="81"/>
      <c r="K784" s="81"/>
      <c r="L784" s="81"/>
      <c r="M784" s="580"/>
      <c r="N784" s="484"/>
      <c r="O784" s="944"/>
    </row>
    <row r="785" spans="1:61" ht="24.6" hidden="1" customHeight="1">
      <c r="A785" s="485" t="s">
        <v>163</v>
      </c>
      <c r="B785" s="484" t="s">
        <v>89</v>
      </c>
      <c r="C785" s="484">
        <v>176</v>
      </c>
      <c r="D785" s="484" t="s">
        <v>15</v>
      </c>
      <c r="E785" s="484">
        <v>6100404</v>
      </c>
      <c r="F785" s="484">
        <v>243</v>
      </c>
      <c r="G785" s="81">
        <v>0</v>
      </c>
      <c r="H785" s="81"/>
      <c r="I785" s="81"/>
      <c r="J785" s="81"/>
      <c r="K785" s="81"/>
      <c r="L785" s="81"/>
      <c r="M785" s="580"/>
      <c r="N785" s="484"/>
      <c r="O785" s="484"/>
    </row>
    <row r="786" spans="1:61" s="44" customFormat="1" ht="24.6" hidden="1" customHeight="1">
      <c r="A786" s="485"/>
      <c r="B786" s="484" t="s">
        <v>246</v>
      </c>
      <c r="C786" s="484"/>
      <c r="D786" s="484"/>
      <c r="E786" s="484"/>
      <c r="F786" s="484"/>
      <c r="G786" s="81"/>
      <c r="H786" s="81"/>
      <c r="I786" s="81"/>
      <c r="J786" s="81"/>
      <c r="K786" s="81"/>
      <c r="L786" s="81"/>
      <c r="M786" s="580"/>
      <c r="N786" s="484"/>
      <c r="O786" s="484"/>
      <c r="AJ786" s="91"/>
      <c r="AK786" s="91"/>
      <c r="AL786" s="91"/>
      <c r="AM786" s="91"/>
      <c r="AN786" s="91"/>
      <c r="AO786" s="91"/>
      <c r="AP786" s="91"/>
      <c r="AQ786" s="91"/>
      <c r="AR786" s="91"/>
      <c r="AS786" s="91"/>
      <c r="AT786" s="91"/>
      <c r="AU786" s="91"/>
      <c r="AV786" s="91"/>
      <c r="AW786" s="91"/>
      <c r="AX786" s="91"/>
      <c r="AY786" s="91"/>
      <c r="AZ786" s="91"/>
      <c r="BA786" s="91"/>
      <c r="BB786" s="91"/>
      <c r="BC786" s="91"/>
      <c r="BD786" s="91"/>
      <c r="BE786" s="91"/>
      <c r="BF786" s="91"/>
      <c r="BG786" s="91"/>
      <c r="BH786" s="91"/>
      <c r="BI786" s="91"/>
    </row>
    <row r="787" spans="1:61" s="44" customFormat="1" ht="24.6" hidden="1" customHeight="1">
      <c r="A787" s="926" t="s">
        <v>312</v>
      </c>
      <c r="B787" s="484" t="s">
        <v>89</v>
      </c>
      <c r="C787" s="484"/>
      <c r="D787" s="484"/>
      <c r="E787" s="484"/>
      <c r="F787" s="484"/>
      <c r="G787" s="81"/>
      <c r="H787" s="81"/>
      <c r="I787" s="81"/>
      <c r="J787" s="81"/>
      <c r="K787" s="81"/>
      <c r="L787" s="81"/>
      <c r="M787" s="580"/>
      <c r="N787" s="484"/>
      <c r="O787" s="944" t="s">
        <v>449</v>
      </c>
      <c r="AJ787" s="91"/>
      <c r="AK787" s="91"/>
      <c r="AL787" s="91"/>
      <c r="AM787" s="91"/>
      <c r="AN787" s="91"/>
      <c r="AO787" s="91"/>
      <c r="AP787" s="91"/>
      <c r="AQ787" s="91"/>
      <c r="AR787" s="91"/>
      <c r="AS787" s="91"/>
      <c r="AT787" s="91"/>
      <c r="AU787" s="91"/>
      <c r="AV787" s="91"/>
      <c r="AW787" s="91"/>
      <c r="AX787" s="91"/>
      <c r="AY787" s="91"/>
      <c r="AZ787" s="91"/>
      <c r="BA787" s="91"/>
      <c r="BB787" s="91"/>
      <c r="BC787" s="91"/>
      <c r="BD787" s="91"/>
      <c r="BE787" s="91"/>
      <c r="BF787" s="91"/>
      <c r="BG787" s="91"/>
      <c r="BH787" s="91"/>
      <c r="BI787" s="91"/>
    </row>
    <row r="788" spans="1:61" s="44" customFormat="1" ht="24.6" hidden="1" customHeight="1">
      <c r="A788" s="928"/>
      <c r="B788" s="484" t="s">
        <v>246</v>
      </c>
      <c r="C788" s="484"/>
      <c r="D788" s="484"/>
      <c r="E788" s="484"/>
      <c r="F788" s="484"/>
      <c r="G788" s="81"/>
      <c r="H788" s="81"/>
      <c r="I788" s="81"/>
      <c r="J788" s="81"/>
      <c r="K788" s="81"/>
      <c r="L788" s="81"/>
      <c r="M788" s="580"/>
      <c r="N788" s="484"/>
      <c r="O788" s="944"/>
      <c r="AJ788" s="91"/>
      <c r="AK788" s="91"/>
      <c r="AL788" s="91"/>
      <c r="AM788" s="91"/>
      <c r="AN788" s="91"/>
      <c r="AO788" s="91"/>
      <c r="AP788" s="91"/>
      <c r="AQ788" s="91"/>
      <c r="AR788" s="91"/>
      <c r="AS788" s="91"/>
      <c r="AT788" s="91"/>
      <c r="AU788" s="91"/>
      <c r="AV788" s="91"/>
      <c r="AW788" s="91"/>
      <c r="AX788" s="91"/>
      <c r="AY788" s="91"/>
      <c r="AZ788" s="91"/>
      <c r="BA788" s="91"/>
      <c r="BB788" s="91"/>
      <c r="BC788" s="91"/>
      <c r="BD788" s="91"/>
      <c r="BE788" s="91"/>
      <c r="BF788" s="91"/>
      <c r="BG788" s="91"/>
      <c r="BH788" s="91"/>
      <c r="BI788" s="91"/>
    </row>
    <row r="789" spans="1:61" s="44" customFormat="1" ht="24.95" hidden="1" customHeight="1">
      <c r="A789" s="932" t="s">
        <v>109</v>
      </c>
      <c r="B789" s="484" t="s">
        <v>89</v>
      </c>
      <c r="C789" s="484">
        <v>176</v>
      </c>
      <c r="D789" s="484" t="s">
        <v>15</v>
      </c>
      <c r="E789" s="484">
        <v>6100404</v>
      </c>
      <c r="F789" s="484">
        <v>243</v>
      </c>
      <c r="G789" s="81"/>
      <c r="H789" s="81"/>
      <c r="I789" s="81"/>
      <c r="J789" s="81"/>
      <c r="K789" s="81"/>
      <c r="L789" s="81"/>
      <c r="M789" s="580"/>
      <c r="N789" s="484"/>
      <c r="O789" s="944" t="s">
        <v>311</v>
      </c>
      <c r="AJ789" s="91"/>
      <c r="AK789" s="91"/>
      <c r="AL789" s="91"/>
      <c r="AM789" s="91"/>
      <c r="AN789" s="91"/>
      <c r="AO789" s="91"/>
      <c r="AP789" s="91"/>
      <c r="AQ789" s="91"/>
      <c r="AR789" s="91"/>
      <c r="AS789" s="91"/>
      <c r="AT789" s="91"/>
      <c r="AU789" s="91"/>
      <c r="AV789" s="91"/>
      <c r="AW789" s="91"/>
      <c r="AX789" s="91"/>
      <c r="AY789" s="91"/>
      <c r="AZ789" s="91"/>
      <c r="BA789" s="91"/>
      <c r="BB789" s="91"/>
      <c r="BC789" s="91"/>
      <c r="BD789" s="91"/>
      <c r="BE789" s="91"/>
      <c r="BF789" s="91"/>
      <c r="BG789" s="91"/>
      <c r="BH789" s="91"/>
      <c r="BI789" s="91"/>
    </row>
    <row r="790" spans="1:61" ht="24.95" hidden="1" customHeight="1">
      <c r="A790" s="932"/>
      <c r="B790" s="484" t="s">
        <v>246</v>
      </c>
      <c r="C790" s="484"/>
      <c r="D790" s="484"/>
      <c r="E790" s="484"/>
      <c r="F790" s="484"/>
      <c r="G790" s="81">
        <f>J790</f>
        <v>0</v>
      </c>
      <c r="H790" s="81"/>
      <c r="I790" s="81"/>
      <c r="J790" s="81"/>
      <c r="K790" s="81"/>
      <c r="L790" s="81"/>
      <c r="M790" s="580"/>
      <c r="N790" s="484"/>
      <c r="O790" s="944"/>
    </row>
    <row r="791" spans="1:61" ht="24.95" hidden="1" customHeight="1">
      <c r="A791" s="1023" t="s">
        <v>105</v>
      </c>
      <c r="B791" s="57" t="s">
        <v>721</v>
      </c>
      <c r="C791" s="57"/>
      <c r="D791" s="57"/>
      <c r="E791" s="57"/>
      <c r="F791" s="57"/>
      <c r="G791" s="80">
        <f>K791</f>
        <v>0</v>
      </c>
      <c r="H791" s="80">
        <f t="shared" ref="H791:M791" si="237">H795+H797</f>
        <v>0</v>
      </c>
      <c r="I791" s="80">
        <f t="shared" si="237"/>
        <v>0</v>
      </c>
      <c r="J791" s="80">
        <f t="shared" si="237"/>
        <v>0</v>
      </c>
      <c r="K791" s="80">
        <f t="shared" si="237"/>
        <v>0</v>
      </c>
      <c r="L791" s="80">
        <f t="shared" si="237"/>
        <v>0</v>
      </c>
      <c r="M791" s="439">
        <f t="shared" si="237"/>
        <v>0</v>
      </c>
      <c r="N791" s="484"/>
      <c r="O791" s="57"/>
    </row>
    <row r="792" spans="1:61" ht="24.95" hidden="1" customHeight="1">
      <c r="A792" s="1023"/>
      <c r="B792" s="57" t="s">
        <v>439</v>
      </c>
      <c r="C792" s="57"/>
      <c r="D792" s="57"/>
      <c r="E792" s="57"/>
      <c r="F792" s="57"/>
      <c r="G792" s="80">
        <f t="shared" ref="G792:G804" si="238">K792</f>
        <v>0</v>
      </c>
      <c r="H792" s="80"/>
      <c r="I792" s="80"/>
      <c r="J792" s="80"/>
      <c r="K792" s="80">
        <f>K793+K794</f>
        <v>0</v>
      </c>
      <c r="L792" s="80">
        <f t="shared" ref="L792:M792" si="239">L793+L794</f>
        <v>0</v>
      </c>
      <c r="M792" s="439">
        <f t="shared" si="239"/>
        <v>0</v>
      </c>
      <c r="N792" s="484"/>
      <c r="O792" s="57"/>
    </row>
    <row r="793" spans="1:61" ht="24.95" hidden="1" customHeight="1">
      <c r="A793" s="1023"/>
      <c r="B793" s="57" t="s">
        <v>247</v>
      </c>
      <c r="C793" s="57"/>
      <c r="D793" s="57"/>
      <c r="E793" s="57"/>
      <c r="F793" s="57"/>
      <c r="G793" s="80">
        <f t="shared" si="238"/>
        <v>0</v>
      </c>
      <c r="H793" s="80"/>
      <c r="I793" s="80"/>
      <c r="J793" s="80"/>
      <c r="K793" s="80">
        <f>K796+K799+K803</f>
        <v>0</v>
      </c>
      <c r="L793" s="80">
        <f t="shared" ref="L793:M793" si="240">L796+L799+L803</f>
        <v>0</v>
      </c>
      <c r="M793" s="439">
        <f t="shared" si="240"/>
        <v>0</v>
      </c>
      <c r="N793" s="484"/>
      <c r="O793" s="57"/>
    </row>
    <row r="794" spans="1:61" ht="24.6" hidden="1" customHeight="1">
      <c r="A794" s="1023"/>
      <c r="B794" s="57" t="s">
        <v>495</v>
      </c>
      <c r="C794" s="57"/>
      <c r="D794" s="57"/>
      <c r="E794" s="57"/>
      <c r="F794" s="57"/>
      <c r="G794" s="80">
        <f t="shared" si="238"/>
        <v>0</v>
      </c>
      <c r="H794" s="80">
        <f t="shared" ref="H794:J794" si="241">H796+H800</f>
        <v>0</v>
      </c>
      <c r="I794" s="80">
        <f t="shared" si="241"/>
        <v>0</v>
      </c>
      <c r="J794" s="80">
        <f t="shared" si="241"/>
        <v>0</v>
      </c>
      <c r="K794" s="80">
        <f>K800+K804</f>
        <v>0</v>
      </c>
      <c r="L794" s="80">
        <f>L800+L804</f>
        <v>0</v>
      </c>
      <c r="M794" s="439">
        <f>M800+M804</f>
        <v>0</v>
      </c>
      <c r="N794" s="484"/>
      <c r="O794" s="57"/>
    </row>
    <row r="795" spans="1:61" ht="21.6" hidden="1" customHeight="1">
      <c r="A795" s="926" t="s">
        <v>461</v>
      </c>
      <c r="B795" s="57" t="s">
        <v>721</v>
      </c>
      <c r="C795" s="484">
        <v>176</v>
      </c>
      <c r="D795" s="484" t="s">
        <v>15</v>
      </c>
      <c r="E795" s="484">
        <v>6100404</v>
      </c>
      <c r="F795" s="484">
        <v>243</v>
      </c>
      <c r="G795" s="80">
        <f t="shared" si="238"/>
        <v>0</v>
      </c>
      <c r="H795" s="81"/>
      <c r="I795" s="81"/>
      <c r="J795" s="81"/>
      <c r="K795" s="81"/>
      <c r="L795" s="81"/>
      <c r="M795" s="580"/>
      <c r="N795" s="484"/>
      <c r="O795" s="944" t="s">
        <v>724</v>
      </c>
    </row>
    <row r="796" spans="1:61" ht="24.6" hidden="1" customHeight="1">
      <c r="A796" s="928"/>
      <c r="B796" s="484" t="s">
        <v>246</v>
      </c>
      <c r="C796" s="484"/>
      <c r="D796" s="484"/>
      <c r="E796" s="484"/>
      <c r="F796" s="484"/>
      <c r="G796" s="80">
        <f t="shared" si="238"/>
        <v>0</v>
      </c>
      <c r="H796" s="81"/>
      <c r="I796" s="81"/>
      <c r="J796" s="81"/>
      <c r="K796" s="81"/>
      <c r="L796" s="81"/>
      <c r="M796" s="580"/>
      <c r="N796" s="484"/>
      <c r="O796" s="944"/>
    </row>
    <row r="797" spans="1:61" ht="22.5" hidden="1" customHeight="1">
      <c r="A797" s="1018" t="s">
        <v>462</v>
      </c>
      <c r="B797" s="57" t="s">
        <v>721</v>
      </c>
      <c r="C797" s="484">
        <v>176</v>
      </c>
      <c r="D797" s="484" t="s">
        <v>15</v>
      </c>
      <c r="E797" s="484">
        <v>6100404</v>
      </c>
      <c r="F797" s="484">
        <v>243</v>
      </c>
      <c r="G797" s="81">
        <f t="shared" si="238"/>
        <v>0</v>
      </c>
      <c r="H797" s="81"/>
      <c r="I797" s="81"/>
      <c r="J797" s="81"/>
      <c r="K797" s="81"/>
      <c r="L797" s="81"/>
      <c r="M797" s="580"/>
      <c r="N797" s="484"/>
      <c r="O797" s="944" t="s">
        <v>723</v>
      </c>
    </row>
    <row r="798" spans="1:61" ht="22.5" hidden="1" customHeight="1">
      <c r="A798" s="1018"/>
      <c r="B798" s="484" t="s">
        <v>439</v>
      </c>
      <c r="C798" s="484"/>
      <c r="D798" s="484"/>
      <c r="E798" s="484"/>
      <c r="F798" s="484"/>
      <c r="G798" s="81">
        <f t="shared" si="238"/>
        <v>0</v>
      </c>
      <c r="H798" s="81"/>
      <c r="I798" s="81"/>
      <c r="J798" s="81"/>
      <c r="K798" s="81">
        <f>K799+K800</f>
        <v>0</v>
      </c>
      <c r="L798" s="81"/>
      <c r="M798" s="580"/>
      <c r="N798" s="484"/>
      <c r="O798" s="944"/>
    </row>
    <row r="799" spans="1:61" ht="22.5" hidden="1" customHeight="1">
      <c r="A799" s="1018"/>
      <c r="B799" s="484" t="s">
        <v>247</v>
      </c>
      <c r="C799" s="484"/>
      <c r="D799" s="484"/>
      <c r="E799" s="484"/>
      <c r="F799" s="484"/>
      <c r="G799" s="81">
        <f t="shared" si="238"/>
        <v>0</v>
      </c>
      <c r="H799" s="81"/>
      <c r="I799" s="81"/>
      <c r="J799" s="81"/>
      <c r="K799" s="81"/>
      <c r="L799" s="81"/>
      <c r="M799" s="580"/>
      <c r="N799" s="484"/>
      <c r="O799" s="944"/>
    </row>
    <row r="800" spans="1:61" ht="22.9" hidden="1" customHeight="1">
      <c r="A800" s="1018"/>
      <c r="B800" s="484" t="s">
        <v>495</v>
      </c>
      <c r="C800" s="484"/>
      <c r="D800" s="484"/>
      <c r="E800" s="484"/>
      <c r="F800" s="484"/>
      <c r="G800" s="81">
        <f t="shared" si="238"/>
        <v>0</v>
      </c>
      <c r="H800" s="81"/>
      <c r="I800" s="81"/>
      <c r="J800" s="81"/>
      <c r="K800" s="81"/>
      <c r="L800" s="81"/>
      <c r="M800" s="580"/>
      <c r="N800" s="484"/>
      <c r="O800" s="944"/>
    </row>
    <row r="801" spans="1:61" s="44" customFormat="1" ht="22.5" hidden="1" customHeight="1">
      <c r="A801" s="1018" t="s">
        <v>558</v>
      </c>
      <c r="B801" s="484" t="s">
        <v>721</v>
      </c>
      <c r="C801" s="484">
        <v>176</v>
      </c>
      <c r="D801" s="484" t="s">
        <v>15</v>
      </c>
      <c r="E801" s="484">
        <v>6100404</v>
      </c>
      <c r="F801" s="484">
        <v>243</v>
      </c>
      <c r="G801" s="80">
        <f t="shared" si="238"/>
        <v>0</v>
      </c>
      <c r="H801" s="81"/>
      <c r="I801" s="81"/>
      <c r="J801" s="81"/>
      <c r="K801" s="81"/>
      <c r="L801" s="81"/>
      <c r="M801" s="580"/>
      <c r="N801" s="484"/>
      <c r="O801" s="944" t="s">
        <v>732</v>
      </c>
      <c r="AJ801" s="91"/>
      <c r="AK801" s="91"/>
      <c r="AL801" s="91"/>
      <c r="AM801" s="91"/>
      <c r="AN801" s="91"/>
      <c r="AO801" s="91"/>
      <c r="AP801" s="91"/>
      <c r="AQ801" s="91"/>
      <c r="AR801" s="91"/>
      <c r="AS801" s="91"/>
      <c r="AT801" s="91"/>
      <c r="AU801" s="91"/>
      <c r="AV801" s="91"/>
      <c r="AW801" s="91"/>
      <c r="AX801" s="91"/>
      <c r="AY801" s="91"/>
      <c r="AZ801" s="91"/>
      <c r="BA801" s="91"/>
      <c r="BB801" s="91"/>
      <c r="BC801" s="91"/>
      <c r="BD801" s="91"/>
      <c r="BE801" s="91"/>
      <c r="BF801" s="91"/>
      <c r="BG801" s="91"/>
      <c r="BH801" s="91"/>
      <c r="BI801" s="91"/>
    </row>
    <row r="802" spans="1:61" s="44" customFormat="1" ht="22.5" hidden="1" customHeight="1">
      <c r="A802" s="1018"/>
      <c r="B802" s="484" t="s">
        <v>439</v>
      </c>
      <c r="C802" s="484"/>
      <c r="D802" s="484"/>
      <c r="E802" s="484"/>
      <c r="F802" s="484"/>
      <c r="G802" s="81">
        <f t="shared" si="238"/>
        <v>0</v>
      </c>
      <c r="H802" s="81"/>
      <c r="I802" s="81"/>
      <c r="J802" s="81"/>
      <c r="K802" s="81">
        <f>K803+K804</f>
        <v>0</v>
      </c>
      <c r="L802" s="81"/>
      <c r="M802" s="580"/>
      <c r="N802" s="484"/>
      <c r="O802" s="944"/>
      <c r="AJ802" s="91"/>
      <c r="AK802" s="91"/>
      <c r="AL802" s="91"/>
      <c r="AM802" s="91"/>
      <c r="AN802" s="91"/>
      <c r="AO802" s="91"/>
      <c r="AP802" s="91"/>
      <c r="AQ802" s="91"/>
      <c r="AR802" s="91"/>
      <c r="AS802" s="91"/>
      <c r="AT802" s="91"/>
      <c r="AU802" s="91"/>
      <c r="AV802" s="91"/>
      <c r="AW802" s="91"/>
      <c r="AX802" s="91"/>
      <c r="AY802" s="91"/>
      <c r="AZ802" s="91"/>
      <c r="BA802" s="91"/>
      <c r="BB802" s="91"/>
      <c r="BC802" s="91"/>
      <c r="BD802" s="91"/>
      <c r="BE802" s="91"/>
      <c r="BF802" s="91"/>
      <c r="BG802" s="91"/>
      <c r="BH802" s="91"/>
      <c r="BI802" s="91"/>
    </row>
    <row r="803" spans="1:61" s="44" customFormat="1" ht="22.5" hidden="1" customHeight="1">
      <c r="A803" s="1018"/>
      <c r="B803" s="484" t="s">
        <v>247</v>
      </c>
      <c r="C803" s="484"/>
      <c r="D803" s="484"/>
      <c r="E803" s="484"/>
      <c r="F803" s="484"/>
      <c r="G803" s="81">
        <f t="shared" si="238"/>
        <v>0</v>
      </c>
      <c r="H803" s="81"/>
      <c r="I803" s="81"/>
      <c r="J803" s="81"/>
      <c r="K803" s="81"/>
      <c r="L803" s="81"/>
      <c r="M803" s="580"/>
      <c r="N803" s="484"/>
      <c r="O803" s="944"/>
      <c r="AJ803" s="91"/>
      <c r="AK803" s="91"/>
      <c r="AL803" s="91"/>
      <c r="AM803" s="91"/>
      <c r="AN803" s="91"/>
      <c r="AO803" s="91"/>
      <c r="AP803" s="91"/>
      <c r="AQ803" s="91"/>
      <c r="AR803" s="91"/>
      <c r="AS803" s="91"/>
      <c r="AT803" s="91"/>
      <c r="AU803" s="91"/>
      <c r="AV803" s="91"/>
      <c r="AW803" s="91"/>
      <c r="AX803" s="91"/>
      <c r="AY803" s="91"/>
      <c r="AZ803" s="91"/>
      <c r="BA803" s="91"/>
      <c r="BB803" s="91"/>
      <c r="BC803" s="91"/>
      <c r="BD803" s="91"/>
      <c r="BE803" s="91"/>
      <c r="BF803" s="91"/>
      <c r="BG803" s="91"/>
      <c r="BH803" s="91"/>
      <c r="BI803" s="91"/>
    </row>
    <row r="804" spans="1:61" ht="24.6" hidden="1" customHeight="1">
      <c r="A804" s="1018"/>
      <c r="B804" s="484" t="s">
        <v>495</v>
      </c>
      <c r="C804" s="484"/>
      <c r="D804" s="484"/>
      <c r="E804" s="484"/>
      <c r="F804" s="484"/>
      <c r="G804" s="80">
        <f t="shared" si="238"/>
        <v>0</v>
      </c>
      <c r="H804" s="81"/>
      <c r="I804" s="81"/>
      <c r="J804" s="81"/>
      <c r="K804" s="81"/>
      <c r="L804" s="81"/>
      <c r="M804" s="580"/>
      <c r="N804" s="484"/>
      <c r="O804" s="944"/>
    </row>
    <row r="805" spans="1:61" ht="27.75" customHeight="1">
      <c r="A805" s="945" t="s">
        <v>106</v>
      </c>
      <c r="B805" s="57" t="s">
        <v>89</v>
      </c>
      <c r="C805" s="57"/>
      <c r="D805" s="57"/>
      <c r="E805" s="57"/>
      <c r="F805" s="57"/>
      <c r="G805" s="80">
        <f t="shared" ref="G805:L806" si="242">G807+G811</f>
        <v>1</v>
      </c>
      <c r="H805" s="80"/>
      <c r="I805" s="80"/>
      <c r="J805" s="80"/>
      <c r="K805" s="80">
        <f>K807</f>
        <v>1</v>
      </c>
      <c r="L805" s="80">
        <f t="shared" si="242"/>
        <v>0</v>
      </c>
      <c r="M805" s="439">
        <f>M809</f>
        <v>0</v>
      </c>
      <c r="N805" s="484"/>
      <c r="O805" s="57"/>
    </row>
    <row r="806" spans="1:61" ht="24" customHeight="1">
      <c r="A806" s="945"/>
      <c r="B806" s="57" t="s">
        <v>246</v>
      </c>
      <c r="C806" s="57"/>
      <c r="D806" s="57"/>
      <c r="E806" s="57"/>
      <c r="F806" s="57"/>
      <c r="G806" s="80">
        <f t="shared" si="242"/>
        <v>3500</v>
      </c>
      <c r="H806" s="80"/>
      <c r="I806" s="80"/>
      <c r="J806" s="80"/>
      <c r="K806" s="80">
        <f>K808</f>
        <v>3500</v>
      </c>
      <c r="L806" s="80">
        <f t="shared" si="242"/>
        <v>0</v>
      </c>
      <c r="M806" s="439">
        <f>M810</f>
        <v>0</v>
      </c>
      <c r="N806" s="484"/>
      <c r="O806" s="57"/>
    </row>
    <row r="807" spans="1:61" ht="24" customHeight="1">
      <c r="A807" s="932" t="s">
        <v>109</v>
      </c>
      <c r="B807" s="484" t="s">
        <v>89</v>
      </c>
      <c r="C807" s="484">
        <v>176</v>
      </c>
      <c r="D807" s="484" t="s">
        <v>15</v>
      </c>
      <c r="E807" s="484">
        <v>6100404</v>
      </c>
      <c r="F807" s="484">
        <v>243</v>
      </c>
      <c r="G807" s="81">
        <f>K807</f>
        <v>1</v>
      </c>
      <c r="H807" s="81"/>
      <c r="I807" s="81"/>
      <c r="J807" s="81"/>
      <c r="K807" s="81">
        <v>1</v>
      </c>
      <c r="L807" s="81"/>
      <c r="M807" s="580"/>
      <c r="N807" s="484"/>
      <c r="O807" s="944" t="s">
        <v>291</v>
      </c>
    </row>
    <row r="808" spans="1:61" ht="24" customHeight="1">
      <c r="A808" s="932"/>
      <c r="B808" s="484" t="s">
        <v>246</v>
      </c>
      <c r="C808" s="484"/>
      <c r="D808" s="484"/>
      <c r="E808" s="484"/>
      <c r="F808" s="484"/>
      <c r="G808" s="81">
        <f>K808</f>
        <v>3500</v>
      </c>
      <c r="H808" s="81"/>
      <c r="I808" s="81"/>
      <c r="J808" s="81"/>
      <c r="K808" s="81">
        <v>3500</v>
      </c>
      <c r="L808" s="81"/>
      <c r="M808" s="580"/>
      <c r="N808" s="484"/>
      <c r="O808" s="944"/>
    </row>
    <row r="809" spans="1:61" ht="24" hidden="1" customHeight="1">
      <c r="A809" s="932" t="s">
        <v>95</v>
      </c>
      <c r="B809" s="484" t="s">
        <v>89</v>
      </c>
      <c r="C809" s="484">
        <v>176</v>
      </c>
      <c r="D809" s="484" t="s">
        <v>15</v>
      </c>
      <c r="E809" s="484">
        <v>6100404</v>
      </c>
      <c r="F809" s="484">
        <v>243</v>
      </c>
      <c r="G809" s="81"/>
      <c r="H809" s="81"/>
      <c r="I809" s="81"/>
      <c r="J809" s="81"/>
      <c r="K809" s="81"/>
      <c r="L809" s="81"/>
      <c r="M809" s="580"/>
      <c r="N809" s="484"/>
      <c r="O809" s="933" t="s">
        <v>224</v>
      </c>
    </row>
    <row r="810" spans="1:61" s="44" customFormat="1" ht="24" hidden="1" customHeight="1">
      <c r="A810" s="932"/>
      <c r="B810" s="484" t="s">
        <v>246</v>
      </c>
      <c r="C810" s="484"/>
      <c r="D810" s="484"/>
      <c r="E810" s="484"/>
      <c r="F810" s="484"/>
      <c r="G810" s="81"/>
      <c r="H810" s="81"/>
      <c r="I810" s="81"/>
      <c r="J810" s="81"/>
      <c r="K810" s="81"/>
      <c r="L810" s="81"/>
      <c r="M810" s="580">
        <v>0</v>
      </c>
      <c r="N810" s="484"/>
      <c r="O810" s="934"/>
      <c r="AJ810" s="91"/>
      <c r="AK810" s="91"/>
      <c r="AL810" s="91"/>
      <c r="AM810" s="91"/>
      <c r="AN810" s="91"/>
      <c r="AO810" s="91"/>
      <c r="AP810" s="91"/>
      <c r="AQ810" s="91"/>
      <c r="AR810" s="91"/>
      <c r="AS810" s="91"/>
      <c r="AT810" s="91"/>
      <c r="AU810" s="91"/>
      <c r="AV810" s="91"/>
      <c r="AW810" s="91"/>
      <c r="AX810" s="91"/>
      <c r="AY810" s="91"/>
      <c r="AZ810" s="91"/>
      <c r="BA810" s="91"/>
      <c r="BB810" s="91"/>
      <c r="BC810" s="91"/>
      <c r="BD810" s="91"/>
      <c r="BE810" s="91"/>
      <c r="BF810" s="91"/>
      <c r="BG810" s="91"/>
      <c r="BH810" s="91"/>
      <c r="BI810" s="91"/>
    </row>
    <row r="811" spans="1:61" s="44" customFormat="1" ht="24.6" hidden="1" customHeight="1">
      <c r="A811" s="932" t="s">
        <v>169</v>
      </c>
      <c r="B811" s="484" t="s">
        <v>89</v>
      </c>
      <c r="C811" s="484">
        <v>176</v>
      </c>
      <c r="D811" s="484" t="s">
        <v>15</v>
      </c>
      <c r="E811" s="484">
        <v>6100404</v>
      </c>
      <c r="F811" s="484">
        <v>243</v>
      </c>
      <c r="G811" s="81">
        <v>0</v>
      </c>
      <c r="H811" s="81"/>
      <c r="I811" s="81"/>
      <c r="J811" s="81"/>
      <c r="K811" s="81"/>
      <c r="L811" s="81"/>
      <c r="M811" s="580"/>
      <c r="N811" s="484"/>
      <c r="O811" s="944" t="s">
        <v>31</v>
      </c>
      <c r="AJ811" s="91"/>
      <c r="AK811" s="91"/>
      <c r="AL811" s="91"/>
      <c r="AM811" s="91"/>
      <c r="AN811" s="91"/>
      <c r="AO811" s="91"/>
      <c r="AP811" s="91"/>
      <c r="AQ811" s="91"/>
      <c r="AR811" s="91"/>
      <c r="AS811" s="91"/>
      <c r="AT811" s="91"/>
      <c r="AU811" s="91"/>
      <c r="AV811" s="91"/>
      <c r="AW811" s="91"/>
      <c r="AX811" s="91"/>
      <c r="AY811" s="91"/>
      <c r="AZ811" s="91"/>
      <c r="BA811" s="91"/>
      <c r="BB811" s="91"/>
      <c r="BC811" s="91"/>
      <c r="BD811" s="91"/>
      <c r="BE811" s="91"/>
      <c r="BF811" s="91"/>
      <c r="BG811" s="91"/>
      <c r="BH811" s="91"/>
      <c r="BI811" s="91"/>
    </row>
    <row r="812" spans="1:61" ht="24.6" hidden="1" customHeight="1">
      <c r="A812" s="932"/>
      <c r="B812" s="484" t="s">
        <v>246</v>
      </c>
      <c r="C812" s="484"/>
      <c r="D812" s="484"/>
      <c r="E812" s="484"/>
      <c r="F812" s="484"/>
      <c r="G812" s="81"/>
      <c r="H812" s="81"/>
      <c r="I812" s="81"/>
      <c r="J812" s="81"/>
      <c r="K812" s="81"/>
      <c r="L812" s="81"/>
      <c r="M812" s="580"/>
      <c r="N812" s="484"/>
      <c r="O812" s="944"/>
    </row>
    <row r="813" spans="1:61" ht="24.95" customHeight="1">
      <c r="A813" s="945" t="s">
        <v>137</v>
      </c>
      <c r="B813" s="57" t="s">
        <v>721</v>
      </c>
      <c r="C813" s="57"/>
      <c r="D813" s="57"/>
      <c r="E813" s="57"/>
      <c r="F813" s="57"/>
      <c r="G813" s="80">
        <f>G819+G823+G827+G829+G831</f>
        <v>1</v>
      </c>
      <c r="H813" s="80">
        <f t="shared" ref="H813:M813" si="243">H819+H823+H827+H829+H831</f>
        <v>0</v>
      </c>
      <c r="I813" s="80">
        <f t="shared" si="243"/>
        <v>0</v>
      </c>
      <c r="J813" s="80">
        <f t="shared" si="243"/>
        <v>0</v>
      </c>
      <c r="K813" s="80">
        <f t="shared" si="243"/>
        <v>1</v>
      </c>
      <c r="L813" s="80">
        <f t="shared" si="243"/>
        <v>1</v>
      </c>
      <c r="M813" s="80">
        <f t="shared" si="243"/>
        <v>3</v>
      </c>
      <c r="N813" s="484"/>
      <c r="O813" s="57"/>
    </row>
    <row r="814" spans="1:61" ht="24.95" customHeight="1">
      <c r="A814" s="945"/>
      <c r="B814" s="57" t="s">
        <v>439</v>
      </c>
      <c r="C814" s="57"/>
      <c r="D814" s="57"/>
      <c r="E814" s="57"/>
      <c r="F814" s="57"/>
      <c r="G814" s="80">
        <f>G815</f>
        <v>6291.9</v>
      </c>
      <c r="H814" s="80">
        <f t="shared" ref="H814:M814" si="244">H815</f>
        <v>0</v>
      </c>
      <c r="I814" s="80">
        <f t="shared" si="244"/>
        <v>0</v>
      </c>
      <c r="J814" s="80">
        <f t="shared" si="244"/>
        <v>0</v>
      </c>
      <c r="K814" s="80">
        <f t="shared" si="244"/>
        <v>6291.9</v>
      </c>
      <c r="L814" s="80">
        <f t="shared" si="244"/>
        <v>13069.7</v>
      </c>
      <c r="M814" s="80">
        <f t="shared" si="244"/>
        <v>60000</v>
      </c>
      <c r="N814" s="484"/>
      <c r="O814" s="57"/>
    </row>
    <row r="815" spans="1:61" ht="24.95" customHeight="1">
      <c r="A815" s="945"/>
      <c r="B815" s="57" t="s">
        <v>247</v>
      </c>
      <c r="C815" s="57"/>
      <c r="D815" s="57"/>
      <c r="E815" s="57"/>
      <c r="F815" s="57"/>
      <c r="G815" s="80">
        <f>G820+G825+G828+G830+G832</f>
        <v>6291.9</v>
      </c>
      <c r="H815" s="80">
        <f t="shared" ref="H815:M815" si="245">H820+H825+H828+H830+H832</f>
        <v>0</v>
      </c>
      <c r="I815" s="80">
        <f t="shared" si="245"/>
        <v>0</v>
      </c>
      <c r="J815" s="80">
        <f t="shared" si="245"/>
        <v>0</v>
      </c>
      <c r="K815" s="80">
        <f t="shared" si="245"/>
        <v>6291.9</v>
      </c>
      <c r="L815" s="80">
        <f t="shared" si="245"/>
        <v>13069.7</v>
      </c>
      <c r="M815" s="80">
        <f t="shared" si="245"/>
        <v>60000</v>
      </c>
      <c r="N815" s="484"/>
      <c r="O815" s="57"/>
    </row>
    <row r="816" spans="1:61" ht="24.95" hidden="1" customHeight="1">
      <c r="A816" s="945"/>
      <c r="B816" s="57" t="s">
        <v>495</v>
      </c>
      <c r="C816" s="57"/>
      <c r="D816" s="57"/>
      <c r="E816" s="57"/>
      <c r="F816" s="57"/>
      <c r="G816" s="80">
        <f t="shared" ref="G816" si="246">K816</f>
        <v>0</v>
      </c>
      <c r="H816" s="80">
        <f t="shared" ref="H816:L816" si="247">H822</f>
        <v>0</v>
      </c>
      <c r="I816" s="80">
        <f t="shared" si="247"/>
        <v>0</v>
      </c>
      <c r="J816" s="80">
        <f t="shared" si="247"/>
        <v>0</v>
      </c>
      <c r="K816" s="80">
        <f t="shared" si="247"/>
        <v>0</v>
      </c>
      <c r="L816" s="80">
        <f t="shared" si="247"/>
        <v>0</v>
      </c>
      <c r="M816" s="439">
        <f>M817</f>
        <v>0</v>
      </c>
      <c r="N816" s="484"/>
      <c r="O816" s="57"/>
    </row>
    <row r="817" spans="1:61" ht="24" hidden="1" customHeight="1">
      <c r="A817" s="945"/>
      <c r="B817" s="57" t="s">
        <v>327</v>
      </c>
      <c r="C817" s="57"/>
      <c r="D817" s="57"/>
      <c r="E817" s="57"/>
      <c r="F817" s="57"/>
      <c r="G817" s="80">
        <f>G825</f>
        <v>0</v>
      </c>
      <c r="H817" s="80">
        <f t="shared" ref="H817:K817" si="248">H825</f>
        <v>0</v>
      </c>
      <c r="I817" s="80">
        <f t="shared" si="248"/>
        <v>0</v>
      </c>
      <c r="J817" s="80">
        <f t="shared" si="248"/>
        <v>0</v>
      </c>
      <c r="K817" s="80">
        <f t="shared" si="248"/>
        <v>0</v>
      </c>
      <c r="L817" s="80">
        <f>L825+L822</f>
        <v>0</v>
      </c>
      <c r="M817" s="439">
        <f>M822</f>
        <v>0</v>
      </c>
      <c r="N817" s="484"/>
      <c r="O817" s="57"/>
    </row>
    <row r="818" spans="1:61" ht="24.6" hidden="1" customHeight="1">
      <c r="A818" s="945"/>
      <c r="B818" s="57" t="s">
        <v>342</v>
      </c>
      <c r="C818" s="57"/>
      <c r="D818" s="57"/>
      <c r="E818" s="57"/>
      <c r="F818" s="57"/>
      <c r="G818" s="80">
        <f t="shared" ref="G818" si="249">G822+G826+G832</f>
        <v>0</v>
      </c>
      <c r="H818" s="80"/>
      <c r="I818" s="80"/>
      <c r="J818" s="80"/>
      <c r="K818" s="80"/>
      <c r="L818" s="80">
        <f>L826</f>
        <v>0</v>
      </c>
      <c r="M818" s="439"/>
      <c r="N818" s="484"/>
      <c r="O818" s="57"/>
    </row>
    <row r="819" spans="1:61" ht="24.95" customHeight="1">
      <c r="A819" s="932" t="s">
        <v>109</v>
      </c>
      <c r="B819" s="484" t="s">
        <v>721</v>
      </c>
      <c r="C819" s="484">
        <v>176</v>
      </c>
      <c r="D819" s="484" t="s">
        <v>15</v>
      </c>
      <c r="E819" s="484">
        <v>6100404</v>
      </c>
      <c r="F819" s="484">
        <v>243</v>
      </c>
      <c r="G819" s="81">
        <f>K819</f>
        <v>1</v>
      </c>
      <c r="H819" s="81"/>
      <c r="I819" s="81"/>
      <c r="J819" s="81"/>
      <c r="K819" s="81">
        <v>1</v>
      </c>
      <c r="L819" s="81"/>
      <c r="M819" s="580"/>
      <c r="N819" s="484"/>
      <c r="O819" s="944" t="s">
        <v>927</v>
      </c>
    </row>
    <row r="820" spans="1:61" ht="24.95" customHeight="1">
      <c r="A820" s="932"/>
      <c r="B820" s="484" t="s">
        <v>439</v>
      </c>
      <c r="C820" s="484"/>
      <c r="D820" s="484"/>
      <c r="E820" s="484"/>
      <c r="F820" s="484"/>
      <c r="G820" s="81">
        <f t="shared" ref="G820:G822" si="250">K820</f>
        <v>6291.9</v>
      </c>
      <c r="H820" s="81"/>
      <c r="I820" s="81"/>
      <c r="J820" s="81"/>
      <c r="K820" s="81">
        <f>K821+K822</f>
        <v>6291.9</v>
      </c>
      <c r="L820" s="81">
        <f>L821+L822</f>
        <v>0</v>
      </c>
      <c r="M820" s="580"/>
      <c r="N820" s="484"/>
      <c r="O820" s="944"/>
    </row>
    <row r="821" spans="1:61" ht="24.95" customHeight="1">
      <c r="A821" s="932"/>
      <c r="B821" s="484" t="s">
        <v>247</v>
      </c>
      <c r="C821" s="484"/>
      <c r="D821" s="484"/>
      <c r="E821" s="484"/>
      <c r="F821" s="484"/>
      <c r="G821" s="81">
        <f t="shared" si="250"/>
        <v>6291.9</v>
      </c>
      <c r="H821" s="81"/>
      <c r="I821" s="81"/>
      <c r="J821" s="81"/>
      <c r="K821" s="81">
        <v>6291.9</v>
      </c>
      <c r="L821" s="81"/>
      <c r="M821" s="580"/>
      <c r="N821" s="484"/>
      <c r="O821" s="944"/>
    </row>
    <row r="822" spans="1:61" ht="24.95" hidden="1" customHeight="1">
      <c r="A822" s="932"/>
      <c r="B822" s="484" t="s">
        <v>495</v>
      </c>
      <c r="C822" s="484"/>
      <c r="D822" s="484"/>
      <c r="E822" s="484"/>
      <c r="F822" s="484"/>
      <c r="G822" s="81">
        <f t="shared" si="250"/>
        <v>0</v>
      </c>
      <c r="H822" s="81"/>
      <c r="I822" s="81"/>
      <c r="J822" s="81"/>
      <c r="K822" s="81"/>
      <c r="L822" s="81"/>
      <c r="M822" s="580"/>
      <c r="N822" s="484"/>
      <c r="O822" s="944"/>
    </row>
    <row r="823" spans="1:61" ht="24.95" customHeight="1">
      <c r="A823" s="932" t="s">
        <v>1084</v>
      </c>
      <c r="B823" s="484" t="s">
        <v>89</v>
      </c>
      <c r="C823" s="484">
        <v>176</v>
      </c>
      <c r="D823" s="484" t="s">
        <v>15</v>
      </c>
      <c r="E823" s="484">
        <v>6100404</v>
      </c>
      <c r="F823" s="484">
        <v>243</v>
      </c>
      <c r="G823" s="81"/>
      <c r="H823" s="81"/>
      <c r="I823" s="81"/>
      <c r="J823" s="81"/>
      <c r="K823" s="81"/>
      <c r="L823" s="81"/>
      <c r="M823" s="580">
        <v>1</v>
      </c>
      <c r="N823" s="484"/>
      <c r="O823" s="944" t="s">
        <v>965</v>
      </c>
    </row>
    <row r="824" spans="1:61" ht="24" customHeight="1">
      <c r="A824" s="932"/>
      <c r="B824" s="484" t="s">
        <v>246</v>
      </c>
      <c r="C824" s="484"/>
      <c r="D824" s="484"/>
      <c r="E824" s="484"/>
      <c r="F824" s="484"/>
      <c r="G824" s="81">
        <f>G825</f>
        <v>0</v>
      </c>
      <c r="H824" s="81"/>
      <c r="I824" s="81"/>
      <c r="J824" s="81">
        <f>J825</f>
        <v>0</v>
      </c>
      <c r="K824" s="81"/>
      <c r="L824" s="81"/>
      <c r="M824" s="580">
        <f>M825</f>
        <v>30000</v>
      </c>
      <c r="N824" s="484"/>
      <c r="O824" s="944"/>
    </row>
    <row r="825" spans="1:61" ht="24" customHeight="1">
      <c r="A825" s="932"/>
      <c r="B825" s="484" t="s">
        <v>327</v>
      </c>
      <c r="C825" s="484"/>
      <c r="D825" s="484"/>
      <c r="E825" s="484"/>
      <c r="F825" s="484"/>
      <c r="G825" s="81">
        <f>J825</f>
        <v>0</v>
      </c>
      <c r="H825" s="81"/>
      <c r="I825" s="81"/>
      <c r="J825" s="81"/>
      <c r="K825" s="81"/>
      <c r="L825" s="81"/>
      <c r="M825" s="580">
        <v>30000</v>
      </c>
      <c r="N825" s="484"/>
      <c r="O825" s="944"/>
    </row>
    <row r="826" spans="1:61" s="44" customFormat="1" ht="24.6" hidden="1" customHeight="1">
      <c r="A826" s="932"/>
      <c r="B826" s="484" t="s">
        <v>342</v>
      </c>
      <c r="C826" s="484"/>
      <c r="D826" s="484"/>
      <c r="E826" s="484"/>
      <c r="F826" s="484"/>
      <c r="G826" s="81"/>
      <c r="H826" s="81"/>
      <c r="I826" s="81"/>
      <c r="J826" s="81"/>
      <c r="K826" s="81"/>
      <c r="L826" s="81"/>
      <c r="M826" s="580"/>
      <c r="N826" s="484"/>
      <c r="O826" s="944"/>
      <c r="AJ826" s="91"/>
      <c r="AK826" s="91"/>
      <c r="AL826" s="91"/>
      <c r="AM826" s="91"/>
      <c r="AN826" s="91"/>
      <c r="AO826" s="91"/>
      <c r="AP826" s="91"/>
      <c r="AQ826" s="91"/>
      <c r="AR826" s="91"/>
      <c r="AS826" s="91"/>
      <c r="AT826" s="91"/>
      <c r="AU826" s="91"/>
      <c r="AV826" s="91"/>
      <c r="AW826" s="91"/>
      <c r="AX826" s="91"/>
      <c r="AY826" s="91"/>
      <c r="AZ826" s="91"/>
      <c r="BA826" s="91"/>
      <c r="BB826" s="91"/>
      <c r="BC826" s="91"/>
      <c r="BD826" s="91"/>
      <c r="BE826" s="91"/>
      <c r="BF826" s="91"/>
      <c r="BG826" s="91"/>
      <c r="BH826" s="91"/>
      <c r="BI826" s="91"/>
    </row>
    <row r="827" spans="1:61" s="44" customFormat="1" ht="23.45" customHeight="1">
      <c r="A827" s="932" t="s">
        <v>1085</v>
      </c>
      <c r="B827" s="792" t="s">
        <v>89</v>
      </c>
      <c r="C827" s="792">
        <v>176</v>
      </c>
      <c r="D827" s="792" t="s">
        <v>15</v>
      </c>
      <c r="E827" s="792">
        <v>6100404</v>
      </c>
      <c r="F827" s="792">
        <v>243</v>
      </c>
      <c r="G827" s="81">
        <v>0</v>
      </c>
      <c r="H827" s="81"/>
      <c r="I827" s="81"/>
      <c r="J827" s="81"/>
      <c r="K827" s="81"/>
      <c r="L827" s="81"/>
      <c r="M827" s="580">
        <v>1</v>
      </c>
      <c r="N827" s="792"/>
      <c r="O827" s="944" t="s">
        <v>965</v>
      </c>
      <c r="AJ827" s="91"/>
      <c r="AK827" s="91"/>
      <c r="AL827" s="91"/>
      <c r="AM827" s="91"/>
      <c r="AN827" s="91"/>
      <c r="AO827" s="91"/>
      <c r="AP827" s="91"/>
      <c r="AQ827" s="91"/>
      <c r="AR827" s="91"/>
      <c r="AS827" s="91"/>
      <c r="AT827" s="91"/>
      <c r="AU827" s="91"/>
      <c r="AV827" s="91"/>
      <c r="AW827" s="91"/>
      <c r="AX827" s="91"/>
      <c r="AY827" s="91"/>
      <c r="AZ827" s="91"/>
      <c r="BA827" s="91"/>
      <c r="BB827" s="91"/>
      <c r="BC827" s="91"/>
      <c r="BD827" s="91"/>
      <c r="BE827" s="91"/>
      <c r="BF827" s="91"/>
      <c r="BG827" s="91"/>
      <c r="BH827" s="91"/>
      <c r="BI827" s="91"/>
    </row>
    <row r="828" spans="1:61" ht="25.15" customHeight="1">
      <c r="A828" s="932"/>
      <c r="B828" s="792" t="s">
        <v>246</v>
      </c>
      <c r="C828" s="792"/>
      <c r="D828" s="792"/>
      <c r="E828" s="792"/>
      <c r="F828" s="792"/>
      <c r="G828" s="81">
        <v>0</v>
      </c>
      <c r="H828" s="81"/>
      <c r="I828" s="81"/>
      <c r="J828" s="81"/>
      <c r="K828" s="81"/>
      <c r="L828" s="81"/>
      <c r="M828" s="580">
        <v>15000</v>
      </c>
      <c r="N828" s="792"/>
      <c r="O828" s="944"/>
    </row>
    <row r="829" spans="1:61" s="44" customFormat="1" ht="23.45" customHeight="1">
      <c r="A829" s="932" t="s">
        <v>1086</v>
      </c>
      <c r="B829" s="792" t="s">
        <v>89</v>
      </c>
      <c r="C829" s="792">
        <v>176</v>
      </c>
      <c r="D829" s="792" t="s">
        <v>15</v>
      </c>
      <c r="E829" s="792">
        <v>6100404</v>
      </c>
      <c r="F829" s="792">
        <v>243</v>
      </c>
      <c r="G829" s="81">
        <v>0</v>
      </c>
      <c r="H829" s="81"/>
      <c r="I829" s="81"/>
      <c r="J829" s="81"/>
      <c r="K829" s="81"/>
      <c r="L829" s="81"/>
      <c r="M829" s="580">
        <v>1</v>
      </c>
      <c r="N829" s="792"/>
      <c r="O829" s="944" t="s">
        <v>965</v>
      </c>
      <c r="AJ829" s="91"/>
      <c r="AK829" s="91"/>
      <c r="AL829" s="91"/>
      <c r="AM829" s="91"/>
      <c r="AN829" s="91"/>
      <c r="AO829" s="91"/>
      <c r="AP829" s="91"/>
      <c r="AQ829" s="91"/>
      <c r="AR829" s="91"/>
      <c r="AS829" s="91"/>
      <c r="AT829" s="91"/>
      <c r="AU829" s="91"/>
      <c r="AV829" s="91"/>
      <c r="AW829" s="91"/>
      <c r="AX829" s="91"/>
      <c r="AY829" s="91"/>
      <c r="AZ829" s="91"/>
      <c r="BA829" s="91"/>
      <c r="BB829" s="91"/>
      <c r="BC829" s="91"/>
      <c r="BD829" s="91"/>
      <c r="BE829" s="91"/>
      <c r="BF829" s="91"/>
      <c r="BG829" s="91"/>
      <c r="BH829" s="91"/>
      <c r="BI829" s="91"/>
    </row>
    <row r="830" spans="1:61" ht="25.15" customHeight="1">
      <c r="A830" s="932"/>
      <c r="B830" s="792" t="s">
        <v>246</v>
      </c>
      <c r="C830" s="792"/>
      <c r="D830" s="792"/>
      <c r="E830" s="792"/>
      <c r="F830" s="792"/>
      <c r="G830" s="81">
        <v>0</v>
      </c>
      <c r="H830" s="81"/>
      <c r="I830" s="81"/>
      <c r="J830" s="81"/>
      <c r="K830" s="81"/>
      <c r="L830" s="81"/>
      <c r="M830" s="580">
        <v>15000</v>
      </c>
      <c r="N830" s="792"/>
      <c r="O830" s="944"/>
    </row>
    <row r="831" spans="1:61" s="44" customFormat="1" ht="23.45" customHeight="1">
      <c r="A831" s="926" t="s">
        <v>1087</v>
      </c>
      <c r="B831" s="792" t="s">
        <v>89</v>
      </c>
      <c r="C831" s="792">
        <v>176</v>
      </c>
      <c r="D831" s="792" t="s">
        <v>15</v>
      </c>
      <c r="E831" s="792">
        <v>6100404</v>
      </c>
      <c r="F831" s="792">
        <v>243</v>
      </c>
      <c r="G831" s="81">
        <v>0</v>
      </c>
      <c r="H831" s="81"/>
      <c r="I831" s="81"/>
      <c r="J831" s="81"/>
      <c r="K831" s="81"/>
      <c r="L831" s="81">
        <v>1</v>
      </c>
      <c r="M831" s="580"/>
      <c r="N831" s="792"/>
      <c r="O831" s="933" t="s">
        <v>965</v>
      </c>
      <c r="AJ831" s="91"/>
      <c r="AK831" s="91"/>
      <c r="AL831" s="91"/>
      <c r="AM831" s="91"/>
      <c r="AN831" s="91"/>
      <c r="AO831" s="91"/>
      <c r="AP831" s="91"/>
      <c r="AQ831" s="91"/>
      <c r="AR831" s="91"/>
      <c r="AS831" s="91"/>
      <c r="AT831" s="91"/>
      <c r="AU831" s="91"/>
      <c r="AV831" s="91"/>
      <c r="AW831" s="91"/>
      <c r="AX831" s="91"/>
      <c r="AY831" s="91"/>
      <c r="AZ831" s="91"/>
      <c r="BA831" s="91"/>
      <c r="BB831" s="91"/>
      <c r="BC831" s="91"/>
      <c r="BD831" s="91"/>
      <c r="BE831" s="91"/>
      <c r="BF831" s="91"/>
      <c r="BG831" s="91"/>
      <c r="BH831" s="91"/>
      <c r="BI831" s="91"/>
    </row>
    <row r="832" spans="1:61" ht="25.15" customHeight="1">
      <c r="A832" s="928"/>
      <c r="B832" s="792" t="s">
        <v>246</v>
      </c>
      <c r="C832" s="792"/>
      <c r="D832" s="792"/>
      <c r="E832" s="792"/>
      <c r="F832" s="792"/>
      <c r="G832" s="81">
        <v>0</v>
      </c>
      <c r="H832" s="81"/>
      <c r="I832" s="81"/>
      <c r="J832" s="81"/>
      <c r="K832" s="81"/>
      <c r="L832" s="81">
        <v>13069.7</v>
      </c>
      <c r="M832" s="580"/>
      <c r="N832" s="792"/>
      <c r="O832" s="934"/>
    </row>
    <row r="833" spans="1:61" ht="23.45" customHeight="1">
      <c r="A833" s="945" t="s">
        <v>138</v>
      </c>
      <c r="B833" s="57" t="s">
        <v>721</v>
      </c>
      <c r="C833" s="57"/>
      <c r="D833" s="57"/>
      <c r="E833" s="57"/>
      <c r="F833" s="57"/>
      <c r="G833" s="80">
        <f>K833</f>
        <v>1</v>
      </c>
      <c r="H833" s="80"/>
      <c r="I833" s="80"/>
      <c r="J833" s="80"/>
      <c r="K833" s="80">
        <f>K837+K841</f>
        <v>1</v>
      </c>
      <c r="L833" s="80">
        <f t="shared" ref="L833:M833" si="251">L837+L841</f>
        <v>0</v>
      </c>
      <c r="M833" s="439">
        <f t="shared" si="251"/>
        <v>0</v>
      </c>
      <c r="N833" s="484"/>
      <c r="O833" s="57"/>
    </row>
    <row r="834" spans="1:61" ht="23.45" customHeight="1">
      <c r="A834" s="945"/>
      <c r="B834" s="57" t="s">
        <v>439</v>
      </c>
      <c r="C834" s="57"/>
      <c r="D834" s="57"/>
      <c r="E834" s="57"/>
      <c r="F834" s="57"/>
      <c r="G834" s="80">
        <f t="shared" ref="G834:G844" si="252">K834</f>
        <v>21823.8</v>
      </c>
      <c r="H834" s="80"/>
      <c r="I834" s="80"/>
      <c r="J834" s="80"/>
      <c r="K834" s="80">
        <f>K835+K836</f>
        <v>21823.8</v>
      </c>
      <c r="L834" s="80">
        <f t="shared" ref="L834:M834" si="253">L835+L836</f>
        <v>0</v>
      </c>
      <c r="M834" s="439">
        <f t="shared" si="253"/>
        <v>0</v>
      </c>
      <c r="N834" s="484"/>
      <c r="O834" s="57"/>
    </row>
    <row r="835" spans="1:61" ht="23.45" customHeight="1">
      <c r="A835" s="945"/>
      <c r="B835" s="57" t="s">
        <v>247</v>
      </c>
      <c r="C835" s="57"/>
      <c r="D835" s="57"/>
      <c r="E835" s="57"/>
      <c r="F835" s="57"/>
      <c r="G835" s="80">
        <f t="shared" si="252"/>
        <v>21823.8</v>
      </c>
      <c r="H835" s="80"/>
      <c r="I835" s="80"/>
      <c r="J835" s="80"/>
      <c r="K835" s="80">
        <f>K839+K843</f>
        <v>21823.8</v>
      </c>
      <c r="L835" s="80">
        <f t="shared" ref="L835:M836" si="254">L839+L843</f>
        <v>0</v>
      </c>
      <c r="M835" s="439">
        <f t="shared" si="254"/>
        <v>0</v>
      </c>
      <c r="N835" s="484"/>
      <c r="O835" s="57"/>
    </row>
    <row r="836" spans="1:61" ht="24.6" customHeight="1">
      <c r="A836" s="945"/>
      <c r="B836" s="57" t="s">
        <v>495</v>
      </c>
      <c r="C836" s="57"/>
      <c r="D836" s="57"/>
      <c r="E836" s="57"/>
      <c r="F836" s="57"/>
      <c r="G836" s="80">
        <f t="shared" si="252"/>
        <v>0</v>
      </c>
      <c r="H836" s="80"/>
      <c r="I836" s="80"/>
      <c r="J836" s="80"/>
      <c r="K836" s="80">
        <f>K840+K844</f>
        <v>0</v>
      </c>
      <c r="L836" s="80">
        <f t="shared" si="254"/>
        <v>0</v>
      </c>
      <c r="M836" s="439">
        <f t="shared" si="254"/>
        <v>0</v>
      </c>
      <c r="N836" s="484"/>
      <c r="O836" s="57"/>
    </row>
    <row r="837" spans="1:61" ht="24.6" customHeight="1">
      <c r="A837" s="926" t="s">
        <v>710</v>
      </c>
      <c r="B837" s="484" t="s">
        <v>721</v>
      </c>
      <c r="C837" s="484">
        <v>176</v>
      </c>
      <c r="D837" s="484" t="s">
        <v>15</v>
      </c>
      <c r="E837" s="484">
        <v>6100404</v>
      </c>
      <c r="F837" s="484">
        <v>243</v>
      </c>
      <c r="G837" s="81">
        <f t="shared" si="252"/>
        <v>1</v>
      </c>
      <c r="H837" s="81"/>
      <c r="I837" s="81"/>
      <c r="J837" s="81"/>
      <c r="K837" s="81">
        <v>1</v>
      </c>
      <c r="L837" s="81"/>
      <c r="M837" s="580"/>
      <c r="N837" s="484"/>
      <c r="O837" s="944" t="s">
        <v>925</v>
      </c>
    </row>
    <row r="838" spans="1:61" ht="24.6" customHeight="1">
      <c r="A838" s="927"/>
      <c r="B838" s="484" t="s">
        <v>439</v>
      </c>
      <c r="C838" s="484"/>
      <c r="D838" s="484"/>
      <c r="E838" s="484"/>
      <c r="F838" s="484"/>
      <c r="G838" s="81">
        <f t="shared" si="252"/>
        <v>21823.8</v>
      </c>
      <c r="H838" s="81"/>
      <c r="I838" s="81"/>
      <c r="J838" s="81"/>
      <c r="K838" s="81">
        <f>K839+K840</f>
        <v>21823.8</v>
      </c>
      <c r="L838" s="81"/>
      <c r="M838" s="580"/>
      <c r="N838" s="484"/>
      <c r="O838" s="944"/>
    </row>
    <row r="839" spans="1:61" ht="24.6" customHeight="1">
      <c r="A839" s="927"/>
      <c r="B839" s="484" t="s">
        <v>247</v>
      </c>
      <c r="C839" s="484"/>
      <c r="D839" s="484"/>
      <c r="E839" s="484"/>
      <c r="F839" s="484"/>
      <c r="G839" s="81">
        <f t="shared" si="252"/>
        <v>21823.8</v>
      </c>
      <c r="H839" s="81"/>
      <c r="I839" s="81"/>
      <c r="J839" s="81"/>
      <c r="K839" s="81">
        <v>21823.8</v>
      </c>
      <c r="L839" s="81"/>
      <c r="M839" s="580"/>
      <c r="N839" s="484"/>
      <c r="O839" s="944"/>
    </row>
    <row r="840" spans="1:61" s="44" customFormat="1" ht="28.9" hidden="1" customHeight="1">
      <c r="A840" s="928"/>
      <c r="B840" s="484" t="s">
        <v>495</v>
      </c>
      <c r="C840" s="484"/>
      <c r="D840" s="484"/>
      <c r="E840" s="484"/>
      <c r="F840" s="484"/>
      <c r="G840" s="81">
        <f t="shared" si="252"/>
        <v>0</v>
      </c>
      <c r="H840" s="81"/>
      <c r="I840" s="81"/>
      <c r="J840" s="81"/>
      <c r="K840" s="81"/>
      <c r="L840" s="81"/>
      <c r="M840" s="580"/>
      <c r="N840" s="484"/>
      <c r="O840" s="944"/>
      <c r="AJ840" s="91"/>
      <c r="AK840" s="91"/>
      <c r="AL840" s="91"/>
      <c r="AM840" s="91"/>
      <c r="AN840" s="91"/>
      <c r="AO840" s="91"/>
      <c r="AP840" s="91"/>
      <c r="AQ840" s="91"/>
      <c r="AR840" s="91"/>
      <c r="AS840" s="91"/>
      <c r="AT840" s="91"/>
      <c r="AU840" s="91"/>
      <c r="AV840" s="91"/>
      <c r="AW840" s="91"/>
      <c r="AX840" s="91"/>
      <c r="AY840" s="91"/>
      <c r="AZ840" s="91"/>
      <c r="BA840" s="91"/>
      <c r="BB840" s="91"/>
      <c r="BC840" s="91"/>
      <c r="BD840" s="91"/>
      <c r="BE840" s="91"/>
      <c r="BF840" s="91"/>
      <c r="BG840" s="91"/>
      <c r="BH840" s="91"/>
      <c r="BI840" s="91"/>
    </row>
    <row r="841" spans="1:61" s="44" customFormat="1" ht="22.9" hidden="1" customHeight="1">
      <c r="A841" s="926" t="s">
        <v>559</v>
      </c>
      <c r="B841" s="484" t="s">
        <v>721</v>
      </c>
      <c r="C841" s="484">
        <v>176</v>
      </c>
      <c r="D841" s="484" t="s">
        <v>15</v>
      </c>
      <c r="E841" s="484">
        <v>6100404</v>
      </c>
      <c r="F841" s="484">
        <v>243</v>
      </c>
      <c r="G841" s="80">
        <f t="shared" si="252"/>
        <v>0</v>
      </c>
      <c r="H841" s="81"/>
      <c r="I841" s="81"/>
      <c r="J841" s="81"/>
      <c r="K841" s="81"/>
      <c r="L841" s="81"/>
      <c r="M841" s="580"/>
      <c r="N841" s="484"/>
      <c r="O841" s="944" t="s">
        <v>722</v>
      </c>
      <c r="AJ841" s="91"/>
      <c r="AK841" s="91"/>
      <c r="AL841" s="91"/>
      <c r="AM841" s="91"/>
      <c r="AN841" s="91"/>
      <c r="AO841" s="91"/>
      <c r="AP841" s="91"/>
      <c r="AQ841" s="91"/>
      <c r="AR841" s="91"/>
      <c r="AS841" s="91"/>
      <c r="AT841" s="91"/>
      <c r="AU841" s="91"/>
      <c r="AV841" s="91"/>
      <c r="AW841" s="91"/>
      <c r="AX841" s="91"/>
      <c r="AY841" s="91"/>
      <c r="AZ841" s="91"/>
      <c r="BA841" s="91"/>
      <c r="BB841" s="91"/>
      <c r="BC841" s="91"/>
      <c r="BD841" s="91"/>
      <c r="BE841" s="91"/>
      <c r="BF841" s="91"/>
      <c r="BG841" s="91"/>
      <c r="BH841" s="91"/>
      <c r="BI841" s="91"/>
    </row>
    <row r="842" spans="1:61" s="44" customFormat="1" ht="22.9" hidden="1" customHeight="1">
      <c r="A842" s="927"/>
      <c r="B842" s="484" t="s">
        <v>439</v>
      </c>
      <c r="C842" s="484"/>
      <c r="D842" s="484"/>
      <c r="E842" s="484"/>
      <c r="F842" s="484"/>
      <c r="G842" s="80">
        <f t="shared" si="252"/>
        <v>0</v>
      </c>
      <c r="H842" s="81"/>
      <c r="I842" s="81"/>
      <c r="J842" s="81"/>
      <c r="K842" s="81"/>
      <c r="L842" s="81">
        <f>L843+L844</f>
        <v>0</v>
      </c>
      <c r="M842" s="580"/>
      <c r="N842" s="484"/>
      <c r="O842" s="944"/>
      <c r="AJ842" s="91"/>
      <c r="AK842" s="91"/>
      <c r="AL842" s="91"/>
      <c r="AM842" s="91"/>
      <c r="AN842" s="91"/>
      <c r="AO842" s="91"/>
      <c r="AP842" s="91"/>
      <c r="AQ842" s="91"/>
      <c r="AR842" s="91"/>
      <c r="AS842" s="91"/>
      <c r="AT842" s="91"/>
      <c r="AU842" s="91"/>
      <c r="AV842" s="91"/>
      <c r="AW842" s="91"/>
      <c r="AX842" s="91"/>
      <c r="AY842" s="91"/>
      <c r="AZ842" s="91"/>
      <c r="BA842" s="91"/>
      <c r="BB842" s="91"/>
      <c r="BC842" s="91"/>
      <c r="BD842" s="91"/>
      <c r="BE842" s="91"/>
      <c r="BF842" s="91"/>
      <c r="BG842" s="91"/>
      <c r="BH842" s="91"/>
      <c r="BI842" s="91"/>
    </row>
    <row r="843" spans="1:61" s="44" customFormat="1" ht="22.9" hidden="1" customHeight="1">
      <c r="A843" s="927"/>
      <c r="B843" s="484" t="s">
        <v>247</v>
      </c>
      <c r="C843" s="484"/>
      <c r="D843" s="484"/>
      <c r="E843" s="484"/>
      <c r="F843" s="484"/>
      <c r="G843" s="80">
        <f t="shared" si="252"/>
        <v>0</v>
      </c>
      <c r="H843" s="81"/>
      <c r="I843" s="81"/>
      <c r="J843" s="81"/>
      <c r="K843" s="81"/>
      <c r="L843" s="81"/>
      <c r="M843" s="580"/>
      <c r="N843" s="484"/>
      <c r="O843" s="944"/>
      <c r="AJ843" s="91"/>
      <c r="AK843" s="91"/>
      <c r="AL843" s="91"/>
      <c r="AM843" s="91"/>
      <c r="AN843" s="91"/>
      <c r="AO843" s="91"/>
      <c r="AP843" s="91"/>
      <c r="AQ843" s="91"/>
      <c r="AR843" s="91"/>
      <c r="AS843" s="91"/>
      <c r="AT843" s="91"/>
      <c r="AU843" s="91"/>
      <c r="AV843" s="91"/>
      <c r="AW843" s="91"/>
      <c r="AX843" s="91"/>
      <c r="AY843" s="91"/>
      <c r="AZ843" s="91"/>
      <c r="BA843" s="91"/>
      <c r="BB843" s="91"/>
      <c r="BC843" s="91"/>
      <c r="BD843" s="91"/>
      <c r="BE843" s="91"/>
      <c r="BF843" s="91"/>
      <c r="BG843" s="91"/>
      <c r="BH843" s="91"/>
      <c r="BI843" s="91"/>
    </row>
    <row r="844" spans="1:61" ht="24.6" hidden="1" customHeight="1">
      <c r="A844" s="928"/>
      <c r="B844" s="484" t="s">
        <v>495</v>
      </c>
      <c r="C844" s="484"/>
      <c r="D844" s="484"/>
      <c r="E844" s="484"/>
      <c r="F844" s="484"/>
      <c r="G844" s="80">
        <f t="shared" si="252"/>
        <v>0</v>
      </c>
      <c r="H844" s="81"/>
      <c r="I844" s="81"/>
      <c r="J844" s="81"/>
      <c r="K844" s="81"/>
      <c r="L844" s="81"/>
      <c r="M844" s="580"/>
      <c r="N844" s="484"/>
      <c r="O844" s="944"/>
    </row>
    <row r="845" spans="1:61" ht="22.9" hidden="1" customHeight="1">
      <c r="A845" s="945" t="s">
        <v>139</v>
      </c>
      <c r="B845" s="57" t="s">
        <v>721</v>
      </c>
      <c r="C845" s="57"/>
      <c r="D845" s="57"/>
      <c r="E845" s="57"/>
      <c r="F845" s="57"/>
      <c r="G845" s="80">
        <f>G851</f>
        <v>0</v>
      </c>
      <c r="H845" s="80">
        <f t="shared" ref="H845:M845" si="255">H851</f>
        <v>0</v>
      </c>
      <c r="I845" s="80">
        <f t="shared" si="255"/>
        <v>0</v>
      </c>
      <c r="J845" s="80">
        <f t="shared" si="255"/>
        <v>0</v>
      </c>
      <c r="K845" s="80">
        <f t="shared" si="255"/>
        <v>0</v>
      </c>
      <c r="L845" s="80">
        <f t="shared" si="255"/>
        <v>0</v>
      </c>
      <c r="M845" s="439">
        <f t="shared" si="255"/>
        <v>0</v>
      </c>
      <c r="N845" s="484"/>
      <c r="O845" s="57"/>
    </row>
    <row r="846" spans="1:61" ht="22.9" hidden="1" customHeight="1">
      <c r="A846" s="945"/>
      <c r="B846" s="57" t="s">
        <v>439</v>
      </c>
      <c r="C846" s="57"/>
      <c r="D846" s="57"/>
      <c r="E846" s="57"/>
      <c r="F846" s="57"/>
      <c r="G846" s="80">
        <f t="shared" ref="G846:G854" si="256">K846</f>
        <v>0</v>
      </c>
      <c r="H846" s="80"/>
      <c r="I846" s="80"/>
      <c r="J846" s="80"/>
      <c r="K846" s="80">
        <f>K847+K848</f>
        <v>0</v>
      </c>
      <c r="L846" s="80"/>
      <c r="M846" s="439"/>
      <c r="N846" s="484"/>
      <c r="O846" s="57"/>
    </row>
    <row r="847" spans="1:61" ht="22.9" hidden="1" customHeight="1">
      <c r="A847" s="945"/>
      <c r="B847" s="57" t="s">
        <v>247</v>
      </c>
      <c r="C847" s="57"/>
      <c r="D847" s="57"/>
      <c r="E847" s="57"/>
      <c r="F847" s="57"/>
      <c r="G847" s="80">
        <f t="shared" si="256"/>
        <v>0</v>
      </c>
      <c r="H847" s="80"/>
      <c r="I847" s="80"/>
      <c r="J847" s="80"/>
      <c r="K847" s="80">
        <f>K853</f>
        <v>0</v>
      </c>
      <c r="L847" s="80"/>
      <c r="M847" s="439"/>
      <c r="N847" s="484"/>
      <c r="O847" s="57"/>
    </row>
    <row r="848" spans="1:61" ht="24" hidden="1" customHeight="1">
      <c r="A848" s="945"/>
      <c r="B848" s="57" t="s">
        <v>495</v>
      </c>
      <c r="C848" s="57"/>
      <c r="D848" s="57"/>
      <c r="E848" s="57"/>
      <c r="F848" s="57"/>
      <c r="G848" s="80">
        <f t="shared" si="256"/>
        <v>0</v>
      </c>
      <c r="H848" s="80"/>
      <c r="I848" s="80"/>
      <c r="J848" s="80">
        <f>J854</f>
        <v>0</v>
      </c>
      <c r="K848" s="80">
        <f>K854</f>
        <v>0</v>
      </c>
      <c r="L848" s="80">
        <f>L850+L854+L856</f>
        <v>0</v>
      </c>
      <c r="M848" s="439"/>
      <c r="N848" s="484"/>
      <c r="O848" s="57"/>
    </row>
    <row r="849" spans="1:61" ht="1.1499999999999999" hidden="1" customHeight="1">
      <c r="A849" s="932" t="s">
        <v>168</v>
      </c>
      <c r="B849" s="484" t="s">
        <v>89</v>
      </c>
      <c r="C849" s="484">
        <v>176</v>
      </c>
      <c r="D849" s="484" t="s">
        <v>15</v>
      </c>
      <c r="E849" s="484">
        <v>6100404</v>
      </c>
      <c r="F849" s="484">
        <v>243</v>
      </c>
      <c r="G849" s="80">
        <f t="shared" si="256"/>
        <v>0</v>
      </c>
      <c r="H849" s="81"/>
      <c r="I849" s="81"/>
      <c r="J849" s="81"/>
      <c r="K849" s="81"/>
      <c r="L849" s="81"/>
      <c r="M849" s="580"/>
      <c r="N849" s="484"/>
      <c r="O849" s="944" t="s">
        <v>230</v>
      </c>
    </row>
    <row r="850" spans="1:61" ht="24.6" hidden="1" customHeight="1">
      <c r="A850" s="932"/>
      <c r="B850" s="484" t="s">
        <v>246</v>
      </c>
      <c r="C850" s="484"/>
      <c r="D850" s="484"/>
      <c r="E850" s="484"/>
      <c r="F850" s="484"/>
      <c r="G850" s="80">
        <f t="shared" si="256"/>
        <v>0</v>
      </c>
      <c r="H850" s="81"/>
      <c r="I850" s="81"/>
      <c r="J850" s="81"/>
      <c r="K850" s="81"/>
      <c r="L850" s="81"/>
      <c r="M850" s="580"/>
      <c r="N850" s="484"/>
      <c r="O850" s="944"/>
    </row>
    <row r="851" spans="1:61" ht="19.5" hidden="1" customHeight="1">
      <c r="A851" s="926" t="s">
        <v>109</v>
      </c>
      <c r="B851" s="484" t="s">
        <v>721</v>
      </c>
      <c r="C851" s="484">
        <v>176</v>
      </c>
      <c r="D851" s="484" t="s">
        <v>15</v>
      </c>
      <c r="E851" s="484">
        <v>6100404</v>
      </c>
      <c r="F851" s="484">
        <v>243</v>
      </c>
      <c r="G851" s="81">
        <f t="shared" si="256"/>
        <v>0</v>
      </c>
      <c r="H851" s="81"/>
      <c r="I851" s="81"/>
      <c r="J851" s="81"/>
      <c r="K851" s="81"/>
      <c r="L851" s="81"/>
      <c r="M851" s="580"/>
      <c r="N851" s="484"/>
      <c r="O851" s="944" t="s">
        <v>733</v>
      </c>
    </row>
    <row r="852" spans="1:61" ht="15.75" hidden="1" customHeight="1">
      <c r="A852" s="927"/>
      <c r="B852" s="484" t="s">
        <v>439</v>
      </c>
      <c r="C852" s="484"/>
      <c r="D852" s="484"/>
      <c r="E852" s="484"/>
      <c r="F852" s="484"/>
      <c r="G852" s="81">
        <f t="shared" si="256"/>
        <v>0</v>
      </c>
      <c r="H852" s="81"/>
      <c r="I852" s="81"/>
      <c r="J852" s="81"/>
      <c r="K852" s="81">
        <f>K853+K854</f>
        <v>0</v>
      </c>
      <c r="L852" s="81"/>
      <c r="M852" s="580"/>
      <c r="N852" s="484"/>
      <c r="O852" s="944"/>
    </row>
    <row r="853" spans="1:61" ht="21" hidden="1" customHeight="1">
      <c r="A853" s="927"/>
      <c r="B853" s="484" t="s">
        <v>247</v>
      </c>
      <c r="C853" s="484"/>
      <c r="D853" s="484"/>
      <c r="E853" s="484"/>
      <c r="F853" s="484"/>
      <c r="G853" s="81">
        <f t="shared" si="256"/>
        <v>0</v>
      </c>
      <c r="H853" s="81"/>
      <c r="I853" s="81"/>
      <c r="J853" s="81"/>
      <c r="K853" s="81"/>
      <c r="L853" s="81"/>
      <c r="M853" s="580"/>
      <c r="N853" s="484"/>
      <c r="O853" s="944"/>
    </row>
    <row r="854" spans="1:61" s="44" customFormat="1" ht="18" hidden="1" customHeight="1">
      <c r="A854" s="928"/>
      <c r="B854" s="484" t="s">
        <v>495</v>
      </c>
      <c r="C854" s="484"/>
      <c r="D854" s="484"/>
      <c r="E854" s="484"/>
      <c r="F854" s="484"/>
      <c r="G854" s="80">
        <f t="shared" si="256"/>
        <v>0</v>
      </c>
      <c r="H854" s="81"/>
      <c r="I854" s="81"/>
      <c r="J854" s="81"/>
      <c r="K854" s="81"/>
      <c r="L854" s="81"/>
      <c r="M854" s="580"/>
      <c r="N854" s="484"/>
      <c r="O854" s="944"/>
      <c r="AJ854" s="91"/>
      <c r="AK854" s="91"/>
      <c r="AL854" s="91"/>
      <c r="AM854" s="91"/>
      <c r="AN854" s="91"/>
      <c r="AO854" s="91"/>
      <c r="AP854" s="91"/>
      <c r="AQ854" s="91"/>
      <c r="AR854" s="91"/>
      <c r="AS854" s="91"/>
      <c r="AT854" s="91"/>
      <c r="AU854" s="91"/>
      <c r="AV854" s="91"/>
      <c r="AW854" s="91"/>
      <c r="AX854" s="91"/>
      <c r="AY854" s="91"/>
      <c r="AZ854" s="91"/>
      <c r="BA854" s="91"/>
      <c r="BB854" s="91"/>
      <c r="BC854" s="91"/>
      <c r="BD854" s="91"/>
      <c r="BE854" s="91"/>
      <c r="BF854" s="91"/>
      <c r="BG854" s="91"/>
      <c r="BH854" s="91"/>
      <c r="BI854" s="91"/>
    </row>
    <row r="855" spans="1:61" s="44" customFormat="1" ht="0.6" hidden="1" customHeight="1">
      <c r="A855" s="932" t="s">
        <v>225</v>
      </c>
      <c r="B855" s="484" t="s">
        <v>89</v>
      </c>
      <c r="C855" s="484"/>
      <c r="D855" s="484"/>
      <c r="E855" s="484"/>
      <c r="F855" s="484"/>
      <c r="G855" s="81"/>
      <c r="H855" s="81"/>
      <c r="I855" s="81"/>
      <c r="J855" s="81"/>
      <c r="K855" s="81"/>
      <c r="L855" s="81"/>
      <c r="M855" s="580"/>
      <c r="N855" s="484"/>
      <c r="O855" s="944" t="s">
        <v>226</v>
      </c>
      <c r="AJ855" s="91"/>
      <c r="AK855" s="91"/>
      <c r="AL855" s="91"/>
      <c r="AM855" s="91"/>
      <c r="AN855" s="91"/>
      <c r="AO855" s="91"/>
      <c r="AP855" s="91"/>
      <c r="AQ855" s="91"/>
      <c r="AR855" s="91"/>
      <c r="AS855" s="91"/>
      <c r="AT855" s="91"/>
      <c r="AU855" s="91"/>
      <c r="AV855" s="91"/>
      <c r="AW855" s="91"/>
      <c r="AX855" s="91"/>
      <c r="AY855" s="91"/>
      <c r="AZ855" s="91"/>
      <c r="BA855" s="91"/>
      <c r="BB855" s="91"/>
      <c r="BC855" s="91"/>
      <c r="BD855" s="91"/>
      <c r="BE855" s="91"/>
      <c r="BF855" s="91"/>
      <c r="BG855" s="91"/>
      <c r="BH855" s="91"/>
      <c r="BI855" s="91"/>
    </row>
    <row r="856" spans="1:61" ht="24.6" hidden="1" customHeight="1">
      <c r="A856" s="932"/>
      <c r="B856" s="484" t="s">
        <v>246</v>
      </c>
      <c r="C856" s="484"/>
      <c r="D856" s="484"/>
      <c r="E856" s="484"/>
      <c r="F856" s="484"/>
      <c r="G856" s="81"/>
      <c r="H856" s="81"/>
      <c r="I856" s="81"/>
      <c r="J856" s="81"/>
      <c r="K856" s="81"/>
      <c r="L856" s="81"/>
      <c r="M856" s="580"/>
      <c r="N856" s="484"/>
      <c r="O856" s="944"/>
    </row>
    <row r="857" spans="1:61" ht="23.45" customHeight="1">
      <c r="A857" s="887" t="s">
        <v>140</v>
      </c>
      <c r="B857" s="57" t="s">
        <v>89</v>
      </c>
      <c r="C857" s="57"/>
      <c r="D857" s="57"/>
      <c r="E857" s="57"/>
      <c r="F857" s="57"/>
      <c r="G857" s="80">
        <f t="shared" ref="G857:L858" si="257">G859+G861</f>
        <v>2</v>
      </c>
      <c r="H857" s="80">
        <f t="shared" si="257"/>
        <v>0</v>
      </c>
      <c r="I857" s="80">
        <f t="shared" si="257"/>
        <v>0</v>
      </c>
      <c r="J857" s="80">
        <f t="shared" si="257"/>
        <v>0</v>
      </c>
      <c r="K857" s="80">
        <f t="shared" si="257"/>
        <v>2</v>
      </c>
      <c r="L857" s="80">
        <f t="shared" si="257"/>
        <v>0</v>
      </c>
      <c r="M857" s="439"/>
      <c r="N857" s="484"/>
      <c r="O857" s="57"/>
    </row>
    <row r="858" spans="1:61" ht="24.6" customHeight="1">
      <c r="A858" s="889"/>
      <c r="B858" s="57" t="s">
        <v>246</v>
      </c>
      <c r="C858" s="57"/>
      <c r="D858" s="57"/>
      <c r="E858" s="57"/>
      <c r="F858" s="57"/>
      <c r="G858" s="80">
        <f t="shared" si="257"/>
        <v>20000</v>
      </c>
      <c r="H858" s="80">
        <f t="shared" si="257"/>
        <v>0</v>
      </c>
      <c r="I858" s="80">
        <f t="shared" si="257"/>
        <v>0</v>
      </c>
      <c r="J858" s="80">
        <f t="shared" si="257"/>
        <v>0</v>
      </c>
      <c r="K858" s="80">
        <f t="shared" si="257"/>
        <v>20000</v>
      </c>
      <c r="L858" s="80">
        <f t="shared" si="257"/>
        <v>0</v>
      </c>
      <c r="M858" s="439"/>
      <c r="N858" s="484"/>
      <c r="O858" s="57"/>
    </row>
    <row r="859" spans="1:61" ht="21" customHeight="1">
      <c r="A859" s="926" t="s">
        <v>109</v>
      </c>
      <c r="B859" s="484" t="s">
        <v>89</v>
      </c>
      <c r="C859" s="484">
        <v>176</v>
      </c>
      <c r="D859" s="484" t="s">
        <v>15</v>
      </c>
      <c r="E859" s="484">
        <v>6100404</v>
      </c>
      <c r="F859" s="484">
        <v>243</v>
      </c>
      <c r="G859" s="81">
        <f>K859</f>
        <v>1</v>
      </c>
      <c r="H859" s="81"/>
      <c r="I859" s="81"/>
      <c r="J859" s="81"/>
      <c r="K859" s="81">
        <v>1</v>
      </c>
      <c r="L859" s="81"/>
      <c r="M859" s="580"/>
      <c r="N859" s="484"/>
      <c r="O859" s="944" t="s">
        <v>730</v>
      </c>
    </row>
    <row r="860" spans="1:61" ht="24" customHeight="1">
      <c r="A860" s="928"/>
      <c r="B860" s="484" t="s">
        <v>246</v>
      </c>
      <c r="C860" s="484"/>
      <c r="D860" s="484"/>
      <c r="E860" s="484"/>
      <c r="F860" s="484"/>
      <c r="G860" s="81">
        <f>K860</f>
        <v>3000</v>
      </c>
      <c r="H860" s="81"/>
      <c r="I860" s="81"/>
      <c r="J860" s="81"/>
      <c r="K860" s="81">
        <v>3000</v>
      </c>
      <c r="L860" s="81"/>
      <c r="M860" s="580"/>
      <c r="N860" s="484"/>
      <c r="O860" s="944"/>
    </row>
    <row r="861" spans="1:61" ht="24.6" customHeight="1">
      <c r="A861" s="932" t="s">
        <v>924</v>
      </c>
      <c r="B861" s="484" t="s">
        <v>89</v>
      </c>
      <c r="C861" s="484">
        <v>176</v>
      </c>
      <c r="D861" s="484" t="s">
        <v>15</v>
      </c>
      <c r="E861" s="484">
        <v>6100404</v>
      </c>
      <c r="F861" s="484">
        <v>243</v>
      </c>
      <c r="G861" s="81">
        <f>K861</f>
        <v>1</v>
      </c>
      <c r="H861" s="81"/>
      <c r="I861" s="81"/>
      <c r="J861" s="81"/>
      <c r="K861" s="81">
        <v>1</v>
      </c>
      <c r="L861" s="81"/>
      <c r="M861" s="580"/>
      <c r="N861" s="484"/>
      <c r="O861" s="944" t="s">
        <v>224</v>
      </c>
    </row>
    <row r="862" spans="1:61" s="44" customFormat="1" ht="24.6" customHeight="1">
      <c r="A862" s="932"/>
      <c r="B862" s="484" t="s">
        <v>246</v>
      </c>
      <c r="C862" s="484"/>
      <c r="D862" s="484"/>
      <c r="E862" s="484"/>
      <c r="F862" s="484"/>
      <c r="G862" s="81">
        <f>K862</f>
        <v>17000</v>
      </c>
      <c r="H862" s="81"/>
      <c r="I862" s="81"/>
      <c r="J862" s="81"/>
      <c r="K862" s="81">
        <v>17000</v>
      </c>
      <c r="L862" s="81"/>
      <c r="M862" s="580"/>
      <c r="N862" s="484"/>
      <c r="O862" s="944"/>
      <c r="AJ862" s="91"/>
      <c r="AK862" s="91"/>
      <c r="AL862" s="91"/>
      <c r="AM862" s="91"/>
      <c r="AN862" s="91"/>
      <c r="AO862" s="91"/>
      <c r="AP862" s="91"/>
      <c r="AQ862" s="91"/>
      <c r="AR862" s="91"/>
      <c r="AS862" s="91"/>
      <c r="AT862" s="91"/>
      <c r="AU862" s="91"/>
      <c r="AV862" s="91"/>
      <c r="AW862" s="91"/>
      <c r="AX862" s="91"/>
      <c r="AY862" s="91"/>
      <c r="AZ862" s="91"/>
      <c r="BA862" s="91"/>
      <c r="BB862" s="91"/>
      <c r="BC862" s="91"/>
      <c r="BD862" s="91"/>
      <c r="BE862" s="91"/>
      <c r="BF862" s="91"/>
      <c r="BG862" s="91"/>
      <c r="BH862" s="91"/>
      <c r="BI862" s="91"/>
    </row>
    <row r="863" spans="1:61" s="44" customFormat="1" ht="24.75" hidden="1" customHeight="1">
      <c r="A863" s="926" t="s">
        <v>115</v>
      </c>
      <c r="B863" s="484" t="s">
        <v>89</v>
      </c>
      <c r="C863" s="484">
        <v>176</v>
      </c>
      <c r="D863" s="484" t="s">
        <v>15</v>
      </c>
      <c r="E863" s="484">
        <v>6100404</v>
      </c>
      <c r="F863" s="484">
        <v>243</v>
      </c>
      <c r="G863" s="81"/>
      <c r="H863" s="81"/>
      <c r="I863" s="81"/>
      <c r="J863" s="81"/>
      <c r="K863" s="81"/>
      <c r="L863" s="81"/>
      <c r="M863" s="580"/>
      <c r="N863" s="484"/>
      <c r="O863" s="484" t="s">
        <v>35</v>
      </c>
      <c r="AJ863" s="91"/>
      <c r="AK863" s="91"/>
      <c r="AL863" s="91"/>
      <c r="AM863" s="91"/>
      <c r="AN863" s="91"/>
      <c r="AO863" s="91"/>
      <c r="AP863" s="91"/>
      <c r="AQ863" s="91"/>
      <c r="AR863" s="91"/>
      <c r="AS863" s="91"/>
      <c r="AT863" s="91"/>
      <c r="AU863" s="91"/>
      <c r="AV863" s="91"/>
      <c r="AW863" s="91"/>
      <c r="AX863" s="91"/>
      <c r="AY863" s="91"/>
      <c r="AZ863" s="91"/>
      <c r="BA863" s="91"/>
      <c r="BB863" s="91"/>
      <c r="BC863" s="91"/>
      <c r="BD863" s="91"/>
      <c r="BE863" s="91"/>
      <c r="BF863" s="91"/>
      <c r="BG863" s="91"/>
      <c r="BH863" s="91"/>
      <c r="BI863" s="91"/>
    </row>
    <row r="864" spans="1:61" ht="24.6" hidden="1" customHeight="1">
      <c r="A864" s="928"/>
      <c r="B864" s="484" t="s">
        <v>246</v>
      </c>
      <c r="C864" s="484"/>
      <c r="D864" s="484"/>
      <c r="E864" s="484"/>
      <c r="F864" s="484"/>
      <c r="G864" s="81"/>
      <c r="H864" s="81"/>
      <c r="I864" s="81"/>
      <c r="J864" s="81"/>
      <c r="K864" s="81"/>
      <c r="L864" s="81"/>
      <c r="M864" s="580"/>
      <c r="N864" s="484"/>
      <c r="O864" s="484"/>
    </row>
    <row r="865" spans="1:61" ht="24.95" customHeight="1">
      <c r="A865" s="945" t="s">
        <v>141</v>
      </c>
      <c r="B865" s="57" t="s">
        <v>721</v>
      </c>
      <c r="C865" s="57"/>
      <c r="D865" s="57"/>
      <c r="E865" s="57"/>
      <c r="F865" s="57"/>
      <c r="G865" s="80">
        <f>K865</f>
        <v>0</v>
      </c>
      <c r="H865" s="80">
        <f t="shared" ref="H865:L866" si="258">H867+H869+H873</f>
        <v>0</v>
      </c>
      <c r="I865" s="80">
        <f t="shared" si="258"/>
        <v>0</v>
      </c>
      <c r="J865" s="80">
        <f t="shared" si="258"/>
        <v>0</v>
      </c>
      <c r="K865" s="80">
        <f t="shared" si="258"/>
        <v>0</v>
      </c>
      <c r="L865" s="80">
        <f t="shared" si="258"/>
        <v>0</v>
      </c>
      <c r="M865" s="439">
        <f>M869+M871</f>
        <v>2</v>
      </c>
      <c r="N865" s="484"/>
      <c r="O865" s="57"/>
    </row>
    <row r="866" spans="1:61" ht="24.6" customHeight="1">
      <c r="A866" s="945"/>
      <c r="B866" s="57" t="s">
        <v>246</v>
      </c>
      <c r="C866" s="57"/>
      <c r="D866" s="57"/>
      <c r="E866" s="57"/>
      <c r="F866" s="57"/>
      <c r="G866" s="80">
        <f t="shared" ref="G866:G872" si="259">K866</f>
        <v>103480.7</v>
      </c>
      <c r="H866" s="80">
        <f t="shared" si="258"/>
        <v>0</v>
      </c>
      <c r="I866" s="80">
        <f t="shared" si="258"/>
        <v>0</v>
      </c>
      <c r="J866" s="80">
        <f t="shared" si="258"/>
        <v>0</v>
      </c>
      <c r="K866" s="80">
        <f t="shared" si="258"/>
        <v>103480.7</v>
      </c>
      <c r="L866" s="80">
        <f t="shared" si="258"/>
        <v>5000</v>
      </c>
      <c r="M866" s="439">
        <f>M870+M872</f>
        <v>45000</v>
      </c>
      <c r="N866" s="484"/>
      <c r="O866" s="57"/>
    </row>
    <row r="867" spans="1:61" ht="33" hidden="1" customHeight="1">
      <c r="A867" s="932" t="s">
        <v>109</v>
      </c>
      <c r="B867" s="484" t="s">
        <v>89</v>
      </c>
      <c r="C867" s="484">
        <v>176</v>
      </c>
      <c r="D867" s="484" t="s">
        <v>15</v>
      </c>
      <c r="E867" s="484">
        <v>6100404</v>
      </c>
      <c r="F867" s="484">
        <v>243</v>
      </c>
      <c r="G867" s="80">
        <f t="shared" si="259"/>
        <v>0</v>
      </c>
      <c r="H867" s="81"/>
      <c r="I867" s="81"/>
      <c r="J867" s="81"/>
      <c r="K867" s="81"/>
      <c r="L867" s="81"/>
      <c r="M867" s="580"/>
      <c r="N867" s="484"/>
      <c r="O867" s="944" t="s">
        <v>291</v>
      </c>
    </row>
    <row r="868" spans="1:61" ht="34.5" hidden="1" customHeight="1">
      <c r="A868" s="932"/>
      <c r="B868" s="484" t="s">
        <v>246</v>
      </c>
      <c r="C868" s="484"/>
      <c r="D868" s="484"/>
      <c r="E868" s="484"/>
      <c r="F868" s="484"/>
      <c r="G868" s="80">
        <f t="shared" si="259"/>
        <v>0</v>
      </c>
      <c r="H868" s="81"/>
      <c r="I868" s="81"/>
      <c r="J868" s="81"/>
      <c r="K868" s="81"/>
      <c r="L868" s="81"/>
      <c r="M868" s="580"/>
      <c r="N868" s="484"/>
      <c r="O868" s="944"/>
    </row>
    <row r="869" spans="1:61" ht="23.25" customHeight="1">
      <c r="A869" s="932" t="s">
        <v>1099</v>
      </c>
      <c r="B869" s="484" t="s">
        <v>721</v>
      </c>
      <c r="C869" s="484">
        <v>176</v>
      </c>
      <c r="D869" s="484" t="s">
        <v>15</v>
      </c>
      <c r="E869" s="484">
        <v>6100404</v>
      </c>
      <c r="F869" s="484">
        <v>243</v>
      </c>
      <c r="G869" s="81">
        <f t="shared" si="259"/>
        <v>0</v>
      </c>
      <c r="H869" s="81"/>
      <c r="I869" s="81"/>
      <c r="J869" s="81"/>
      <c r="K869" s="81"/>
      <c r="L869" s="81"/>
      <c r="M869" s="580">
        <v>1</v>
      </c>
      <c r="N869" s="484"/>
      <c r="O869" s="944" t="s">
        <v>1126</v>
      </c>
    </row>
    <row r="870" spans="1:61" ht="27.75" customHeight="1">
      <c r="A870" s="932"/>
      <c r="B870" s="484" t="s">
        <v>246</v>
      </c>
      <c r="C870" s="484"/>
      <c r="D870" s="484"/>
      <c r="E870" s="484"/>
      <c r="F870" s="484"/>
      <c r="G870" s="81">
        <f t="shared" si="259"/>
        <v>103480.7</v>
      </c>
      <c r="H870" s="81"/>
      <c r="I870" s="81"/>
      <c r="J870" s="81"/>
      <c r="K870" s="81">
        <v>103480.7</v>
      </c>
      <c r="L870" s="81">
        <v>5000</v>
      </c>
      <c r="M870" s="580">
        <f>205000-190000+15000</f>
        <v>30000</v>
      </c>
      <c r="N870" s="484"/>
      <c r="O870" s="944"/>
    </row>
    <row r="871" spans="1:61" ht="20.25" customHeight="1">
      <c r="A871" s="926" t="s">
        <v>1098</v>
      </c>
      <c r="B871" s="484" t="s">
        <v>89</v>
      </c>
      <c r="C871" s="484">
        <v>176</v>
      </c>
      <c r="D871" s="484" t="s">
        <v>15</v>
      </c>
      <c r="E871" s="484">
        <v>6100404</v>
      </c>
      <c r="F871" s="484">
        <v>243</v>
      </c>
      <c r="G871" s="80">
        <f t="shared" si="259"/>
        <v>0</v>
      </c>
      <c r="H871" s="81"/>
      <c r="I871" s="81"/>
      <c r="J871" s="81"/>
      <c r="K871" s="81"/>
      <c r="L871" s="81"/>
      <c r="M871" s="580">
        <v>1</v>
      </c>
      <c r="N871" s="484"/>
      <c r="O871" s="933" t="s">
        <v>224</v>
      </c>
    </row>
    <row r="872" spans="1:61" s="44" customFormat="1" ht="23.25" customHeight="1">
      <c r="A872" s="928"/>
      <c r="B872" s="484" t="s">
        <v>246</v>
      </c>
      <c r="C872" s="484"/>
      <c r="D872" s="484"/>
      <c r="E872" s="484"/>
      <c r="F872" s="484"/>
      <c r="G872" s="80">
        <f t="shared" si="259"/>
        <v>0</v>
      </c>
      <c r="H872" s="81"/>
      <c r="I872" s="81"/>
      <c r="J872" s="81"/>
      <c r="K872" s="81"/>
      <c r="L872" s="81"/>
      <c r="M872" s="580">
        <v>15000</v>
      </c>
      <c r="N872" s="484"/>
      <c r="O872" s="934"/>
      <c r="AJ872" s="91"/>
      <c r="AK872" s="91"/>
      <c r="AL872" s="91"/>
      <c r="AM872" s="91"/>
      <c r="AN872" s="91"/>
      <c r="AO872" s="91"/>
      <c r="AP872" s="91"/>
      <c r="AQ872" s="91"/>
      <c r="AR872" s="91"/>
      <c r="AS872" s="91"/>
      <c r="AT872" s="91"/>
      <c r="AU872" s="91"/>
      <c r="AV872" s="91"/>
      <c r="AW872" s="91"/>
      <c r="AX872" s="91"/>
      <c r="AY872" s="91"/>
      <c r="AZ872" s="91"/>
      <c r="BA872" s="91"/>
      <c r="BB872" s="91"/>
      <c r="BC872" s="91"/>
      <c r="BD872" s="91"/>
      <c r="BE872" s="91"/>
      <c r="BF872" s="91"/>
      <c r="BG872" s="91"/>
      <c r="BH872" s="91"/>
      <c r="BI872" s="91"/>
    </row>
    <row r="873" spans="1:61" s="44" customFormat="1" ht="34.5" hidden="1" customHeight="1">
      <c r="A873" s="932" t="s">
        <v>164</v>
      </c>
      <c r="B873" s="484" t="s">
        <v>89</v>
      </c>
      <c r="C873" s="484">
        <v>176</v>
      </c>
      <c r="D873" s="484" t="s">
        <v>15</v>
      </c>
      <c r="E873" s="484">
        <v>6100404</v>
      </c>
      <c r="F873" s="484">
        <v>243</v>
      </c>
      <c r="G873" s="81">
        <f>K873</f>
        <v>0</v>
      </c>
      <c r="H873" s="81"/>
      <c r="I873" s="81"/>
      <c r="J873" s="81"/>
      <c r="K873" s="81"/>
      <c r="L873" s="81"/>
      <c r="M873" s="580"/>
      <c r="N873" s="484"/>
      <c r="O873" s="944" t="s">
        <v>226</v>
      </c>
      <c r="AJ873" s="91"/>
      <c r="AK873" s="91"/>
      <c r="AL873" s="91"/>
      <c r="AM873" s="91"/>
      <c r="AN873" s="91"/>
      <c r="AO873" s="91"/>
      <c r="AP873" s="91"/>
      <c r="AQ873" s="91"/>
      <c r="AR873" s="91"/>
      <c r="AS873" s="91"/>
      <c r="AT873" s="91"/>
      <c r="AU873" s="91"/>
      <c r="AV873" s="91"/>
      <c r="AW873" s="91"/>
      <c r="AX873" s="91"/>
      <c r="AY873" s="91"/>
      <c r="AZ873" s="91"/>
      <c r="BA873" s="91"/>
      <c r="BB873" s="91"/>
      <c r="BC873" s="91"/>
      <c r="BD873" s="91"/>
      <c r="BE873" s="91"/>
      <c r="BF873" s="91"/>
      <c r="BG873" s="91"/>
      <c r="BH873" s="91"/>
      <c r="BI873" s="91"/>
    </row>
    <row r="874" spans="1:61" ht="34.5" hidden="1" customHeight="1">
      <c r="A874" s="932"/>
      <c r="B874" s="484" t="s">
        <v>246</v>
      </c>
      <c r="C874" s="484"/>
      <c r="D874" s="484"/>
      <c r="E874" s="484"/>
      <c r="F874" s="484"/>
      <c r="G874" s="81">
        <f>K874</f>
        <v>0</v>
      </c>
      <c r="H874" s="81"/>
      <c r="I874" s="81"/>
      <c r="J874" s="81"/>
      <c r="K874" s="81"/>
      <c r="L874" s="81"/>
      <c r="M874" s="580"/>
      <c r="N874" s="484"/>
      <c r="O874" s="944"/>
    </row>
    <row r="875" spans="1:61" ht="24.6" hidden="1" customHeight="1">
      <c r="A875" s="945" t="s">
        <v>107</v>
      </c>
      <c r="B875" s="57" t="s">
        <v>89</v>
      </c>
      <c r="C875" s="57"/>
      <c r="D875" s="57"/>
      <c r="E875" s="57"/>
      <c r="F875" s="57"/>
      <c r="G875" s="80">
        <f t="shared" ref="G875:L876" si="260">G877+G879</f>
        <v>0</v>
      </c>
      <c r="H875" s="80">
        <f t="shared" si="260"/>
        <v>0</v>
      </c>
      <c r="I875" s="80">
        <f t="shared" si="260"/>
        <v>0</v>
      </c>
      <c r="J875" s="80">
        <f t="shared" si="260"/>
        <v>0</v>
      </c>
      <c r="K875" s="80"/>
      <c r="L875" s="80">
        <f t="shared" si="260"/>
        <v>0</v>
      </c>
      <c r="M875" s="439">
        <f>M877</f>
        <v>0</v>
      </c>
      <c r="N875" s="484"/>
      <c r="O875" s="57"/>
    </row>
    <row r="876" spans="1:61" ht="24.6" hidden="1" customHeight="1">
      <c r="A876" s="945"/>
      <c r="B876" s="57" t="s">
        <v>246</v>
      </c>
      <c r="C876" s="57"/>
      <c r="D876" s="57"/>
      <c r="E876" s="57"/>
      <c r="F876" s="57"/>
      <c r="G876" s="80">
        <f t="shared" si="260"/>
        <v>0</v>
      </c>
      <c r="H876" s="80">
        <f t="shared" si="260"/>
        <v>0</v>
      </c>
      <c r="I876" s="80">
        <f t="shared" si="260"/>
        <v>0</v>
      </c>
      <c r="J876" s="80">
        <f t="shared" si="260"/>
        <v>0</v>
      </c>
      <c r="K876" s="80"/>
      <c r="L876" s="80">
        <f t="shared" si="260"/>
        <v>0</v>
      </c>
      <c r="M876" s="439">
        <f>M878</f>
        <v>0</v>
      </c>
      <c r="N876" s="484"/>
      <c r="O876" s="57"/>
    </row>
    <row r="877" spans="1:61" ht="29.45" hidden="1" customHeight="1">
      <c r="A877" s="932" t="s">
        <v>527</v>
      </c>
      <c r="B877" s="484" t="s">
        <v>89</v>
      </c>
      <c r="C877" s="484">
        <v>176</v>
      </c>
      <c r="D877" s="484" t="s">
        <v>15</v>
      </c>
      <c r="E877" s="484">
        <v>6100404</v>
      </c>
      <c r="F877" s="484">
        <v>243</v>
      </c>
      <c r="G877" s="81">
        <f>J877</f>
        <v>0</v>
      </c>
      <c r="H877" s="81"/>
      <c r="I877" s="81"/>
      <c r="J877" s="81"/>
      <c r="K877" s="81"/>
      <c r="L877" s="81"/>
      <c r="M877" s="580"/>
      <c r="N877" s="484"/>
      <c r="O877" s="944" t="s">
        <v>325</v>
      </c>
    </row>
    <row r="878" spans="1:61" s="44" customFormat="1" ht="28.5" hidden="1" customHeight="1">
      <c r="A878" s="932"/>
      <c r="B878" s="484" t="s">
        <v>246</v>
      </c>
      <c r="C878" s="484"/>
      <c r="D878" s="484"/>
      <c r="E878" s="484"/>
      <c r="F878" s="484"/>
      <c r="G878" s="81">
        <f>J878</f>
        <v>0</v>
      </c>
      <c r="H878" s="81"/>
      <c r="I878" s="81"/>
      <c r="J878" s="81"/>
      <c r="K878" s="81"/>
      <c r="L878" s="81"/>
      <c r="M878" s="580"/>
      <c r="N878" s="484"/>
      <c r="O878" s="944"/>
      <c r="AJ878" s="91"/>
      <c r="AK878" s="91"/>
      <c r="AL878" s="91"/>
      <c r="AM878" s="91"/>
      <c r="AN878" s="91"/>
      <c r="AO878" s="91"/>
      <c r="AP878" s="91"/>
      <c r="AQ878" s="91"/>
      <c r="AR878" s="91"/>
      <c r="AS878" s="91"/>
      <c r="AT878" s="91"/>
      <c r="AU878" s="91"/>
      <c r="AV878" s="91"/>
      <c r="AW878" s="91"/>
      <c r="AX878" s="91"/>
      <c r="AY878" s="91"/>
      <c r="AZ878" s="91"/>
      <c r="BA878" s="91"/>
      <c r="BB878" s="91"/>
      <c r="BC878" s="91"/>
      <c r="BD878" s="91"/>
      <c r="BE878" s="91"/>
      <c r="BF878" s="91"/>
      <c r="BG878" s="91"/>
      <c r="BH878" s="91"/>
      <c r="BI878" s="91"/>
    </row>
    <row r="879" spans="1:61" s="44" customFormat="1" ht="24.6" hidden="1" customHeight="1">
      <c r="A879" s="932" t="s">
        <v>109</v>
      </c>
      <c r="B879" s="484" t="s">
        <v>89</v>
      </c>
      <c r="C879" s="484">
        <v>176</v>
      </c>
      <c r="D879" s="484" t="s">
        <v>15</v>
      </c>
      <c r="E879" s="484">
        <v>6100404</v>
      </c>
      <c r="F879" s="484">
        <v>243</v>
      </c>
      <c r="G879" s="81"/>
      <c r="H879" s="81"/>
      <c r="I879" s="81"/>
      <c r="J879" s="81"/>
      <c r="K879" s="81"/>
      <c r="L879" s="81"/>
      <c r="M879" s="580"/>
      <c r="N879" s="484"/>
      <c r="O879" s="944" t="s">
        <v>291</v>
      </c>
      <c r="AJ879" s="91"/>
      <c r="AK879" s="91"/>
      <c r="AL879" s="91"/>
      <c r="AM879" s="91"/>
      <c r="AN879" s="91"/>
      <c r="AO879" s="91"/>
      <c r="AP879" s="91"/>
      <c r="AQ879" s="91"/>
      <c r="AR879" s="91"/>
      <c r="AS879" s="91"/>
      <c r="AT879" s="91"/>
      <c r="AU879" s="91"/>
      <c r="AV879" s="91"/>
      <c r="AW879" s="91"/>
      <c r="AX879" s="91"/>
      <c r="AY879" s="91"/>
      <c r="AZ879" s="91"/>
      <c r="BA879" s="91"/>
      <c r="BB879" s="91"/>
      <c r="BC879" s="91"/>
      <c r="BD879" s="91"/>
      <c r="BE879" s="91"/>
      <c r="BF879" s="91"/>
      <c r="BG879" s="91"/>
      <c r="BH879" s="91"/>
      <c r="BI879" s="91"/>
    </row>
    <row r="880" spans="1:61" ht="24.6" hidden="1" customHeight="1">
      <c r="A880" s="932"/>
      <c r="B880" s="484" t="s">
        <v>246</v>
      </c>
      <c r="C880" s="484"/>
      <c r="D880" s="484"/>
      <c r="E880" s="484"/>
      <c r="F880" s="484"/>
      <c r="G880" s="81"/>
      <c r="H880" s="81"/>
      <c r="I880" s="81"/>
      <c r="J880" s="81"/>
      <c r="K880" s="81"/>
      <c r="L880" s="81"/>
      <c r="M880" s="580"/>
      <c r="N880" s="484"/>
      <c r="O880" s="944"/>
    </row>
    <row r="881" spans="1:61" ht="24.95" hidden="1" customHeight="1">
      <c r="A881" s="945" t="s">
        <v>142</v>
      </c>
      <c r="B881" s="57" t="s">
        <v>89</v>
      </c>
      <c r="C881" s="57"/>
      <c r="D881" s="57"/>
      <c r="E881" s="57"/>
      <c r="F881" s="57"/>
      <c r="G881" s="80"/>
      <c r="H881" s="80">
        <f t="shared" ref="G881:M882" si="261">H883+H885</f>
        <v>0</v>
      </c>
      <c r="I881" s="80">
        <f t="shared" si="261"/>
        <v>0</v>
      </c>
      <c r="J881" s="80">
        <f t="shared" si="261"/>
        <v>0</v>
      </c>
      <c r="K881" s="80">
        <f t="shared" si="261"/>
        <v>0</v>
      </c>
      <c r="L881" s="80">
        <f t="shared" si="261"/>
        <v>0</v>
      </c>
      <c r="M881" s="439">
        <f t="shared" si="261"/>
        <v>0</v>
      </c>
      <c r="N881" s="484"/>
      <c r="O881" s="57"/>
    </row>
    <row r="882" spans="1:61" ht="24.95" hidden="1" customHeight="1">
      <c r="A882" s="945"/>
      <c r="B882" s="57" t="s">
        <v>246</v>
      </c>
      <c r="C882" s="57"/>
      <c r="D882" s="57"/>
      <c r="E882" s="57"/>
      <c r="F882" s="57"/>
      <c r="G882" s="80">
        <f t="shared" si="261"/>
        <v>0</v>
      </c>
      <c r="H882" s="80">
        <f t="shared" si="261"/>
        <v>0</v>
      </c>
      <c r="I882" s="80">
        <f t="shared" si="261"/>
        <v>0</v>
      </c>
      <c r="J882" s="80">
        <f t="shared" si="261"/>
        <v>0</v>
      </c>
      <c r="K882" s="80">
        <f t="shared" si="261"/>
        <v>0</v>
      </c>
      <c r="L882" s="80">
        <f t="shared" si="261"/>
        <v>0</v>
      </c>
      <c r="M882" s="439">
        <f t="shared" si="261"/>
        <v>0</v>
      </c>
      <c r="N882" s="484"/>
      <c r="O882" s="57"/>
    </row>
    <row r="883" spans="1:61" ht="24.95" hidden="1" customHeight="1">
      <c r="A883" s="932" t="s">
        <v>315</v>
      </c>
      <c r="B883" s="484" t="s">
        <v>89</v>
      </c>
      <c r="C883" s="484">
        <v>176</v>
      </c>
      <c r="D883" s="484" t="s">
        <v>15</v>
      </c>
      <c r="E883" s="484">
        <v>6100404</v>
      </c>
      <c r="F883" s="484">
        <v>243</v>
      </c>
      <c r="G883" s="81"/>
      <c r="H883" s="81"/>
      <c r="I883" s="81"/>
      <c r="J883" s="81"/>
      <c r="K883" s="81"/>
      <c r="L883" s="81"/>
      <c r="M883" s="580"/>
      <c r="N883" s="484"/>
      <c r="O883" s="944" t="s">
        <v>230</v>
      </c>
    </row>
    <row r="884" spans="1:61" ht="24" hidden="1" customHeight="1">
      <c r="A884" s="932"/>
      <c r="B884" s="484" t="s">
        <v>246</v>
      </c>
      <c r="C884" s="484"/>
      <c r="D884" s="484"/>
      <c r="E884" s="484"/>
      <c r="F884" s="484"/>
      <c r="G884" s="81"/>
      <c r="H884" s="81"/>
      <c r="I884" s="81"/>
      <c r="J884" s="81"/>
      <c r="K884" s="81"/>
      <c r="L884" s="81"/>
      <c r="M884" s="580"/>
      <c r="N884" s="484"/>
      <c r="O884" s="944"/>
    </row>
    <row r="885" spans="1:61" ht="24.6" hidden="1" customHeight="1">
      <c r="A885" s="932" t="s">
        <v>109</v>
      </c>
      <c r="B885" s="484" t="s">
        <v>89</v>
      </c>
      <c r="C885" s="484">
        <v>176</v>
      </c>
      <c r="D885" s="484" t="s">
        <v>15</v>
      </c>
      <c r="E885" s="484">
        <v>6100404</v>
      </c>
      <c r="F885" s="484">
        <v>243</v>
      </c>
      <c r="G885" s="81"/>
      <c r="H885" s="81"/>
      <c r="I885" s="81"/>
      <c r="J885" s="81"/>
      <c r="K885" s="81"/>
      <c r="L885" s="81"/>
      <c r="M885" s="580"/>
      <c r="N885" s="484"/>
      <c r="O885" s="944" t="s">
        <v>291</v>
      </c>
    </row>
    <row r="886" spans="1:61" ht="24.6" hidden="1" customHeight="1">
      <c r="A886" s="932"/>
      <c r="B886" s="484" t="s">
        <v>246</v>
      </c>
      <c r="C886" s="484"/>
      <c r="D886" s="484"/>
      <c r="E886" s="484"/>
      <c r="F886" s="484"/>
      <c r="G886" s="81">
        <f>K886</f>
        <v>0</v>
      </c>
      <c r="H886" s="81"/>
      <c r="I886" s="81"/>
      <c r="J886" s="81"/>
      <c r="K886" s="81"/>
      <c r="L886" s="81"/>
      <c r="M886" s="580"/>
      <c r="N886" s="484"/>
      <c r="O886" s="944"/>
    </row>
    <row r="887" spans="1:61" ht="39.75" customHeight="1">
      <c r="A887" s="73" t="s">
        <v>32</v>
      </c>
      <c r="B887" s="484" t="s">
        <v>246</v>
      </c>
      <c r="C887" s="484">
        <v>176</v>
      </c>
      <c r="D887" s="484" t="s">
        <v>15</v>
      </c>
      <c r="E887" s="484">
        <v>6100404</v>
      </c>
      <c r="F887" s="484">
        <v>243</v>
      </c>
      <c r="G887" s="80">
        <f>K887</f>
        <v>10000</v>
      </c>
      <c r="H887" s="81"/>
      <c r="I887" s="81"/>
      <c r="J887" s="81"/>
      <c r="K887" s="80">
        <f>4000+6000</f>
        <v>10000</v>
      </c>
      <c r="L887" s="80">
        <v>0</v>
      </c>
      <c r="M887" s="439">
        <v>9000</v>
      </c>
      <c r="N887" s="484"/>
      <c r="O887" s="290" t="s">
        <v>804</v>
      </c>
    </row>
    <row r="888" spans="1:61" ht="0.75" customHeight="1">
      <c r="A888" s="73"/>
      <c r="B888" s="484"/>
      <c r="C888" s="484"/>
      <c r="D888" s="484"/>
      <c r="E888" s="484"/>
      <c r="F888" s="484"/>
      <c r="G888" s="81"/>
      <c r="H888" s="81"/>
      <c r="I888" s="81"/>
      <c r="J888" s="81"/>
      <c r="K888" s="81"/>
      <c r="L888" s="81"/>
      <c r="M888" s="580"/>
      <c r="N888" s="484"/>
      <c r="O888" s="484"/>
    </row>
    <row r="889" spans="1:61" ht="24.95" customHeight="1">
      <c r="A889" s="887" t="s">
        <v>967</v>
      </c>
      <c r="B889" s="656" t="s">
        <v>235</v>
      </c>
      <c r="C889" s="656"/>
      <c r="D889" s="656"/>
      <c r="E889" s="656"/>
      <c r="F889" s="656"/>
      <c r="G889" s="80">
        <f>G890</f>
        <v>4513.3</v>
      </c>
      <c r="H889" s="80">
        <f t="shared" ref="H889:M889" si="262">H890</f>
        <v>4513.3</v>
      </c>
      <c r="I889" s="80">
        <f t="shared" si="262"/>
        <v>0</v>
      </c>
      <c r="J889" s="80">
        <f t="shared" si="262"/>
        <v>0</v>
      </c>
      <c r="K889" s="80">
        <f t="shared" si="262"/>
        <v>0</v>
      </c>
      <c r="L889" s="80">
        <f t="shared" si="262"/>
        <v>0</v>
      </c>
      <c r="M889" s="80">
        <f t="shared" si="262"/>
        <v>0</v>
      </c>
      <c r="N889" s="933" t="s">
        <v>26</v>
      </c>
      <c r="O889" s="933" t="s">
        <v>898</v>
      </c>
    </row>
    <row r="890" spans="1:61" ht="24.95" customHeight="1">
      <c r="A890" s="888"/>
      <c r="B890" s="656" t="s">
        <v>10</v>
      </c>
      <c r="C890" s="656"/>
      <c r="D890" s="656"/>
      <c r="E890" s="656"/>
      <c r="F890" s="656"/>
      <c r="G890" s="80">
        <f>H890</f>
        <v>4513.3</v>
      </c>
      <c r="H890" s="80">
        <v>4513.3</v>
      </c>
      <c r="I890" s="80"/>
      <c r="J890" s="80"/>
      <c r="K890" s="80"/>
      <c r="L890" s="80">
        <v>0</v>
      </c>
      <c r="M890" s="439">
        <v>0</v>
      </c>
      <c r="N890" s="946"/>
      <c r="O890" s="946"/>
    </row>
    <row r="891" spans="1:61" ht="24.95" customHeight="1">
      <c r="A891" s="888"/>
      <c r="B891" s="656" t="s">
        <v>436</v>
      </c>
      <c r="C891" s="656">
        <v>176</v>
      </c>
      <c r="D891" s="656" t="s">
        <v>15</v>
      </c>
      <c r="E891" s="656">
        <v>6100404</v>
      </c>
      <c r="F891" s="656">
        <v>244</v>
      </c>
      <c r="G891" s="80"/>
      <c r="H891" s="80"/>
      <c r="I891" s="80">
        <v>0</v>
      </c>
      <c r="J891" s="80">
        <v>0</v>
      </c>
      <c r="K891" s="80">
        <v>0</v>
      </c>
      <c r="L891" s="80">
        <v>0</v>
      </c>
      <c r="M891" s="439">
        <v>0</v>
      </c>
      <c r="N891" s="946"/>
      <c r="O891" s="946"/>
    </row>
    <row r="892" spans="1:61" ht="24.95" customHeight="1">
      <c r="A892" s="887" t="s">
        <v>820</v>
      </c>
      <c r="B892" s="668" t="s">
        <v>89</v>
      </c>
      <c r="C892" s="668"/>
      <c r="D892" s="668"/>
      <c r="E892" s="668"/>
      <c r="F892" s="668"/>
      <c r="G892" s="80">
        <f>G899+G1336</f>
        <v>58.100000000000009</v>
      </c>
      <c r="H892" s="80">
        <f t="shared" ref="H892:M892" si="263">H899+H1336</f>
        <v>0</v>
      </c>
      <c r="I892" s="80">
        <f t="shared" si="263"/>
        <v>0</v>
      </c>
      <c r="J892" s="80">
        <f t="shared" si="263"/>
        <v>0</v>
      </c>
      <c r="K892" s="80">
        <f t="shared" si="263"/>
        <v>58.100000000000009</v>
      </c>
      <c r="L892" s="80">
        <f t="shared" si="263"/>
        <v>0</v>
      </c>
      <c r="M892" s="80">
        <f t="shared" si="263"/>
        <v>74.300000000000011</v>
      </c>
      <c r="N892" s="933" t="s">
        <v>26</v>
      </c>
      <c r="O892" s="933" t="s">
        <v>1130</v>
      </c>
    </row>
    <row r="893" spans="1:61" ht="24.95" customHeight="1">
      <c r="A893" s="888"/>
      <c r="B893" s="668" t="s">
        <v>24</v>
      </c>
      <c r="C893" s="668"/>
      <c r="D893" s="668"/>
      <c r="E893" s="668"/>
      <c r="F893" s="668"/>
      <c r="G893" s="80">
        <f>G894/G892</f>
        <v>18058.76936316695</v>
      </c>
      <c r="H893" s="80"/>
      <c r="I893" s="80"/>
      <c r="J893" s="80"/>
      <c r="K893" s="80"/>
      <c r="L893" s="80"/>
      <c r="M893" s="439">
        <f>M894/M892</f>
        <v>27689.742934051137</v>
      </c>
      <c r="N893" s="946"/>
      <c r="O893" s="946"/>
    </row>
    <row r="894" spans="1:61" ht="24.95" customHeight="1">
      <c r="A894" s="888"/>
      <c r="B894" s="668" t="s">
        <v>25</v>
      </c>
      <c r="C894" s="668">
        <v>176</v>
      </c>
      <c r="D894" s="668" t="s">
        <v>15</v>
      </c>
      <c r="E894" s="668">
        <v>6100404</v>
      </c>
      <c r="F894" s="668">
        <v>244</v>
      </c>
      <c r="G894" s="80">
        <f>G895+G896</f>
        <v>1049214.5</v>
      </c>
      <c r="H894" s="80">
        <f t="shared" ref="H894:M894" si="264">H895+H896</f>
        <v>6854.1</v>
      </c>
      <c r="I894" s="80">
        <f t="shared" si="264"/>
        <v>0</v>
      </c>
      <c r="J894" s="80">
        <f t="shared" si="264"/>
        <v>0</v>
      </c>
      <c r="K894" s="80">
        <f t="shared" si="264"/>
        <v>1042360.3999999999</v>
      </c>
      <c r="L894" s="80">
        <f t="shared" si="264"/>
        <v>98779.6</v>
      </c>
      <c r="M894" s="80">
        <f t="shared" si="264"/>
        <v>2057347.8999999997</v>
      </c>
      <c r="N894" s="946"/>
      <c r="O894" s="946"/>
    </row>
    <row r="895" spans="1:61" ht="24.95" customHeight="1">
      <c r="A895" s="888"/>
      <c r="B895" s="668" t="s">
        <v>10</v>
      </c>
      <c r="C895" s="668">
        <v>176</v>
      </c>
      <c r="D895" s="668" t="s">
        <v>15</v>
      </c>
      <c r="E895" s="668">
        <v>6100404</v>
      </c>
      <c r="F895" s="668">
        <v>244</v>
      </c>
      <c r="G895" s="80">
        <f>G902+G1340</f>
        <v>1049214.5</v>
      </c>
      <c r="H895" s="80">
        <f t="shared" ref="H895:M895" si="265">H902+H1340</f>
        <v>6854.1</v>
      </c>
      <c r="I895" s="80">
        <f t="shared" si="265"/>
        <v>0</v>
      </c>
      <c r="J895" s="80">
        <f t="shared" si="265"/>
        <v>0</v>
      </c>
      <c r="K895" s="80">
        <f t="shared" si="265"/>
        <v>1042360.3999999999</v>
      </c>
      <c r="L895" s="80">
        <f t="shared" si="265"/>
        <v>98779.6</v>
      </c>
      <c r="M895" s="80">
        <f t="shared" si="265"/>
        <v>2057347.8999999997</v>
      </c>
      <c r="N895" s="946"/>
      <c r="O895" s="946"/>
      <c r="P895" s="98"/>
      <c r="Q895" s="46"/>
    </row>
    <row r="896" spans="1:61" s="44" customFormat="1" ht="24.6" customHeight="1">
      <c r="A896" s="888"/>
      <c r="B896" s="668" t="s">
        <v>495</v>
      </c>
      <c r="C896" s="668"/>
      <c r="D896" s="668"/>
      <c r="E896" s="668"/>
      <c r="F896" s="668"/>
      <c r="G896" s="80">
        <f>G903+G1339</f>
        <v>0</v>
      </c>
      <c r="H896" s="80">
        <f t="shared" ref="H896:M896" si="266">H903+H1339</f>
        <v>0</v>
      </c>
      <c r="I896" s="80">
        <f t="shared" si="266"/>
        <v>0</v>
      </c>
      <c r="J896" s="80">
        <f t="shared" si="266"/>
        <v>0</v>
      </c>
      <c r="K896" s="80">
        <f t="shared" si="266"/>
        <v>0</v>
      </c>
      <c r="L896" s="80">
        <f t="shared" si="266"/>
        <v>0</v>
      </c>
      <c r="M896" s="80">
        <f t="shared" si="266"/>
        <v>0</v>
      </c>
      <c r="N896" s="946"/>
      <c r="O896" s="946"/>
      <c r="AJ896" s="91"/>
      <c r="AK896" s="91"/>
      <c r="AL896" s="91"/>
      <c r="AM896" s="91"/>
      <c r="AN896" s="91"/>
      <c r="AO896" s="91"/>
      <c r="AP896" s="91"/>
      <c r="AQ896" s="91"/>
      <c r="AR896" s="91"/>
      <c r="AS896" s="91"/>
      <c r="AT896" s="91"/>
      <c r="AU896" s="91"/>
      <c r="AV896" s="91"/>
      <c r="AW896" s="91"/>
      <c r="AX896" s="91"/>
      <c r="AY896" s="91"/>
      <c r="AZ896" s="91"/>
      <c r="BA896" s="91"/>
      <c r="BB896" s="91"/>
      <c r="BC896" s="91"/>
      <c r="BD896" s="91"/>
      <c r="BE896" s="91"/>
      <c r="BF896" s="91"/>
      <c r="BG896" s="91"/>
      <c r="BH896" s="91"/>
      <c r="BI896" s="91"/>
    </row>
    <row r="897" spans="1:61" s="44" customFormat="1" ht="24.95" customHeight="1">
      <c r="A897" s="888"/>
      <c r="B897" s="668" t="s">
        <v>435</v>
      </c>
      <c r="C897" s="668"/>
      <c r="D897" s="668"/>
      <c r="E897" s="668"/>
      <c r="F897" s="668"/>
      <c r="G897" s="80">
        <v>0</v>
      </c>
      <c r="H897" s="80"/>
      <c r="I897" s="80"/>
      <c r="J897" s="80"/>
      <c r="K897" s="80"/>
      <c r="L897" s="80"/>
      <c r="M897" s="439"/>
      <c r="N897" s="946"/>
      <c r="O897" s="946"/>
      <c r="AJ897" s="91"/>
      <c r="AK897" s="91"/>
      <c r="AL897" s="91"/>
      <c r="AM897" s="91"/>
      <c r="AN897" s="91"/>
      <c r="AO897" s="91"/>
      <c r="AP897" s="91"/>
      <c r="AQ897" s="91"/>
      <c r="AR897" s="91"/>
      <c r="AS897" s="91"/>
      <c r="AT897" s="91"/>
      <c r="AU897" s="91"/>
      <c r="AV897" s="91"/>
      <c r="AW897" s="91"/>
      <c r="AX897" s="91"/>
      <c r="AY897" s="91"/>
      <c r="AZ897" s="91"/>
      <c r="BA897" s="91"/>
      <c r="BB897" s="91"/>
      <c r="BC897" s="91"/>
      <c r="BD897" s="91"/>
      <c r="BE897" s="91"/>
      <c r="BF897" s="91"/>
      <c r="BG897" s="91"/>
      <c r="BH897" s="91"/>
      <c r="BI897" s="91"/>
    </row>
    <row r="898" spans="1:61" ht="24.95" customHeight="1">
      <c r="A898" s="889"/>
      <c r="B898" s="668" t="s">
        <v>447</v>
      </c>
      <c r="C898" s="668"/>
      <c r="D898" s="668"/>
      <c r="E898" s="668"/>
      <c r="F898" s="668"/>
      <c r="G898" s="80">
        <v>0</v>
      </c>
      <c r="H898" s="80"/>
      <c r="I898" s="80"/>
      <c r="J898" s="80"/>
      <c r="K898" s="80"/>
      <c r="L898" s="80"/>
      <c r="M898" s="439"/>
      <c r="N898" s="934"/>
      <c r="O898" s="934"/>
    </row>
    <row r="899" spans="1:61" ht="24.95" customHeight="1">
      <c r="A899" s="887" t="s">
        <v>1005</v>
      </c>
      <c r="B899" s="668" t="s">
        <v>89</v>
      </c>
      <c r="C899" s="668"/>
      <c r="D899" s="668"/>
      <c r="E899" s="668"/>
      <c r="F899" s="668"/>
      <c r="G899" s="80">
        <f>K899</f>
        <v>58.100000000000009</v>
      </c>
      <c r="H899" s="80">
        <f t="shared" ref="H899:J899" si="267">H906+H917+H927+H939+H951+H967+H991+H1003+H1009+H1023+H1043+H1062+H1076+H1094+H1112+H1126+H1134+H1148+H1168+H1208+H1222+H1234+H1240+H1252+H1268+H1278+H1288+H1300+H1310+H1320</f>
        <v>0</v>
      </c>
      <c r="I899" s="80">
        <f t="shared" si="267"/>
        <v>0</v>
      </c>
      <c r="J899" s="80">
        <f t="shared" si="267"/>
        <v>0</v>
      </c>
      <c r="K899" s="80">
        <f>K906+K917+K927+K939+K951+K967+K991+K1003+K1009+K1023+K1043+K1062+K1076+K1094+K1112+K1126+K1134+K1148+K1168+K1208+K1222+K1234+K1240+K1252+K1268+K1278+K1288+K1300+K1310+K1320</f>
        <v>58.100000000000009</v>
      </c>
      <c r="L899" s="80">
        <f>L906+L917+L927+L939+L951+L967+L991+L1003+L1009+L1023+L1043+L1062+L1076+L1094+L1112+L1126+L1134+L1148+L1168+L1208+L1222+L1234+L1240+L1252+L1268+L1278+L1288+L1300+L1310+V1319</f>
        <v>0</v>
      </c>
      <c r="M899" s="439">
        <f>M906+M917+M927+M939+M951+M967+M991+M1003+M1009+M1023+M1043+M1062+M1076+M1094+M1112+M1126+M1134+M1148+M1168+M1208+M1222+M1234+M1240+M1252+M1268+M1278+M1288+M1300+M1310+M1320</f>
        <v>74.300000000000011</v>
      </c>
      <c r="N899" s="933" t="s">
        <v>26</v>
      </c>
      <c r="O899" s="933" t="s">
        <v>1131</v>
      </c>
    </row>
    <row r="900" spans="1:61" ht="24.95" customHeight="1">
      <c r="A900" s="888"/>
      <c r="B900" s="668" t="s">
        <v>24</v>
      </c>
      <c r="C900" s="668"/>
      <c r="D900" s="668"/>
      <c r="E900" s="668"/>
      <c r="F900" s="668"/>
      <c r="G900" s="80">
        <f>G901/G899</f>
        <v>17940.798623063678</v>
      </c>
      <c r="H900" s="80"/>
      <c r="I900" s="80"/>
      <c r="J900" s="80"/>
      <c r="K900" s="80"/>
      <c r="L900" s="80"/>
      <c r="M900" s="439">
        <f>M901/M899</f>
        <v>27689.742934051137</v>
      </c>
      <c r="N900" s="946"/>
      <c r="O900" s="946"/>
    </row>
    <row r="901" spans="1:61" ht="24.95" customHeight="1">
      <c r="A901" s="888"/>
      <c r="B901" s="668" t="s">
        <v>25</v>
      </c>
      <c r="C901" s="668">
        <v>176</v>
      </c>
      <c r="D901" s="668" t="s">
        <v>15</v>
      </c>
      <c r="E901" s="668">
        <v>6100404</v>
      </c>
      <c r="F901" s="668">
        <v>244</v>
      </c>
      <c r="G901" s="80">
        <f>G902+G903+G904+G905</f>
        <v>1042360.3999999999</v>
      </c>
      <c r="H901" s="80">
        <f t="shared" ref="H901:M901" si="268">H902+H903+H904+H905</f>
        <v>0</v>
      </c>
      <c r="I901" s="80">
        <f t="shared" si="268"/>
        <v>0</v>
      </c>
      <c r="J901" s="80">
        <f t="shared" si="268"/>
        <v>0</v>
      </c>
      <c r="K901" s="80">
        <f t="shared" si="268"/>
        <v>1042360.3999999999</v>
      </c>
      <c r="L901" s="80">
        <f>L902+L903</f>
        <v>98779.6</v>
      </c>
      <c r="M901" s="439">
        <f t="shared" si="268"/>
        <v>2057347.8999999997</v>
      </c>
      <c r="N901" s="946"/>
      <c r="O901" s="946"/>
    </row>
    <row r="902" spans="1:61" ht="24.95" customHeight="1">
      <c r="A902" s="888"/>
      <c r="B902" s="668" t="s">
        <v>10</v>
      </c>
      <c r="C902" s="668">
        <v>176</v>
      </c>
      <c r="D902" s="668" t="s">
        <v>15</v>
      </c>
      <c r="E902" s="668">
        <v>6100404</v>
      </c>
      <c r="F902" s="668">
        <v>244</v>
      </c>
      <c r="G902" s="80">
        <f>G908+G918+G929+G941+G953+G969+G992+G1004+G1010+G1025+G1045+G1064+G1078+G1095+G1114+G1127+G1136+G1150+G1170+G1210+G1224+G1235+G1242+G1254+G1269+G1280+G1290+G1301+G1322+G1334+G1335+G1311</f>
        <v>1042360.3999999999</v>
      </c>
      <c r="H902" s="80">
        <f t="shared" ref="H902:L902" si="269">H908+H918+H929+H941+H953+H969+H992+H1004+H1010+H1025+H1045+H1064+H1078+H1095+H1114+H1127+H1136+H1150+H1170+H1210+H1224+H1235+H1242+H1254+H1269+H1280+H1290+H1301+H1322+H1334+H1335+H1311</f>
        <v>0</v>
      </c>
      <c r="I902" s="80">
        <f t="shared" si="269"/>
        <v>0</v>
      </c>
      <c r="J902" s="80">
        <f t="shared" si="269"/>
        <v>0</v>
      </c>
      <c r="K902" s="80">
        <f t="shared" si="269"/>
        <v>1042360.3999999999</v>
      </c>
      <c r="L902" s="80">
        <f t="shared" si="269"/>
        <v>98779.6</v>
      </c>
      <c r="M902" s="80">
        <f>M908+M918+M929+M941+M953+M969+M992+M1004+M1010+M1025+M1045+M1064+M1078+M1095+M1114+M1127+M1136+M1150+M1170+M1210+M1224+M1235+M1242+M1254+M1269+M1280+M1290+M1301+M1322+M1334+M1335+M1311</f>
        <v>2057347.8999999997</v>
      </c>
      <c r="N902" s="946"/>
      <c r="O902" s="946"/>
      <c r="P902" s="98"/>
      <c r="Q902" s="46"/>
    </row>
    <row r="903" spans="1:61" s="44" customFormat="1" ht="24.6" customHeight="1">
      <c r="A903" s="888"/>
      <c r="B903" s="668" t="s">
        <v>495</v>
      </c>
      <c r="C903" s="668"/>
      <c r="D903" s="668"/>
      <c r="E903" s="668"/>
      <c r="F903" s="668"/>
      <c r="G903" s="80">
        <f>G909+G930+G942+G954+G970+G1026+G1046+G1065+G1079+G1115+G1137+G1151+G1171+G1211+G1225+G1243+G1255+G1281+G1291+G1323</f>
        <v>0</v>
      </c>
      <c r="H903" s="80">
        <f>H909+H930+H942+H954+H970+H1026+H1046+H1065+H1079+H1115+H1137+H1151+H1171+H1211+H1225+H1243+H1255+H1281+H1291+H1323</f>
        <v>0</v>
      </c>
      <c r="I903" s="80">
        <f>I909+I930+I942+I954+I970+I1026+I1046+I1065+I1079+I1115+I1137+I1151+I1171+I1211+I1225+I1243+I1255+I1281+I1291+I1323</f>
        <v>0</v>
      </c>
      <c r="J903" s="80">
        <f>J909+J930+J942+J954+J970+J1026+J1046+J1065+J1079+J1115+J1137+J1151+J1171+J1211+J1225+J1243+J1255+J1281+J1291+J1323</f>
        <v>0</v>
      </c>
      <c r="K903" s="80">
        <f>K909+K930+K942+K954+K970+K1026+K1046+K1065+K1079+K1115+K1137+K1151+K1171+K1211+K1225+K1243+K1255+K1281+K1291+K1323</f>
        <v>0</v>
      </c>
      <c r="L903" s="80">
        <f>L909+L954+L970+L1026+L1046+L1065+L1079+L1115+L1137+L1151+L1171+L1211+L1225+L1243+L1255+L1281+L1291+L1323+L946</f>
        <v>0</v>
      </c>
      <c r="M903" s="439">
        <f>M909+M954+M970+M1026+M1046+M1065+M1079+M1115+M1137+M1151+M1171+M1211+M1225+M1243+M1255+M1281+M1291+M1323+M946</f>
        <v>0</v>
      </c>
      <c r="N903" s="946"/>
      <c r="O903" s="946"/>
      <c r="AJ903" s="91"/>
      <c r="AK903" s="91"/>
      <c r="AL903" s="91"/>
      <c r="AM903" s="91"/>
      <c r="AN903" s="91"/>
      <c r="AO903" s="91"/>
      <c r="AP903" s="91"/>
      <c r="AQ903" s="91"/>
      <c r="AR903" s="91"/>
      <c r="AS903" s="91"/>
      <c r="AT903" s="91"/>
      <c r="AU903" s="91"/>
      <c r="AV903" s="91"/>
      <c r="AW903" s="91"/>
      <c r="AX903" s="91"/>
      <c r="AY903" s="91"/>
      <c r="AZ903" s="91"/>
      <c r="BA903" s="91"/>
      <c r="BB903" s="91"/>
      <c r="BC903" s="91"/>
      <c r="BD903" s="91"/>
      <c r="BE903" s="91"/>
      <c r="BF903" s="91"/>
      <c r="BG903" s="91"/>
      <c r="BH903" s="91"/>
      <c r="BI903" s="91"/>
    </row>
    <row r="904" spans="1:61" s="44" customFormat="1" ht="24.95" customHeight="1">
      <c r="A904" s="888"/>
      <c r="B904" s="668" t="s">
        <v>435</v>
      </c>
      <c r="C904" s="668"/>
      <c r="D904" s="668"/>
      <c r="E904" s="668"/>
      <c r="F904" s="668"/>
      <c r="G904" s="80">
        <v>0</v>
      </c>
      <c r="H904" s="80"/>
      <c r="I904" s="80"/>
      <c r="J904" s="80"/>
      <c r="K904" s="80"/>
      <c r="L904" s="80"/>
      <c r="M904" s="439"/>
      <c r="N904" s="946"/>
      <c r="O904" s="946"/>
      <c r="AJ904" s="91"/>
      <c r="AK904" s="91"/>
      <c r="AL904" s="91"/>
      <c r="AM904" s="91"/>
      <c r="AN904" s="91"/>
      <c r="AO904" s="91"/>
      <c r="AP904" s="91"/>
      <c r="AQ904" s="91"/>
      <c r="AR904" s="91"/>
      <c r="AS904" s="91"/>
      <c r="AT904" s="91"/>
      <c r="AU904" s="91"/>
      <c r="AV904" s="91"/>
      <c r="AW904" s="91"/>
      <c r="AX904" s="91"/>
      <c r="AY904" s="91"/>
      <c r="AZ904" s="91"/>
      <c r="BA904" s="91"/>
      <c r="BB904" s="91"/>
      <c r="BC904" s="91"/>
      <c r="BD904" s="91"/>
      <c r="BE904" s="91"/>
      <c r="BF904" s="91"/>
      <c r="BG904" s="91"/>
      <c r="BH904" s="91"/>
      <c r="BI904" s="91"/>
    </row>
    <row r="905" spans="1:61" ht="24.95" customHeight="1">
      <c r="A905" s="889"/>
      <c r="B905" s="668" t="s">
        <v>447</v>
      </c>
      <c r="C905" s="668"/>
      <c r="D905" s="668"/>
      <c r="E905" s="668"/>
      <c r="F905" s="668"/>
      <c r="G905" s="80">
        <v>0</v>
      </c>
      <c r="H905" s="80"/>
      <c r="I905" s="80"/>
      <c r="J905" s="80"/>
      <c r="K905" s="80"/>
      <c r="L905" s="80"/>
      <c r="M905" s="439"/>
      <c r="N905" s="934"/>
      <c r="O905" s="934"/>
    </row>
    <row r="906" spans="1:61" ht="24.95" customHeight="1">
      <c r="A906" s="945" t="s">
        <v>96</v>
      </c>
      <c r="B906" s="57" t="s">
        <v>89</v>
      </c>
      <c r="C906" s="57"/>
      <c r="D906" s="57"/>
      <c r="E906" s="57"/>
      <c r="F906" s="57"/>
      <c r="G906" s="80">
        <f>G910+G913</f>
        <v>3.1</v>
      </c>
      <c r="H906" s="80">
        <f t="shared" ref="H906:M906" si="270">H910+H913</f>
        <v>0</v>
      </c>
      <c r="I906" s="80">
        <f t="shared" si="270"/>
        <v>0</v>
      </c>
      <c r="J906" s="80">
        <f t="shared" si="270"/>
        <v>0</v>
      </c>
      <c r="K906" s="80">
        <f t="shared" si="270"/>
        <v>3.1</v>
      </c>
      <c r="L906" s="80"/>
      <c r="M906" s="80">
        <f t="shared" si="270"/>
        <v>1</v>
      </c>
      <c r="N906" s="57"/>
      <c r="O906" s="804"/>
    </row>
    <row r="907" spans="1:61" ht="24.95" customHeight="1">
      <c r="A907" s="945"/>
      <c r="B907" s="57" t="s">
        <v>25</v>
      </c>
      <c r="C907" s="57"/>
      <c r="D907" s="57"/>
      <c r="E907" s="57"/>
      <c r="F907" s="57"/>
      <c r="G907" s="80">
        <f>G908+G909</f>
        <v>35554.1</v>
      </c>
      <c r="H907" s="80">
        <f t="shared" ref="H907:M907" si="271">H908+H909</f>
        <v>0</v>
      </c>
      <c r="I907" s="80">
        <f t="shared" si="271"/>
        <v>0</v>
      </c>
      <c r="J907" s="80">
        <f t="shared" si="271"/>
        <v>0</v>
      </c>
      <c r="K907" s="80">
        <f t="shared" si="271"/>
        <v>35554.1</v>
      </c>
      <c r="L907" s="80">
        <f t="shared" si="271"/>
        <v>0</v>
      </c>
      <c r="M907" s="80">
        <f t="shared" si="271"/>
        <v>31798.400000000001</v>
      </c>
      <c r="N907" s="57"/>
      <c r="O907" s="57"/>
    </row>
    <row r="908" spans="1:61" ht="24.95" customHeight="1">
      <c r="A908" s="945"/>
      <c r="B908" s="57" t="s">
        <v>10</v>
      </c>
      <c r="C908" s="57"/>
      <c r="D908" s="57"/>
      <c r="E908" s="57"/>
      <c r="F908" s="57"/>
      <c r="G908" s="80">
        <f>G912+G915</f>
        <v>35554.1</v>
      </c>
      <c r="H908" s="80">
        <f t="shared" ref="H908:M908" si="272">H912+H915</f>
        <v>0</v>
      </c>
      <c r="I908" s="80">
        <f t="shared" si="272"/>
        <v>0</v>
      </c>
      <c r="J908" s="80">
        <f t="shared" si="272"/>
        <v>0</v>
      </c>
      <c r="K908" s="80">
        <f t="shared" si="272"/>
        <v>35554.1</v>
      </c>
      <c r="L908" s="80">
        <f t="shared" si="272"/>
        <v>0</v>
      </c>
      <c r="M908" s="80">
        <f t="shared" si="272"/>
        <v>31798.400000000001</v>
      </c>
      <c r="N908" s="57"/>
      <c r="O908" s="57"/>
    </row>
    <row r="909" spans="1:61" s="44" customFormat="1" ht="24.95" customHeight="1">
      <c r="A909" s="945"/>
      <c r="B909" s="57" t="s">
        <v>495</v>
      </c>
      <c r="C909" s="57"/>
      <c r="D909" s="57"/>
      <c r="E909" s="57"/>
      <c r="F909" s="57"/>
      <c r="G909" s="80">
        <f>G916</f>
        <v>0</v>
      </c>
      <c r="H909" s="80"/>
      <c r="I909" s="80"/>
      <c r="J909" s="80"/>
      <c r="K909" s="80"/>
      <c r="L909" s="80">
        <f>L916</f>
        <v>0</v>
      </c>
      <c r="M909" s="439">
        <f>M916</f>
        <v>0</v>
      </c>
      <c r="N909" s="57"/>
      <c r="O909" s="57"/>
      <c r="AJ909" s="91"/>
      <c r="AK909" s="91"/>
      <c r="AL909" s="91"/>
      <c r="AM909" s="91"/>
      <c r="AN909" s="91"/>
      <c r="AO909" s="91"/>
      <c r="AP909" s="91"/>
      <c r="AQ909" s="91"/>
      <c r="AR909" s="91"/>
      <c r="AS909" s="91"/>
      <c r="AT909" s="91"/>
      <c r="AU909" s="91"/>
      <c r="AV909" s="91"/>
      <c r="AW909" s="91"/>
      <c r="AX909" s="91"/>
      <c r="AY909" s="91"/>
      <c r="AZ909" s="91"/>
      <c r="BA909" s="91"/>
      <c r="BB909" s="91"/>
      <c r="BC909" s="91"/>
      <c r="BD909" s="91"/>
      <c r="BE909" s="91"/>
      <c r="BF909" s="91"/>
      <c r="BG909" s="91"/>
      <c r="BH909" s="91"/>
      <c r="BI909" s="91"/>
    </row>
    <row r="910" spans="1:61" s="44" customFormat="1" ht="24.95" customHeight="1">
      <c r="A910" s="926" t="s">
        <v>150</v>
      </c>
      <c r="B910" s="661" t="s">
        <v>89</v>
      </c>
      <c r="C910" s="662"/>
      <c r="D910" s="662"/>
      <c r="E910" s="662"/>
      <c r="F910" s="662"/>
      <c r="G910" s="81">
        <f>K910</f>
        <v>2</v>
      </c>
      <c r="H910" s="81"/>
      <c r="I910" s="81"/>
      <c r="J910" s="81"/>
      <c r="K910" s="81">
        <v>2</v>
      </c>
      <c r="L910" s="81"/>
      <c r="M910" s="580"/>
      <c r="N910" s="662"/>
      <c r="O910" s="933" t="s">
        <v>1017</v>
      </c>
      <c r="AJ910" s="91"/>
      <c r="AK910" s="91"/>
      <c r="AL910" s="91"/>
      <c r="AM910" s="91"/>
      <c r="AN910" s="91"/>
      <c r="AO910" s="91"/>
      <c r="AP910" s="91"/>
      <c r="AQ910" s="91"/>
      <c r="AR910" s="91"/>
      <c r="AS910" s="91"/>
      <c r="AT910" s="91"/>
      <c r="AU910" s="91"/>
      <c r="AV910" s="91"/>
      <c r="AW910" s="91"/>
      <c r="AX910" s="91"/>
      <c r="AY910" s="91"/>
      <c r="AZ910" s="91"/>
      <c r="BA910" s="91"/>
      <c r="BB910" s="91"/>
      <c r="BC910" s="91"/>
      <c r="BD910" s="91"/>
      <c r="BE910" s="91"/>
      <c r="BF910" s="91"/>
      <c r="BG910" s="91"/>
      <c r="BH910" s="91"/>
      <c r="BI910" s="91"/>
    </row>
    <row r="911" spans="1:61" s="44" customFormat="1" ht="24.95" customHeight="1">
      <c r="A911" s="927"/>
      <c r="B911" s="661" t="s">
        <v>25</v>
      </c>
      <c r="C911" s="662"/>
      <c r="D911" s="662"/>
      <c r="E911" s="662"/>
      <c r="F911" s="662"/>
      <c r="G911" s="81">
        <f t="shared" ref="G911:G915" si="273">K911</f>
        <v>22000</v>
      </c>
      <c r="H911" s="81"/>
      <c r="I911" s="81"/>
      <c r="J911" s="81"/>
      <c r="K911" s="81">
        <f>K912</f>
        <v>22000</v>
      </c>
      <c r="L911" s="81"/>
      <c r="M911" s="580">
        <f>M912</f>
        <v>20000</v>
      </c>
      <c r="N911" s="662"/>
      <c r="O911" s="946"/>
      <c r="AJ911" s="91"/>
      <c r="AK911" s="91"/>
      <c r="AL911" s="91"/>
      <c r="AM911" s="91"/>
      <c r="AN911" s="91"/>
      <c r="AO911" s="91"/>
      <c r="AP911" s="91"/>
      <c r="AQ911" s="91"/>
      <c r="AR911" s="91"/>
      <c r="AS911" s="91"/>
      <c r="AT911" s="91"/>
      <c r="AU911" s="91"/>
      <c r="AV911" s="91"/>
      <c r="AW911" s="91"/>
      <c r="AX911" s="91"/>
      <c r="AY911" s="91"/>
      <c r="AZ911" s="91"/>
      <c r="BA911" s="91"/>
      <c r="BB911" s="91"/>
      <c r="BC911" s="91"/>
      <c r="BD911" s="91"/>
      <c r="BE911" s="91"/>
      <c r="BF911" s="91"/>
      <c r="BG911" s="91"/>
      <c r="BH911" s="91"/>
      <c r="BI911" s="91"/>
    </row>
    <row r="912" spans="1:61" s="44" customFormat="1" ht="24.95" customHeight="1">
      <c r="A912" s="928"/>
      <c r="B912" s="661" t="s">
        <v>10</v>
      </c>
      <c r="C912" s="662"/>
      <c r="D912" s="662"/>
      <c r="E912" s="662"/>
      <c r="F912" s="662"/>
      <c r="G912" s="81">
        <f t="shared" si="273"/>
        <v>22000</v>
      </c>
      <c r="H912" s="81"/>
      <c r="I912" s="81"/>
      <c r="J912" s="81"/>
      <c r="K912" s="81">
        <f>22000</f>
        <v>22000</v>
      </c>
      <c r="L912" s="81"/>
      <c r="M912" s="580">
        <v>20000</v>
      </c>
      <c r="N912" s="662"/>
      <c r="O912" s="934"/>
      <c r="AJ912" s="91"/>
      <c r="AK912" s="91"/>
      <c r="AL912" s="91"/>
      <c r="AM912" s="91"/>
      <c r="AN912" s="91"/>
      <c r="AO912" s="91"/>
      <c r="AP912" s="91"/>
      <c r="AQ912" s="91"/>
      <c r="AR912" s="91"/>
      <c r="AS912" s="91"/>
      <c r="AT912" s="91"/>
      <c r="AU912" s="91"/>
      <c r="AV912" s="91"/>
      <c r="AW912" s="91"/>
      <c r="AX912" s="91"/>
      <c r="AY912" s="91"/>
      <c r="AZ912" s="91"/>
      <c r="BA912" s="91"/>
      <c r="BB912" s="91"/>
      <c r="BC912" s="91"/>
      <c r="BD912" s="91"/>
      <c r="BE912" s="91"/>
      <c r="BF912" s="91"/>
      <c r="BG912" s="91"/>
      <c r="BH912" s="91"/>
      <c r="BI912" s="91"/>
    </row>
    <row r="913" spans="1:61" s="44" customFormat="1" ht="24.95" customHeight="1">
      <c r="A913" s="932" t="s">
        <v>853</v>
      </c>
      <c r="B913" s="484" t="s">
        <v>89</v>
      </c>
      <c r="C913" s="484">
        <v>176</v>
      </c>
      <c r="D913" s="484" t="s">
        <v>15</v>
      </c>
      <c r="E913" s="484">
        <v>6100404</v>
      </c>
      <c r="F913" s="484">
        <v>244</v>
      </c>
      <c r="G913" s="80">
        <f t="shared" si="273"/>
        <v>1.1000000000000001</v>
      </c>
      <c r="H913" s="81"/>
      <c r="I913" s="81"/>
      <c r="J913" s="81"/>
      <c r="K913" s="81">
        <v>1.1000000000000001</v>
      </c>
      <c r="L913" s="81"/>
      <c r="M913" s="580">
        <v>1</v>
      </c>
      <c r="N913" s="484"/>
      <c r="O913" s="944" t="s">
        <v>1015</v>
      </c>
      <c r="AJ913" s="91"/>
      <c r="AK913" s="91"/>
      <c r="AL913" s="91"/>
      <c r="AM913" s="91"/>
      <c r="AN913" s="91"/>
      <c r="AO913" s="91"/>
      <c r="AP913" s="91"/>
      <c r="AQ913" s="91"/>
      <c r="AR913" s="91"/>
      <c r="AS913" s="91"/>
      <c r="AT913" s="91"/>
      <c r="AU913" s="91"/>
      <c r="AV913" s="91"/>
      <c r="AW913" s="91"/>
      <c r="AX913" s="91"/>
      <c r="AY913" s="91"/>
      <c r="AZ913" s="91"/>
      <c r="BA913" s="91"/>
      <c r="BB913" s="91"/>
      <c r="BC913" s="91"/>
      <c r="BD913" s="91"/>
      <c r="BE913" s="91"/>
      <c r="BF913" s="91"/>
      <c r="BG913" s="91"/>
      <c r="BH913" s="91"/>
      <c r="BI913" s="91"/>
    </row>
    <row r="914" spans="1:61" s="44" customFormat="1" ht="24.95" customHeight="1">
      <c r="A914" s="932"/>
      <c r="B914" s="484" t="s">
        <v>25</v>
      </c>
      <c r="C914" s="484"/>
      <c r="D914" s="484"/>
      <c r="E914" s="484"/>
      <c r="F914" s="484"/>
      <c r="G914" s="81">
        <f t="shared" si="273"/>
        <v>13554.1</v>
      </c>
      <c r="H914" s="81"/>
      <c r="I914" s="81"/>
      <c r="J914" s="81"/>
      <c r="K914" s="81">
        <f>K915</f>
        <v>13554.1</v>
      </c>
      <c r="L914" s="81">
        <f>L915+L916</f>
        <v>0</v>
      </c>
      <c r="M914" s="580">
        <f>M915+M916</f>
        <v>11798.4</v>
      </c>
      <c r="N914" s="484"/>
      <c r="O914" s="944"/>
      <c r="AJ914" s="91"/>
      <c r="AK914" s="91"/>
      <c r="AL914" s="91"/>
      <c r="AM914" s="91"/>
      <c r="AN914" s="91"/>
      <c r="AO914" s="91"/>
      <c r="AP914" s="91"/>
      <c r="AQ914" s="91"/>
      <c r="AR914" s="91"/>
      <c r="AS914" s="91"/>
      <c r="AT914" s="91"/>
      <c r="AU914" s="91"/>
      <c r="AV914" s="91"/>
      <c r="AW914" s="91"/>
      <c r="AX914" s="91"/>
      <c r="AY914" s="91"/>
      <c r="AZ914" s="91"/>
      <c r="BA914" s="91"/>
      <c r="BB914" s="91"/>
      <c r="BC914" s="91"/>
      <c r="BD914" s="91"/>
      <c r="BE914" s="91"/>
      <c r="BF914" s="91"/>
      <c r="BG914" s="91"/>
      <c r="BH914" s="91"/>
      <c r="BI914" s="91"/>
    </row>
    <row r="915" spans="1:61" s="44" customFormat="1" ht="24.95" customHeight="1">
      <c r="A915" s="932"/>
      <c r="B915" s="484" t="s">
        <v>10</v>
      </c>
      <c r="C915" s="484"/>
      <c r="D915" s="484"/>
      <c r="E915" s="484"/>
      <c r="F915" s="484"/>
      <c r="G915" s="81">
        <f t="shared" si="273"/>
        <v>13554.1</v>
      </c>
      <c r="H915" s="81"/>
      <c r="I915" s="81"/>
      <c r="J915" s="81"/>
      <c r="K915" s="81">
        <v>13554.1</v>
      </c>
      <c r="L915" s="81">
        <f>16000-16000</f>
        <v>0</v>
      </c>
      <c r="M915" s="580">
        <v>11798.4</v>
      </c>
      <c r="N915" s="484"/>
      <c r="O915" s="944"/>
      <c r="AJ915" s="91"/>
      <c r="AK915" s="91"/>
      <c r="AL915" s="91"/>
      <c r="AM915" s="91"/>
      <c r="AN915" s="91"/>
      <c r="AO915" s="91"/>
      <c r="AP915" s="91"/>
      <c r="AQ915" s="91"/>
      <c r="AR915" s="91"/>
      <c r="AS915" s="91"/>
      <c r="AT915" s="91"/>
      <c r="AU915" s="91"/>
      <c r="AV915" s="91"/>
      <c r="AW915" s="91"/>
      <c r="AX915" s="91"/>
      <c r="AY915" s="91"/>
      <c r="AZ915" s="91"/>
      <c r="BA915" s="91"/>
      <c r="BB915" s="91"/>
      <c r="BC915" s="91"/>
      <c r="BD915" s="91"/>
      <c r="BE915" s="91"/>
      <c r="BF915" s="91"/>
      <c r="BG915" s="91"/>
      <c r="BH915" s="91"/>
      <c r="BI915" s="91"/>
    </row>
    <row r="916" spans="1:61" ht="24.95" hidden="1" customHeight="1">
      <c r="A916" s="932"/>
      <c r="B916" s="484" t="s">
        <v>495</v>
      </c>
      <c r="C916" s="484"/>
      <c r="D916" s="484"/>
      <c r="E916" s="484"/>
      <c r="F916" s="484"/>
      <c r="G916" s="81">
        <f t="shared" ref="G916" si="274">K916</f>
        <v>0</v>
      </c>
      <c r="H916" s="81"/>
      <c r="I916" s="81"/>
      <c r="J916" s="81"/>
      <c r="K916" s="81"/>
      <c r="L916" s="81"/>
      <c r="M916" s="580"/>
      <c r="N916" s="484"/>
      <c r="O916" s="944"/>
    </row>
    <row r="917" spans="1:61" ht="24" customHeight="1">
      <c r="A917" s="945" t="s">
        <v>116</v>
      </c>
      <c r="B917" s="57" t="s">
        <v>89</v>
      </c>
      <c r="C917" s="57"/>
      <c r="D917" s="57"/>
      <c r="E917" s="57"/>
      <c r="F917" s="57"/>
      <c r="G917" s="80">
        <f>G919+G921+G923+G925</f>
        <v>1.2</v>
      </c>
      <c r="H917" s="80">
        <f t="shared" ref="H917:M918" si="275">H919+H921+H923+H925</f>
        <v>0</v>
      </c>
      <c r="I917" s="80">
        <f t="shared" si="275"/>
        <v>0</v>
      </c>
      <c r="J917" s="80">
        <f t="shared" si="275"/>
        <v>0</v>
      </c>
      <c r="K917" s="80">
        <f t="shared" si="275"/>
        <v>1.2</v>
      </c>
      <c r="L917" s="80">
        <f t="shared" si="275"/>
        <v>0</v>
      </c>
      <c r="M917" s="439">
        <f t="shared" si="275"/>
        <v>8</v>
      </c>
      <c r="N917" s="484"/>
      <c r="O917" s="57"/>
    </row>
    <row r="918" spans="1:61" ht="24.6" customHeight="1">
      <c r="A918" s="945"/>
      <c r="B918" s="57" t="s">
        <v>246</v>
      </c>
      <c r="C918" s="57"/>
      <c r="D918" s="57"/>
      <c r="E918" s="57"/>
      <c r="F918" s="57"/>
      <c r="G918" s="80">
        <f>G920+G922+G924+G926</f>
        <v>15919.1</v>
      </c>
      <c r="H918" s="80">
        <f t="shared" si="275"/>
        <v>0</v>
      </c>
      <c r="I918" s="80">
        <f t="shared" si="275"/>
        <v>0</v>
      </c>
      <c r="J918" s="80">
        <f t="shared" si="275"/>
        <v>0</v>
      </c>
      <c r="K918" s="80">
        <f t="shared" si="275"/>
        <v>15919.1</v>
      </c>
      <c r="L918" s="80">
        <f t="shared" si="275"/>
        <v>0</v>
      </c>
      <c r="M918" s="439">
        <f t="shared" si="275"/>
        <v>152657.79999999999</v>
      </c>
      <c r="N918" s="484"/>
      <c r="O918" s="57"/>
    </row>
    <row r="919" spans="1:61" ht="25.15" customHeight="1">
      <c r="A919" s="932" t="s">
        <v>853</v>
      </c>
      <c r="B919" s="484" t="s">
        <v>89</v>
      </c>
      <c r="C919" s="484">
        <v>176</v>
      </c>
      <c r="D919" s="484" t="s">
        <v>15</v>
      </c>
      <c r="E919" s="484">
        <v>6100404</v>
      </c>
      <c r="F919" s="484">
        <v>244</v>
      </c>
      <c r="G919" s="81">
        <f>K919</f>
        <v>1.2</v>
      </c>
      <c r="H919" s="81"/>
      <c r="I919" s="81"/>
      <c r="J919" s="81"/>
      <c r="K919" s="81">
        <v>1.2</v>
      </c>
      <c r="L919" s="81"/>
      <c r="M919" s="580">
        <v>1</v>
      </c>
      <c r="N919" s="484"/>
      <c r="O919" s="944" t="s">
        <v>586</v>
      </c>
    </row>
    <row r="920" spans="1:61" s="44" customFormat="1" ht="23.25" customHeight="1">
      <c r="A920" s="932"/>
      <c r="B920" s="484" t="s">
        <v>246</v>
      </c>
      <c r="C920" s="484"/>
      <c r="D920" s="484"/>
      <c r="E920" s="484"/>
      <c r="F920" s="484"/>
      <c r="G920" s="81">
        <f>K920</f>
        <v>14574.1</v>
      </c>
      <c r="H920" s="81"/>
      <c r="I920" s="81"/>
      <c r="J920" s="81"/>
      <c r="K920" s="81">
        <v>14574.1</v>
      </c>
      <c r="L920" s="81">
        <f>18600-18600</f>
        <v>0</v>
      </c>
      <c r="M920" s="580">
        <v>12657.8</v>
      </c>
      <c r="N920" s="484"/>
      <c r="O920" s="944"/>
      <c r="AJ920" s="91"/>
      <c r="AK920" s="91"/>
      <c r="AL920" s="91"/>
      <c r="AM920" s="91"/>
      <c r="AN920" s="91"/>
      <c r="AO920" s="91"/>
      <c r="AP920" s="91"/>
      <c r="AQ920" s="91"/>
      <c r="AR920" s="91"/>
      <c r="AS920" s="91"/>
      <c r="AT920" s="91"/>
      <c r="AU920" s="91"/>
      <c r="AV920" s="91"/>
      <c r="AW920" s="91"/>
      <c r="AX920" s="91"/>
      <c r="AY920" s="91"/>
      <c r="AZ920" s="91"/>
      <c r="BA920" s="91"/>
      <c r="BB920" s="91"/>
      <c r="BC920" s="91"/>
      <c r="BD920" s="91"/>
      <c r="BE920" s="91"/>
      <c r="BF920" s="91"/>
      <c r="BG920" s="91"/>
      <c r="BH920" s="91"/>
      <c r="BI920" s="91"/>
    </row>
    <row r="921" spans="1:61" s="44" customFormat="1" ht="23.25" customHeight="1">
      <c r="A921" s="926" t="s">
        <v>562</v>
      </c>
      <c r="B921" s="484" t="s">
        <v>89</v>
      </c>
      <c r="C921" s="484"/>
      <c r="D921" s="484"/>
      <c r="E921" s="484"/>
      <c r="F921" s="484"/>
      <c r="G921" s="81">
        <f>K921</f>
        <v>0</v>
      </c>
      <c r="H921" s="81"/>
      <c r="I921" s="81"/>
      <c r="J921" s="81"/>
      <c r="K921" s="81"/>
      <c r="L921" s="81"/>
      <c r="M921" s="580"/>
      <c r="N921" s="484"/>
      <c r="O921" s="933" t="s">
        <v>855</v>
      </c>
      <c r="AJ921" s="91"/>
      <c r="AK921" s="91"/>
      <c r="AL921" s="91"/>
      <c r="AM921" s="91"/>
      <c r="AN921" s="91"/>
      <c r="AO921" s="91"/>
      <c r="AP921" s="91"/>
      <c r="AQ921" s="91"/>
      <c r="AR921" s="91"/>
      <c r="AS921" s="91"/>
      <c r="AT921" s="91"/>
      <c r="AU921" s="91"/>
      <c r="AV921" s="91"/>
      <c r="AW921" s="91"/>
      <c r="AX921" s="91"/>
      <c r="AY921" s="91"/>
      <c r="AZ921" s="91"/>
      <c r="BA921" s="91"/>
      <c r="BB921" s="91"/>
      <c r="BC921" s="91"/>
      <c r="BD921" s="91"/>
      <c r="BE921" s="91"/>
      <c r="BF921" s="91"/>
      <c r="BG921" s="91"/>
      <c r="BH921" s="91"/>
      <c r="BI921" s="91"/>
    </row>
    <row r="922" spans="1:61" s="44" customFormat="1" ht="23.25" customHeight="1">
      <c r="A922" s="928"/>
      <c r="B922" s="484" t="s">
        <v>246</v>
      </c>
      <c r="C922" s="484"/>
      <c r="D922" s="484"/>
      <c r="E922" s="484"/>
      <c r="F922" s="484"/>
      <c r="G922" s="81">
        <f>K922</f>
        <v>1345</v>
      </c>
      <c r="H922" s="81"/>
      <c r="I922" s="81"/>
      <c r="J922" s="81"/>
      <c r="K922" s="81">
        <v>1345</v>
      </c>
      <c r="L922" s="81"/>
      <c r="M922" s="580"/>
      <c r="N922" s="484"/>
      <c r="O922" s="934"/>
      <c r="AJ922" s="91"/>
      <c r="AK922" s="91"/>
      <c r="AL922" s="91"/>
      <c r="AM922" s="91"/>
      <c r="AN922" s="91"/>
      <c r="AO922" s="91"/>
      <c r="AP922" s="91"/>
      <c r="AQ922" s="91"/>
      <c r="AR922" s="91"/>
      <c r="AS922" s="91"/>
      <c r="AT922" s="91"/>
      <c r="AU922" s="91"/>
      <c r="AV922" s="91"/>
      <c r="AW922" s="91"/>
      <c r="AX922" s="91"/>
      <c r="AY922" s="91"/>
      <c r="AZ922" s="91"/>
      <c r="BA922" s="91"/>
      <c r="BB922" s="91"/>
      <c r="BC922" s="91"/>
      <c r="BD922" s="91"/>
      <c r="BE922" s="91"/>
      <c r="BF922" s="91"/>
      <c r="BG922" s="91"/>
      <c r="BH922" s="91"/>
      <c r="BI922" s="91"/>
    </row>
    <row r="923" spans="1:61" s="44" customFormat="1" ht="23.25" customHeight="1">
      <c r="A923" s="926" t="s">
        <v>986</v>
      </c>
      <c r="B923" s="484" t="s">
        <v>89</v>
      </c>
      <c r="C923" s="484"/>
      <c r="D923" s="484"/>
      <c r="E923" s="484"/>
      <c r="F923" s="484"/>
      <c r="G923" s="81"/>
      <c r="H923" s="81"/>
      <c r="I923" s="81"/>
      <c r="J923" s="81"/>
      <c r="K923" s="81"/>
      <c r="L923" s="81"/>
      <c r="M923" s="580">
        <v>7</v>
      </c>
      <c r="N923" s="484"/>
      <c r="O923" s="933" t="s">
        <v>987</v>
      </c>
      <c r="AJ923" s="91"/>
      <c r="AK923" s="91"/>
      <c r="AL923" s="91"/>
      <c r="AM923" s="91"/>
      <c r="AN923" s="91"/>
      <c r="AO923" s="91"/>
      <c r="AP923" s="91"/>
      <c r="AQ923" s="91"/>
      <c r="AR923" s="91"/>
      <c r="AS923" s="91"/>
      <c r="AT923" s="91"/>
      <c r="AU923" s="91"/>
      <c r="AV923" s="91"/>
      <c r="AW923" s="91"/>
      <c r="AX923" s="91"/>
      <c r="AY923" s="91"/>
      <c r="AZ923" s="91"/>
      <c r="BA923" s="91"/>
      <c r="BB923" s="91"/>
      <c r="BC923" s="91"/>
      <c r="BD923" s="91"/>
      <c r="BE923" s="91"/>
      <c r="BF923" s="91"/>
      <c r="BG923" s="91"/>
      <c r="BH923" s="91"/>
      <c r="BI923" s="91"/>
    </row>
    <row r="924" spans="1:61" s="44" customFormat="1" ht="23.25" customHeight="1">
      <c r="A924" s="928"/>
      <c r="B924" s="484" t="s">
        <v>246</v>
      </c>
      <c r="C924" s="484"/>
      <c r="D924" s="484"/>
      <c r="E924" s="484"/>
      <c r="F924" s="484"/>
      <c r="G924" s="81"/>
      <c r="H924" s="81"/>
      <c r="I924" s="81"/>
      <c r="J924" s="81"/>
      <c r="K924" s="81"/>
      <c r="L924" s="81"/>
      <c r="M924" s="580">
        <v>140000</v>
      </c>
      <c r="N924" s="484"/>
      <c r="O924" s="934"/>
      <c r="AJ924" s="91"/>
      <c r="AK924" s="91"/>
      <c r="AL924" s="91"/>
      <c r="AM924" s="91"/>
      <c r="AN924" s="91"/>
      <c r="AO924" s="91"/>
      <c r="AP924" s="91"/>
      <c r="AQ924" s="91"/>
      <c r="AR924" s="91"/>
      <c r="AS924" s="91"/>
      <c r="AT924" s="91"/>
      <c r="AU924" s="91"/>
      <c r="AV924" s="91"/>
      <c r="AW924" s="91"/>
      <c r="AX924" s="91"/>
      <c r="AY924" s="91"/>
      <c r="AZ924" s="91"/>
      <c r="BA924" s="91"/>
      <c r="BB924" s="91"/>
      <c r="BC924" s="91"/>
      <c r="BD924" s="91"/>
      <c r="BE924" s="91"/>
      <c r="BF924" s="91"/>
      <c r="BG924" s="91"/>
      <c r="BH924" s="91"/>
      <c r="BI924" s="91"/>
    </row>
    <row r="925" spans="1:61" ht="27" hidden="1" customHeight="1">
      <c r="A925" s="926" t="s">
        <v>565</v>
      </c>
      <c r="B925" s="484" t="s">
        <v>89</v>
      </c>
      <c r="C925" s="484">
        <v>176</v>
      </c>
      <c r="D925" s="484" t="s">
        <v>15</v>
      </c>
      <c r="E925" s="484">
        <v>6100404</v>
      </c>
      <c r="F925" s="484">
        <v>244</v>
      </c>
      <c r="G925" s="81">
        <v>0</v>
      </c>
      <c r="H925" s="81"/>
      <c r="I925" s="81"/>
      <c r="J925" s="81"/>
      <c r="K925" s="81"/>
      <c r="L925" s="81"/>
      <c r="M925" s="580"/>
      <c r="N925" s="484"/>
      <c r="O925" s="933" t="s">
        <v>763</v>
      </c>
    </row>
    <row r="926" spans="1:61" s="44" customFormat="1" ht="27.75" hidden="1" customHeight="1">
      <c r="A926" s="928"/>
      <c r="B926" s="484" t="s">
        <v>246</v>
      </c>
      <c r="C926" s="484"/>
      <c r="D926" s="484"/>
      <c r="E926" s="484"/>
      <c r="F926" s="484"/>
      <c r="G926" s="81"/>
      <c r="H926" s="81"/>
      <c r="I926" s="81"/>
      <c r="J926" s="81"/>
      <c r="K926" s="81"/>
      <c r="L926" s="81"/>
      <c r="M926" s="580"/>
      <c r="N926" s="484"/>
      <c r="O926" s="934"/>
      <c r="AJ926" s="91"/>
      <c r="AK926" s="91"/>
      <c r="AL926" s="91"/>
      <c r="AM926" s="91"/>
      <c r="AN926" s="91"/>
      <c r="AO926" s="91"/>
      <c r="AP926" s="91"/>
      <c r="AQ926" s="91"/>
      <c r="AR926" s="91"/>
      <c r="AS926" s="91"/>
      <c r="AT926" s="91"/>
      <c r="AU926" s="91"/>
      <c r="AV926" s="91"/>
      <c r="AW926" s="91"/>
      <c r="AX926" s="91"/>
      <c r="AY926" s="91"/>
      <c r="AZ926" s="91"/>
      <c r="BA926" s="91"/>
      <c r="BB926" s="91"/>
      <c r="BC926" s="91"/>
      <c r="BD926" s="91"/>
      <c r="BE926" s="91"/>
      <c r="BF926" s="91"/>
      <c r="BG926" s="91"/>
      <c r="BH926" s="91"/>
      <c r="BI926" s="91"/>
    </row>
    <row r="927" spans="1:61" s="44" customFormat="1" ht="28.5" customHeight="1">
      <c r="A927" s="887" t="s">
        <v>97</v>
      </c>
      <c r="B927" s="57" t="s">
        <v>89</v>
      </c>
      <c r="C927" s="484"/>
      <c r="D927" s="484"/>
      <c r="E927" s="484"/>
      <c r="F927" s="484"/>
      <c r="G927" s="80">
        <f t="shared" ref="G927:L927" si="276">G931+G937</f>
        <v>1</v>
      </c>
      <c r="H927" s="80">
        <f t="shared" si="276"/>
        <v>0</v>
      </c>
      <c r="I927" s="80">
        <f t="shared" si="276"/>
        <v>0</v>
      </c>
      <c r="J927" s="80">
        <f t="shared" si="276"/>
        <v>0</v>
      </c>
      <c r="K927" s="80">
        <f t="shared" si="276"/>
        <v>1</v>
      </c>
      <c r="L927" s="80">
        <f t="shared" si="276"/>
        <v>0</v>
      </c>
      <c r="M927" s="439">
        <f>M931+M935+M937</f>
        <v>0.8</v>
      </c>
      <c r="N927" s="484"/>
      <c r="O927" s="482"/>
      <c r="AJ927" s="91"/>
      <c r="AK927" s="91"/>
      <c r="AL927" s="91"/>
      <c r="AM927" s="91"/>
      <c r="AN927" s="91"/>
      <c r="AO927" s="91"/>
      <c r="AP927" s="91"/>
      <c r="AQ927" s="91"/>
      <c r="AR927" s="91"/>
      <c r="AS927" s="91"/>
      <c r="AT927" s="91"/>
      <c r="AU927" s="91"/>
      <c r="AV927" s="91"/>
      <c r="AW927" s="91"/>
      <c r="AX927" s="91"/>
      <c r="AY927" s="91"/>
      <c r="AZ927" s="91"/>
      <c r="BA927" s="91"/>
      <c r="BB927" s="91"/>
      <c r="BC927" s="91"/>
      <c r="BD927" s="91"/>
      <c r="BE927" s="91"/>
      <c r="BF927" s="91"/>
      <c r="BG927" s="91"/>
      <c r="BH927" s="91"/>
      <c r="BI927" s="91"/>
    </row>
    <row r="928" spans="1:61" s="44" customFormat="1" ht="31.5" customHeight="1">
      <c r="A928" s="888"/>
      <c r="B928" s="57" t="s">
        <v>25</v>
      </c>
      <c r="C928" s="57"/>
      <c r="D928" s="57"/>
      <c r="E928" s="57"/>
      <c r="F928" s="57"/>
      <c r="G928" s="80">
        <f>G929+G930</f>
        <v>16076.8</v>
      </c>
      <c r="H928" s="80">
        <f t="shared" ref="H928:M928" si="277">H929+H930</f>
        <v>0</v>
      </c>
      <c r="I928" s="80">
        <f t="shared" si="277"/>
        <v>0</v>
      </c>
      <c r="J928" s="80">
        <f t="shared" si="277"/>
        <v>0</v>
      </c>
      <c r="K928" s="80">
        <f t="shared" si="277"/>
        <v>16076.8</v>
      </c>
      <c r="L928" s="80">
        <f t="shared" si="277"/>
        <v>7000</v>
      </c>
      <c r="M928" s="439">
        <f t="shared" si="277"/>
        <v>17753.8</v>
      </c>
      <c r="N928" s="484"/>
      <c r="O928" s="57"/>
      <c r="AJ928" s="91"/>
      <c r="AK928" s="91"/>
      <c r="AL928" s="91"/>
      <c r="AM928" s="91"/>
      <c r="AN928" s="91"/>
      <c r="AO928" s="91"/>
      <c r="AP928" s="91"/>
      <c r="AQ928" s="91"/>
      <c r="AR928" s="91"/>
      <c r="AS928" s="91"/>
      <c r="AT928" s="91"/>
      <c r="AU928" s="91"/>
      <c r="AV928" s="91"/>
      <c r="AW928" s="91"/>
      <c r="AX928" s="91"/>
      <c r="AY928" s="91"/>
      <c r="AZ928" s="91"/>
      <c r="BA928" s="91"/>
      <c r="BB928" s="91"/>
      <c r="BC928" s="91"/>
      <c r="BD928" s="91"/>
      <c r="BE928" s="91"/>
      <c r="BF928" s="91"/>
      <c r="BG928" s="91"/>
      <c r="BH928" s="91"/>
      <c r="BI928" s="91"/>
    </row>
    <row r="929" spans="1:61" s="44" customFormat="1" ht="31.5" customHeight="1">
      <c r="A929" s="888"/>
      <c r="B929" s="57" t="s">
        <v>10</v>
      </c>
      <c r="C929" s="57"/>
      <c r="D929" s="57"/>
      <c r="E929" s="57"/>
      <c r="F929" s="57"/>
      <c r="G929" s="80">
        <f>G933+G936+G938</f>
        <v>16076.8</v>
      </c>
      <c r="H929" s="80">
        <f t="shared" ref="H929:M929" si="278">H933+H936+H938</f>
        <v>0</v>
      </c>
      <c r="I929" s="80">
        <f t="shared" si="278"/>
        <v>0</v>
      </c>
      <c r="J929" s="80">
        <f t="shared" si="278"/>
        <v>0</v>
      </c>
      <c r="K929" s="80">
        <f t="shared" si="278"/>
        <v>16076.8</v>
      </c>
      <c r="L929" s="80">
        <f t="shared" si="278"/>
        <v>7000</v>
      </c>
      <c r="M929" s="80">
        <f t="shared" si="278"/>
        <v>17753.8</v>
      </c>
      <c r="N929" s="484"/>
      <c r="O929" s="320"/>
      <c r="AJ929" s="91"/>
      <c r="AK929" s="91"/>
      <c r="AL929" s="91"/>
      <c r="AM929" s="91"/>
      <c r="AN929" s="91"/>
      <c r="AO929" s="91"/>
      <c r="AP929" s="91"/>
      <c r="AQ929" s="91"/>
      <c r="AR929" s="91"/>
      <c r="AS929" s="91"/>
      <c r="AT929" s="91"/>
      <c r="AU929" s="91"/>
      <c r="AV929" s="91"/>
      <c r="AW929" s="91"/>
      <c r="AX929" s="91"/>
      <c r="AY929" s="91"/>
      <c r="AZ929" s="91"/>
      <c r="BA929" s="91"/>
      <c r="BB929" s="91"/>
      <c r="BC929" s="91"/>
      <c r="BD929" s="91"/>
      <c r="BE929" s="91"/>
      <c r="BF929" s="91"/>
      <c r="BG929" s="91"/>
      <c r="BH929" s="91"/>
      <c r="BI929" s="91"/>
    </row>
    <row r="930" spans="1:61" s="44" customFormat="1" ht="31.5" customHeight="1">
      <c r="A930" s="889"/>
      <c r="B930" s="57" t="s">
        <v>495</v>
      </c>
      <c r="C930" s="57"/>
      <c r="D930" s="57"/>
      <c r="E930" s="57"/>
      <c r="F930" s="57"/>
      <c r="G930" s="80">
        <f>G934</f>
        <v>0</v>
      </c>
      <c r="H930" s="80">
        <f t="shared" ref="H930:M930" si="279">H934</f>
        <v>0</v>
      </c>
      <c r="I930" s="80">
        <f t="shared" si="279"/>
        <v>0</v>
      </c>
      <c r="J930" s="80">
        <f t="shared" si="279"/>
        <v>0</v>
      </c>
      <c r="K930" s="80">
        <f t="shared" si="279"/>
        <v>0</v>
      </c>
      <c r="L930" s="80">
        <f t="shared" si="279"/>
        <v>0</v>
      </c>
      <c r="M930" s="439">
        <f t="shared" si="279"/>
        <v>0</v>
      </c>
      <c r="N930" s="484"/>
      <c r="O930" s="320"/>
      <c r="AJ930" s="91"/>
      <c r="AK930" s="91"/>
      <c r="AL930" s="91"/>
      <c r="AM930" s="91"/>
      <c r="AN930" s="91"/>
      <c r="AO930" s="91"/>
      <c r="AP930" s="91"/>
      <c r="AQ930" s="91"/>
      <c r="AR930" s="91"/>
      <c r="AS930" s="91"/>
      <c r="AT930" s="91"/>
      <c r="AU930" s="91"/>
      <c r="AV930" s="91"/>
      <c r="AW930" s="91"/>
      <c r="AX930" s="91"/>
      <c r="AY930" s="91"/>
      <c r="AZ930" s="91"/>
      <c r="BA930" s="91"/>
      <c r="BB930" s="91"/>
      <c r="BC930" s="91"/>
      <c r="BD930" s="91"/>
      <c r="BE930" s="91"/>
      <c r="BF930" s="91"/>
      <c r="BG930" s="91"/>
      <c r="BH930" s="91"/>
      <c r="BI930" s="91"/>
    </row>
    <row r="931" spans="1:61" s="44" customFormat="1" ht="24" customHeight="1">
      <c r="A931" s="926" t="s">
        <v>1100</v>
      </c>
      <c r="B931" s="484" t="s">
        <v>89</v>
      </c>
      <c r="C931" s="57"/>
      <c r="D931" s="57"/>
      <c r="E931" s="57"/>
      <c r="F931" s="57"/>
      <c r="G931" s="81">
        <f>K931</f>
        <v>0</v>
      </c>
      <c r="H931" s="81"/>
      <c r="I931" s="81"/>
      <c r="J931" s="81"/>
      <c r="K931" s="81">
        <v>0</v>
      </c>
      <c r="L931" s="81"/>
      <c r="M931" s="580"/>
      <c r="N931" s="484"/>
      <c r="O931" s="933" t="s">
        <v>855</v>
      </c>
      <c r="AJ931" s="91"/>
      <c r="AK931" s="91"/>
      <c r="AL931" s="91"/>
      <c r="AM931" s="91"/>
      <c r="AN931" s="91"/>
      <c r="AO931" s="91"/>
      <c r="AP931" s="91"/>
      <c r="AQ931" s="91"/>
      <c r="AR931" s="91"/>
      <c r="AS931" s="91"/>
      <c r="AT931" s="91"/>
      <c r="AU931" s="91"/>
      <c r="AV931" s="91"/>
      <c r="AW931" s="91"/>
      <c r="AX931" s="91"/>
      <c r="AY931" s="91"/>
      <c r="AZ931" s="91"/>
      <c r="BA931" s="91"/>
      <c r="BB931" s="91"/>
      <c r="BC931" s="91"/>
      <c r="BD931" s="91"/>
      <c r="BE931" s="91"/>
      <c r="BF931" s="91"/>
      <c r="BG931" s="91"/>
      <c r="BH931" s="91"/>
      <c r="BI931" s="91"/>
    </row>
    <row r="932" spans="1:61" s="44" customFormat="1" ht="22.5" customHeight="1">
      <c r="A932" s="927"/>
      <c r="B932" s="484" t="s">
        <v>25</v>
      </c>
      <c r="C932" s="57"/>
      <c r="D932" s="57"/>
      <c r="E932" s="57"/>
      <c r="F932" s="57"/>
      <c r="G932" s="81">
        <f>G933+G934</f>
        <v>1000</v>
      </c>
      <c r="H932" s="81">
        <f t="shared" ref="H932:M932" si="280">H933+H934</f>
        <v>0</v>
      </c>
      <c r="I932" s="81">
        <f t="shared" si="280"/>
        <v>0</v>
      </c>
      <c r="J932" s="81">
        <f t="shared" si="280"/>
        <v>0</v>
      </c>
      <c r="K932" s="81">
        <f t="shared" si="280"/>
        <v>1000</v>
      </c>
      <c r="L932" s="81">
        <f t="shared" si="280"/>
        <v>0</v>
      </c>
      <c r="M932" s="580">
        <f t="shared" si="280"/>
        <v>0</v>
      </c>
      <c r="N932" s="484"/>
      <c r="O932" s="946"/>
      <c r="AJ932" s="91"/>
      <c r="AK932" s="91"/>
      <c r="AL932" s="91"/>
      <c r="AM932" s="91"/>
      <c r="AN932" s="91"/>
      <c r="AO932" s="91"/>
      <c r="AP932" s="91"/>
      <c r="AQ932" s="91"/>
      <c r="AR932" s="91"/>
      <c r="AS932" s="91"/>
      <c r="AT932" s="91"/>
      <c r="AU932" s="91"/>
      <c r="AV932" s="91"/>
      <c r="AW932" s="91"/>
      <c r="AX932" s="91"/>
      <c r="AY932" s="91"/>
      <c r="AZ932" s="91"/>
      <c r="BA932" s="91"/>
      <c r="BB932" s="91"/>
      <c r="BC932" s="91"/>
      <c r="BD932" s="91"/>
      <c r="BE932" s="91"/>
      <c r="BF932" s="91"/>
      <c r="BG932" s="91"/>
      <c r="BH932" s="91"/>
      <c r="BI932" s="91"/>
    </row>
    <row r="933" spans="1:61" s="44" customFormat="1" ht="22.5" customHeight="1">
      <c r="A933" s="927"/>
      <c r="B933" s="484" t="s">
        <v>10</v>
      </c>
      <c r="C933" s="57"/>
      <c r="D933" s="57"/>
      <c r="E933" s="57"/>
      <c r="F933" s="57"/>
      <c r="G933" s="81">
        <f t="shared" ref="G933:G946" si="281">K933</f>
        <v>1000</v>
      </c>
      <c r="H933" s="81"/>
      <c r="I933" s="81"/>
      <c r="J933" s="81"/>
      <c r="K933" s="81">
        <v>1000</v>
      </c>
      <c r="L933" s="81"/>
      <c r="M933" s="580"/>
      <c r="N933" s="484"/>
      <c r="O933" s="946"/>
      <c r="AJ933" s="91"/>
      <c r="AK933" s="91"/>
      <c r="AL933" s="91"/>
      <c r="AM933" s="91"/>
      <c r="AN933" s="91"/>
      <c r="AO933" s="91"/>
      <c r="AP933" s="91"/>
      <c r="AQ933" s="91"/>
      <c r="AR933" s="91"/>
      <c r="AS933" s="91"/>
      <c r="AT933" s="91"/>
      <c r="AU933" s="91"/>
      <c r="AV933" s="91"/>
      <c r="AW933" s="91"/>
      <c r="AX933" s="91"/>
      <c r="AY933" s="91"/>
      <c r="AZ933" s="91"/>
      <c r="BA933" s="91"/>
      <c r="BB933" s="91"/>
      <c r="BC933" s="91"/>
      <c r="BD933" s="91"/>
      <c r="BE933" s="91"/>
      <c r="BF933" s="91"/>
      <c r="BG933" s="91"/>
      <c r="BH933" s="91"/>
      <c r="BI933" s="91"/>
    </row>
    <row r="934" spans="1:61" s="44" customFormat="1" ht="22.5" customHeight="1">
      <c r="A934" s="928"/>
      <c r="B934" s="484" t="s">
        <v>495</v>
      </c>
      <c r="C934" s="57"/>
      <c r="D934" s="57"/>
      <c r="E934" s="57"/>
      <c r="F934" s="57"/>
      <c r="G934" s="81">
        <f t="shared" si="281"/>
        <v>0</v>
      </c>
      <c r="H934" s="81"/>
      <c r="I934" s="81"/>
      <c r="J934" s="81"/>
      <c r="K934" s="81"/>
      <c r="L934" s="81"/>
      <c r="M934" s="580"/>
      <c r="N934" s="484"/>
      <c r="O934" s="934"/>
      <c r="AJ934" s="91"/>
      <c r="AK934" s="91"/>
      <c r="AL934" s="91"/>
      <c r="AM934" s="91"/>
      <c r="AN934" s="91"/>
      <c r="AO934" s="91"/>
      <c r="AP934" s="91"/>
      <c r="AQ934" s="91"/>
      <c r="AR934" s="91"/>
      <c r="AS934" s="91"/>
      <c r="AT934" s="91"/>
      <c r="AU934" s="91"/>
      <c r="AV934" s="91"/>
      <c r="AW934" s="91"/>
      <c r="AX934" s="91"/>
      <c r="AY934" s="91"/>
      <c r="AZ934" s="91"/>
      <c r="BA934" s="91"/>
      <c r="BB934" s="91"/>
      <c r="BC934" s="91"/>
      <c r="BD934" s="91"/>
      <c r="BE934" s="91"/>
      <c r="BF934" s="91"/>
      <c r="BG934" s="91"/>
      <c r="BH934" s="91"/>
      <c r="BI934" s="91"/>
    </row>
    <row r="935" spans="1:61" s="44" customFormat="1" ht="21.75" customHeight="1">
      <c r="A935" s="926" t="s">
        <v>988</v>
      </c>
      <c r="B935" s="661" t="s">
        <v>89</v>
      </c>
      <c r="C935" s="662"/>
      <c r="D935" s="662"/>
      <c r="E935" s="662"/>
      <c r="F935" s="662"/>
      <c r="G935" s="81">
        <f t="shared" ref="G935:G936" si="282">K935</f>
        <v>0</v>
      </c>
      <c r="H935" s="81"/>
      <c r="I935" s="81"/>
      <c r="J935" s="81"/>
      <c r="K935" s="81"/>
      <c r="L935" s="81">
        <v>0</v>
      </c>
      <c r="M935" s="580">
        <v>0</v>
      </c>
      <c r="N935" s="661"/>
      <c r="O935" s="933" t="s">
        <v>855</v>
      </c>
      <c r="AJ935" s="91"/>
      <c r="AK935" s="91"/>
      <c r="AL935" s="91"/>
      <c r="AM935" s="91"/>
      <c r="AN935" s="91"/>
      <c r="AO935" s="91"/>
      <c r="AP935" s="91"/>
      <c r="AQ935" s="91"/>
      <c r="AR935" s="91"/>
      <c r="AS935" s="91"/>
      <c r="AT935" s="91"/>
      <c r="AU935" s="91"/>
      <c r="AV935" s="91"/>
      <c r="AW935" s="91"/>
      <c r="AX935" s="91"/>
      <c r="AY935" s="91"/>
      <c r="AZ935" s="91"/>
      <c r="BA935" s="91"/>
      <c r="BB935" s="91"/>
      <c r="BC935" s="91"/>
      <c r="BD935" s="91"/>
      <c r="BE935" s="91"/>
      <c r="BF935" s="91"/>
      <c r="BG935" s="91"/>
      <c r="BH935" s="91"/>
      <c r="BI935" s="91"/>
    </row>
    <row r="936" spans="1:61" ht="28.5" customHeight="1">
      <c r="A936" s="928"/>
      <c r="B936" s="661" t="s">
        <v>246</v>
      </c>
      <c r="C936" s="661">
        <v>176</v>
      </c>
      <c r="D936" s="661" t="s">
        <v>15</v>
      </c>
      <c r="E936" s="661">
        <v>6100404</v>
      </c>
      <c r="F936" s="661">
        <v>244</v>
      </c>
      <c r="G936" s="81">
        <f t="shared" si="282"/>
        <v>2000</v>
      </c>
      <c r="H936" s="81"/>
      <c r="I936" s="81"/>
      <c r="J936" s="81"/>
      <c r="K936" s="81">
        <v>2000</v>
      </c>
      <c r="L936" s="81">
        <v>0</v>
      </c>
      <c r="M936" s="580">
        <f>10000-2800</f>
        <v>7200</v>
      </c>
      <c r="N936" s="661"/>
      <c r="O936" s="934"/>
    </row>
    <row r="937" spans="1:61" s="44" customFormat="1" ht="21.75" customHeight="1">
      <c r="A937" s="926" t="s">
        <v>853</v>
      </c>
      <c r="B937" s="484" t="s">
        <v>89</v>
      </c>
      <c r="C937" s="57"/>
      <c r="D937" s="57"/>
      <c r="E937" s="57"/>
      <c r="F937" s="57"/>
      <c r="G937" s="81">
        <f t="shared" si="281"/>
        <v>1</v>
      </c>
      <c r="H937" s="81"/>
      <c r="I937" s="81"/>
      <c r="J937" s="81"/>
      <c r="K937" s="81">
        <v>1</v>
      </c>
      <c r="L937" s="81"/>
      <c r="M937" s="580">
        <v>0.8</v>
      </c>
      <c r="N937" s="484"/>
      <c r="O937" s="933" t="s">
        <v>1016</v>
      </c>
      <c r="AJ937" s="91"/>
      <c r="AK937" s="91"/>
      <c r="AL937" s="91"/>
      <c r="AM937" s="91"/>
      <c r="AN937" s="91"/>
      <c r="AO937" s="91"/>
      <c r="AP937" s="91"/>
      <c r="AQ937" s="91"/>
      <c r="AR937" s="91"/>
      <c r="AS937" s="91"/>
      <c r="AT937" s="91"/>
      <c r="AU937" s="91"/>
      <c r="AV937" s="91"/>
      <c r="AW937" s="91"/>
      <c r="AX937" s="91"/>
      <c r="AY937" s="91"/>
      <c r="AZ937" s="91"/>
      <c r="BA937" s="91"/>
      <c r="BB937" s="91"/>
      <c r="BC937" s="91"/>
      <c r="BD937" s="91"/>
      <c r="BE937" s="91"/>
      <c r="BF937" s="91"/>
      <c r="BG937" s="91"/>
      <c r="BH937" s="91"/>
      <c r="BI937" s="91"/>
    </row>
    <row r="938" spans="1:61" ht="28.5" customHeight="1">
      <c r="A938" s="928"/>
      <c r="B938" s="484" t="s">
        <v>246</v>
      </c>
      <c r="C938" s="484">
        <v>176</v>
      </c>
      <c r="D938" s="484" t="s">
        <v>15</v>
      </c>
      <c r="E938" s="484">
        <v>6100404</v>
      </c>
      <c r="F938" s="484">
        <v>244</v>
      </c>
      <c r="G938" s="81">
        <f t="shared" si="281"/>
        <v>13076.8</v>
      </c>
      <c r="H938" s="81"/>
      <c r="I938" s="81"/>
      <c r="J938" s="81"/>
      <c r="K938" s="81">
        <v>13076.8</v>
      </c>
      <c r="L938" s="81">
        <f>16000+1000-16000+6000</f>
        <v>7000</v>
      </c>
      <c r="M938" s="580">
        <v>10553.8</v>
      </c>
      <c r="N938" s="484"/>
      <c r="O938" s="934"/>
    </row>
    <row r="939" spans="1:61" ht="24.6" customHeight="1">
      <c r="A939" s="887" t="s">
        <v>98</v>
      </c>
      <c r="B939" s="57" t="s">
        <v>573</v>
      </c>
      <c r="C939" s="484"/>
      <c r="D939" s="484"/>
      <c r="E939" s="484"/>
      <c r="F939" s="484"/>
      <c r="G939" s="80">
        <f>G943+G947+G949</f>
        <v>1</v>
      </c>
      <c r="H939" s="80">
        <f t="shared" ref="H939:M939" si="283">H943+H947+H949</f>
        <v>0</v>
      </c>
      <c r="I939" s="80">
        <f t="shared" si="283"/>
        <v>0</v>
      </c>
      <c r="J939" s="80">
        <f t="shared" si="283"/>
        <v>0</v>
      </c>
      <c r="K939" s="80">
        <f t="shared" si="283"/>
        <v>1</v>
      </c>
      <c r="L939" s="80">
        <f t="shared" si="283"/>
        <v>0</v>
      </c>
      <c r="M939" s="439">
        <f t="shared" si="283"/>
        <v>0.8</v>
      </c>
      <c r="N939" s="484"/>
      <c r="O939" s="484"/>
    </row>
    <row r="940" spans="1:61" ht="24.6" customHeight="1">
      <c r="A940" s="888"/>
      <c r="B940" s="57" t="s">
        <v>25</v>
      </c>
      <c r="C940" s="484"/>
      <c r="D940" s="484"/>
      <c r="E940" s="484"/>
      <c r="F940" s="484"/>
      <c r="G940" s="80">
        <f>G941+G942</f>
        <v>16032</v>
      </c>
      <c r="H940" s="80">
        <f t="shared" ref="H940:M940" si="284">H941+H942</f>
        <v>0</v>
      </c>
      <c r="I940" s="80">
        <f t="shared" si="284"/>
        <v>0</v>
      </c>
      <c r="J940" s="80">
        <f t="shared" si="284"/>
        <v>0</v>
      </c>
      <c r="K940" s="80">
        <f t="shared" si="284"/>
        <v>16032</v>
      </c>
      <c r="L940" s="80">
        <f t="shared" si="284"/>
        <v>0</v>
      </c>
      <c r="M940" s="439">
        <f t="shared" si="284"/>
        <v>10094.799999999999</v>
      </c>
      <c r="N940" s="484"/>
      <c r="O940" s="484"/>
    </row>
    <row r="941" spans="1:61" ht="24.6" customHeight="1">
      <c r="A941" s="888"/>
      <c r="B941" s="57" t="s">
        <v>10</v>
      </c>
      <c r="C941" s="484"/>
      <c r="D941" s="484"/>
      <c r="E941" s="484"/>
      <c r="F941" s="484"/>
      <c r="G941" s="80">
        <f>G945+G948+G950</f>
        <v>16032</v>
      </c>
      <c r="H941" s="80">
        <f t="shared" ref="H941:M941" si="285">H945+H948+H950</f>
        <v>0</v>
      </c>
      <c r="I941" s="80">
        <f t="shared" si="285"/>
        <v>0</v>
      </c>
      <c r="J941" s="80">
        <f t="shared" si="285"/>
        <v>0</v>
      </c>
      <c r="K941" s="80">
        <f t="shared" si="285"/>
        <v>16032</v>
      </c>
      <c r="L941" s="80">
        <f t="shared" si="285"/>
        <v>0</v>
      </c>
      <c r="M941" s="439">
        <f t="shared" si="285"/>
        <v>10094.799999999999</v>
      </c>
      <c r="N941" s="484"/>
      <c r="O941" s="484"/>
    </row>
    <row r="942" spans="1:61" ht="24.6" customHeight="1">
      <c r="A942" s="889"/>
      <c r="B942" s="57" t="s">
        <v>495</v>
      </c>
      <c r="C942" s="484"/>
      <c r="D942" s="484"/>
      <c r="E942" s="484"/>
      <c r="F942" s="484"/>
      <c r="G942" s="80">
        <f>G946</f>
        <v>0</v>
      </c>
      <c r="H942" s="80">
        <f t="shared" ref="H942:M942" si="286">H946</f>
        <v>0</v>
      </c>
      <c r="I942" s="80">
        <f t="shared" si="286"/>
        <v>0</v>
      </c>
      <c r="J942" s="80">
        <f t="shared" si="286"/>
        <v>0</v>
      </c>
      <c r="K942" s="80">
        <f t="shared" si="286"/>
        <v>0</v>
      </c>
      <c r="L942" s="80">
        <f t="shared" si="286"/>
        <v>0</v>
      </c>
      <c r="M942" s="439">
        <f t="shared" si="286"/>
        <v>0</v>
      </c>
      <c r="N942" s="484"/>
      <c r="O942" s="484"/>
    </row>
    <row r="943" spans="1:61" ht="24.6" hidden="1" customHeight="1">
      <c r="A943" s="926" t="s">
        <v>567</v>
      </c>
      <c r="B943" s="484" t="s">
        <v>573</v>
      </c>
      <c r="C943" s="484"/>
      <c r="D943" s="484"/>
      <c r="E943" s="484"/>
      <c r="F943" s="484"/>
      <c r="G943" s="81">
        <f t="shared" si="281"/>
        <v>0</v>
      </c>
      <c r="H943" s="81"/>
      <c r="I943" s="81"/>
      <c r="J943" s="81"/>
      <c r="K943" s="81"/>
      <c r="L943" s="81"/>
      <c r="M943" s="580"/>
      <c r="N943" s="484"/>
      <c r="O943" s="933" t="s">
        <v>563</v>
      </c>
    </row>
    <row r="944" spans="1:61" ht="23.25" hidden="1" customHeight="1">
      <c r="A944" s="927"/>
      <c r="B944" s="484" t="s">
        <v>25</v>
      </c>
      <c r="C944" s="484"/>
      <c r="D944" s="484"/>
      <c r="E944" s="484"/>
      <c r="F944" s="484"/>
      <c r="G944" s="81">
        <f t="shared" si="281"/>
        <v>0</v>
      </c>
      <c r="H944" s="81"/>
      <c r="I944" s="81"/>
      <c r="J944" s="81"/>
      <c r="K944" s="81">
        <f>K945+K946</f>
        <v>0</v>
      </c>
      <c r="L944" s="81">
        <f t="shared" ref="L944:M944" si="287">L945+L946</f>
        <v>0</v>
      </c>
      <c r="M944" s="580">
        <f t="shared" si="287"/>
        <v>0</v>
      </c>
      <c r="N944" s="484"/>
      <c r="O944" s="946"/>
    </row>
    <row r="945" spans="1:61" ht="24.75" hidden="1" customHeight="1">
      <c r="A945" s="927"/>
      <c r="B945" s="484" t="s">
        <v>10</v>
      </c>
      <c r="C945" s="484"/>
      <c r="D945" s="484"/>
      <c r="E945" s="484"/>
      <c r="F945" s="484"/>
      <c r="G945" s="81">
        <f t="shared" si="281"/>
        <v>0</v>
      </c>
      <c r="H945" s="81"/>
      <c r="I945" s="81"/>
      <c r="J945" s="81"/>
      <c r="K945" s="81"/>
      <c r="L945" s="81"/>
      <c r="M945" s="580"/>
      <c r="N945" s="484"/>
      <c r="O945" s="946"/>
    </row>
    <row r="946" spans="1:61" ht="24" hidden="1" customHeight="1">
      <c r="A946" s="928"/>
      <c r="B946" s="484" t="s">
        <v>495</v>
      </c>
      <c r="C946" s="484"/>
      <c r="D946" s="484"/>
      <c r="E946" s="484"/>
      <c r="F946" s="484"/>
      <c r="G946" s="81">
        <f t="shared" si="281"/>
        <v>0</v>
      </c>
      <c r="H946" s="81"/>
      <c r="I946" s="81"/>
      <c r="J946" s="81"/>
      <c r="K946" s="81"/>
      <c r="L946" s="81"/>
      <c r="M946" s="580"/>
      <c r="N946" s="484"/>
      <c r="O946" s="934"/>
    </row>
    <row r="947" spans="1:61" ht="23.25" customHeight="1">
      <c r="A947" s="926" t="s">
        <v>568</v>
      </c>
      <c r="B947" s="484" t="s">
        <v>89</v>
      </c>
      <c r="C947" s="484"/>
      <c r="D947" s="484"/>
      <c r="E947" s="484"/>
      <c r="F947" s="484"/>
      <c r="G947" s="80"/>
      <c r="H947" s="81"/>
      <c r="I947" s="81"/>
      <c r="J947" s="81"/>
      <c r="K947" s="81"/>
      <c r="L947" s="81"/>
      <c r="M947" s="580"/>
      <c r="N947" s="484"/>
      <c r="O947" s="933" t="s">
        <v>855</v>
      </c>
    </row>
    <row r="948" spans="1:61" ht="27" customHeight="1">
      <c r="A948" s="928"/>
      <c r="B948" s="484" t="s">
        <v>246</v>
      </c>
      <c r="C948" s="484"/>
      <c r="D948" s="484"/>
      <c r="E948" s="484"/>
      <c r="F948" s="484"/>
      <c r="G948" s="81">
        <f>K948</f>
        <v>4500</v>
      </c>
      <c r="H948" s="81"/>
      <c r="I948" s="81"/>
      <c r="J948" s="81"/>
      <c r="K948" s="81">
        <v>4500</v>
      </c>
      <c r="L948" s="81"/>
      <c r="M948" s="580"/>
      <c r="N948" s="484"/>
      <c r="O948" s="934"/>
    </row>
    <row r="949" spans="1:61" ht="21.75" customHeight="1">
      <c r="A949" s="926" t="s">
        <v>853</v>
      </c>
      <c r="B949" s="484" t="s">
        <v>89</v>
      </c>
      <c r="C949" s="484"/>
      <c r="D949" s="484"/>
      <c r="E949" s="484"/>
      <c r="F949" s="484"/>
      <c r="G949" s="81">
        <f t="shared" ref="G949:G950" si="288">K949</f>
        <v>1</v>
      </c>
      <c r="H949" s="81"/>
      <c r="I949" s="81"/>
      <c r="J949" s="81"/>
      <c r="K949" s="81">
        <v>1</v>
      </c>
      <c r="L949" s="81"/>
      <c r="M949" s="580">
        <v>0.8</v>
      </c>
      <c r="N949" s="484"/>
      <c r="O949" s="933" t="s">
        <v>1016</v>
      </c>
    </row>
    <row r="950" spans="1:61" ht="24" customHeight="1">
      <c r="A950" s="928"/>
      <c r="B950" s="484" t="s">
        <v>246</v>
      </c>
      <c r="C950" s="484"/>
      <c r="D950" s="484"/>
      <c r="E950" s="484"/>
      <c r="F950" s="484"/>
      <c r="G950" s="81">
        <f t="shared" si="288"/>
        <v>11532</v>
      </c>
      <c r="H950" s="81"/>
      <c r="I950" s="81"/>
      <c r="J950" s="81"/>
      <c r="K950" s="81">
        <v>11532</v>
      </c>
      <c r="L950" s="81">
        <v>0</v>
      </c>
      <c r="M950" s="580">
        <v>10094.799999999999</v>
      </c>
      <c r="N950" s="484"/>
      <c r="O950" s="934"/>
    </row>
    <row r="951" spans="1:61" ht="23.45" customHeight="1">
      <c r="A951" s="945" t="s">
        <v>99</v>
      </c>
      <c r="B951" s="57" t="s">
        <v>89</v>
      </c>
      <c r="C951" s="57"/>
      <c r="D951" s="57"/>
      <c r="E951" s="57"/>
      <c r="F951" s="57"/>
      <c r="G951" s="80">
        <f>G959+G963</f>
        <v>1.2</v>
      </c>
      <c r="H951" s="80">
        <f t="shared" ref="H951:M951" si="289">H959+H963</f>
        <v>0</v>
      </c>
      <c r="I951" s="80">
        <f t="shared" si="289"/>
        <v>0</v>
      </c>
      <c r="J951" s="80">
        <f t="shared" si="289"/>
        <v>0</v>
      </c>
      <c r="K951" s="80">
        <f t="shared" si="289"/>
        <v>1.2</v>
      </c>
      <c r="L951" s="80">
        <f t="shared" si="289"/>
        <v>0</v>
      </c>
      <c r="M951" s="80">
        <f t="shared" si="289"/>
        <v>1</v>
      </c>
      <c r="N951" s="484"/>
      <c r="O951" s="57"/>
    </row>
    <row r="952" spans="1:61" ht="23.45" customHeight="1">
      <c r="A952" s="945"/>
      <c r="B952" s="57" t="s">
        <v>25</v>
      </c>
      <c r="C952" s="57"/>
      <c r="D952" s="57"/>
      <c r="E952" s="57"/>
      <c r="F952" s="57"/>
      <c r="G952" s="80">
        <f>G953+G954</f>
        <v>15365.2</v>
      </c>
      <c r="H952" s="80">
        <f t="shared" ref="H952:M952" si="290">H953+H954</f>
        <v>0</v>
      </c>
      <c r="I952" s="80">
        <f t="shared" si="290"/>
        <v>0</v>
      </c>
      <c r="J952" s="80">
        <f t="shared" si="290"/>
        <v>0</v>
      </c>
      <c r="K952" s="80">
        <f t="shared" si="290"/>
        <v>15365.2</v>
      </c>
      <c r="L952" s="80">
        <f t="shared" si="290"/>
        <v>0</v>
      </c>
      <c r="M952" s="80">
        <f t="shared" si="290"/>
        <v>39474.199999999997</v>
      </c>
      <c r="N952" s="484"/>
      <c r="O952" s="57"/>
    </row>
    <row r="953" spans="1:61" ht="23.45" customHeight="1">
      <c r="A953" s="945"/>
      <c r="B953" s="57" t="s">
        <v>10</v>
      </c>
      <c r="C953" s="57"/>
      <c r="D953" s="57"/>
      <c r="E953" s="57"/>
      <c r="F953" s="57"/>
      <c r="G953" s="80">
        <f>G957+G961+G965</f>
        <v>15365.2</v>
      </c>
      <c r="H953" s="80">
        <f t="shared" ref="H953:M953" si="291">H957+H961+H965</f>
        <v>0</v>
      </c>
      <c r="I953" s="80">
        <f t="shared" si="291"/>
        <v>0</v>
      </c>
      <c r="J953" s="80">
        <f t="shared" si="291"/>
        <v>0</v>
      </c>
      <c r="K953" s="80">
        <f t="shared" si="291"/>
        <v>15365.2</v>
      </c>
      <c r="L953" s="80">
        <f t="shared" si="291"/>
        <v>0</v>
      </c>
      <c r="M953" s="80">
        <f t="shared" si="291"/>
        <v>39474.199999999997</v>
      </c>
      <c r="N953" s="484"/>
      <c r="O953" s="57"/>
    </row>
    <row r="954" spans="1:61" ht="30" customHeight="1">
      <c r="A954" s="945"/>
      <c r="B954" s="57" t="s">
        <v>495</v>
      </c>
      <c r="C954" s="57"/>
      <c r="D954" s="57"/>
      <c r="E954" s="57"/>
      <c r="F954" s="57"/>
      <c r="G954" s="80">
        <f>G962+G966</f>
        <v>0</v>
      </c>
      <c r="H954" s="80">
        <f t="shared" ref="H954:K954" si="292">H962+H966</f>
        <v>0</v>
      </c>
      <c r="I954" s="80">
        <f t="shared" si="292"/>
        <v>0</v>
      </c>
      <c r="J954" s="80">
        <f t="shared" si="292"/>
        <v>0</v>
      </c>
      <c r="K954" s="80">
        <f t="shared" si="292"/>
        <v>0</v>
      </c>
      <c r="L954" s="80">
        <f t="shared" ref="L954:M954" si="293">L962</f>
        <v>0</v>
      </c>
      <c r="M954" s="439">
        <f t="shared" si="293"/>
        <v>0</v>
      </c>
      <c r="N954" s="484"/>
      <c r="O954" s="57"/>
    </row>
    <row r="955" spans="1:61" ht="24.6" customHeight="1">
      <c r="A955" s="926" t="s">
        <v>570</v>
      </c>
      <c r="B955" s="661" t="s">
        <v>89</v>
      </c>
      <c r="C955" s="661">
        <v>176</v>
      </c>
      <c r="D955" s="661" t="s">
        <v>15</v>
      </c>
      <c r="E955" s="661">
        <v>6100404</v>
      </c>
      <c r="F955" s="661">
        <v>244</v>
      </c>
      <c r="G955" s="81">
        <f t="shared" ref="G955:G958" si="294">K955</f>
        <v>0</v>
      </c>
      <c r="H955" s="81"/>
      <c r="I955" s="81"/>
      <c r="J955" s="81"/>
      <c r="K955" s="81"/>
      <c r="L955" s="81"/>
      <c r="M955" s="580"/>
      <c r="N955" s="661"/>
      <c r="O955" s="933" t="s">
        <v>855</v>
      </c>
    </row>
    <row r="956" spans="1:61" ht="24.6" customHeight="1">
      <c r="A956" s="927"/>
      <c r="B956" s="661" t="s">
        <v>25</v>
      </c>
      <c r="C956" s="661"/>
      <c r="D956" s="661"/>
      <c r="E956" s="661"/>
      <c r="F956" s="661"/>
      <c r="G956" s="81">
        <f t="shared" si="294"/>
        <v>1000</v>
      </c>
      <c r="H956" s="81"/>
      <c r="I956" s="81"/>
      <c r="J956" s="81"/>
      <c r="K956" s="81">
        <f>K957+K958</f>
        <v>1000</v>
      </c>
      <c r="L956" s="81">
        <f t="shared" ref="L956:M956" si="295">L957+L958</f>
        <v>0</v>
      </c>
      <c r="M956" s="580">
        <f t="shared" si="295"/>
        <v>20000</v>
      </c>
      <c r="N956" s="661"/>
      <c r="O956" s="946"/>
    </row>
    <row r="957" spans="1:61" ht="24.6" customHeight="1">
      <c r="A957" s="927"/>
      <c r="B957" s="661" t="s">
        <v>10</v>
      </c>
      <c r="C957" s="661"/>
      <c r="D957" s="661"/>
      <c r="E957" s="661"/>
      <c r="F957" s="661"/>
      <c r="G957" s="81">
        <f t="shared" si="294"/>
        <v>1000</v>
      </c>
      <c r="H957" s="81"/>
      <c r="I957" s="81"/>
      <c r="J957" s="81"/>
      <c r="K957" s="81">
        <v>1000</v>
      </c>
      <c r="L957" s="81"/>
      <c r="M957" s="580">
        <v>20000</v>
      </c>
      <c r="N957" s="661"/>
      <c r="O957" s="946"/>
    </row>
    <row r="958" spans="1:61" s="44" customFormat="1" ht="21" hidden="1" customHeight="1">
      <c r="A958" s="928"/>
      <c r="B958" s="661" t="s">
        <v>495</v>
      </c>
      <c r="C958" s="661"/>
      <c r="D958" s="661"/>
      <c r="E958" s="661"/>
      <c r="F958" s="661"/>
      <c r="G958" s="81">
        <f t="shared" si="294"/>
        <v>0</v>
      </c>
      <c r="H958" s="81"/>
      <c r="I958" s="81"/>
      <c r="J958" s="81"/>
      <c r="K958" s="81"/>
      <c r="L958" s="81"/>
      <c r="M958" s="580"/>
      <c r="N958" s="661"/>
      <c r="O958" s="934"/>
      <c r="AJ958" s="91"/>
      <c r="AK958" s="91"/>
      <c r="AL958" s="91"/>
      <c r="AM958" s="91"/>
      <c r="AN958" s="91"/>
      <c r="AO958" s="91"/>
      <c r="AP958" s="91"/>
      <c r="AQ958" s="91"/>
      <c r="AR958" s="91"/>
      <c r="AS958" s="91"/>
      <c r="AT958" s="91"/>
      <c r="AU958" s="91"/>
      <c r="AV958" s="91"/>
      <c r="AW958" s="91"/>
      <c r="AX958" s="91"/>
      <c r="AY958" s="91"/>
      <c r="AZ958" s="91"/>
      <c r="BA958" s="91"/>
      <c r="BB958" s="91"/>
      <c r="BC958" s="91"/>
      <c r="BD958" s="91"/>
      <c r="BE958" s="91"/>
      <c r="BF958" s="91"/>
      <c r="BG958" s="91"/>
      <c r="BH958" s="91"/>
      <c r="BI958" s="91"/>
    </row>
    <row r="959" spans="1:61" ht="24.6" customHeight="1">
      <c r="A959" s="926" t="s">
        <v>989</v>
      </c>
      <c r="B959" s="484" t="s">
        <v>89</v>
      </c>
      <c r="C959" s="484">
        <v>176</v>
      </c>
      <c r="D959" s="484" t="s">
        <v>15</v>
      </c>
      <c r="E959" s="484">
        <v>6100404</v>
      </c>
      <c r="F959" s="484">
        <v>244</v>
      </c>
      <c r="G959" s="81">
        <f t="shared" ref="G959:G966" si="296">K959</f>
        <v>0</v>
      </c>
      <c r="H959" s="81"/>
      <c r="I959" s="81"/>
      <c r="J959" s="81"/>
      <c r="K959" s="81"/>
      <c r="L959" s="81"/>
      <c r="M959" s="580"/>
      <c r="N959" s="484"/>
      <c r="O959" s="933" t="s">
        <v>855</v>
      </c>
    </row>
    <row r="960" spans="1:61" ht="24.6" customHeight="1">
      <c r="A960" s="927"/>
      <c r="B960" s="484" t="s">
        <v>25</v>
      </c>
      <c r="C960" s="484"/>
      <c r="D960" s="484"/>
      <c r="E960" s="484"/>
      <c r="F960" s="484"/>
      <c r="G960" s="81">
        <f t="shared" si="296"/>
        <v>0</v>
      </c>
      <c r="H960" s="81"/>
      <c r="I960" s="81"/>
      <c r="J960" s="81"/>
      <c r="K960" s="81">
        <f>K961+K962</f>
        <v>0</v>
      </c>
      <c r="L960" s="81">
        <f t="shared" ref="L960:M960" si="297">L961+L962</f>
        <v>0</v>
      </c>
      <c r="M960" s="580">
        <f t="shared" si="297"/>
        <v>7000</v>
      </c>
      <c r="N960" s="484"/>
      <c r="O960" s="946"/>
    </row>
    <row r="961" spans="1:61" ht="24.6" customHeight="1">
      <c r="A961" s="927"/>
      <c r="B961" s="484" t="s">
        <v>10</v>
      </c>
      <c r="C961" s="484"/>
      <c r="D961" s="484"/>
      <c r="E961" s="484"/>
      <c r="F961" s="484"/>
      <c r="G961" s="81">
        <f t="shared" si="296"/>
        <v>0</v>
      </c>
      <c r="H961" s="81"/>
      <c r="I961" s="81"/>
      <c r="J961" s="81"/>
      <c r="K961" s="81">
        <v>0</v>
      </c>
      <c r="L961" s="81"/>
      <c r="M961" s="580">
        <v>7000</v>
      </c>
      <c r="N961" s="484"/>
      <c r="O961" s="946"/>
    </row>
    <row r="962" spans="1:61" s="44" customFormat="1" ht="21" hidden="1" customHeight="1">
      <c r="A962" s="928"/>
      <c r="B962" s="484" t="s">
        <v>495</v>
      </c>
      <c r="C962" s="484"/>
      <c r="D962" s="484"/>
      <c r="E962" s="484"/>
      <c r="F962" s="484"/>
      <c r="G962" s="81">
        <f t="shared" si="296"/>
        <v>0</v>
      </c>
      <c r="H962" s="81"/>
      <c r="I962" s="81"/>
      <c r="J962" s="81"/>
      <c r="K962" s="81"/>
      <c r="L962" s="81"/>
      <c r="M962" s="580"/>
      <c r="N962" s="484"/>
      <c r="O962" s="934"/>
      <c r="AJ962" s="91"/>
      <c r="AK962" s="91"/>
      <c r="AL962" s="91"/>
      <c r="AM962" s="91"/>
      <c r="AN962" s="91"/>
      <c r="AO962" s="91"/>
      <c r="AP962" s="91"/>
      <c r="AQ962" s="91"/>
      <c r="AR962" s="91"/>
      <c r="AS962" s="91"/>
      <c r="AT962" s="91"/>
      <c r="AU962" s="91"/>
      <c r="AV962" s="91"/>
      <c r="AW962" s="91"/>
      <c r="AX962" s="91"/>
      <c r="AY962" s="91"/>
      <c r="AZ962" s="91"/>
      <c r="BA962" s="91"/>
      <c r="BB962" s="91"/>
      <c r="BC962" s="91"/>
      <c r="BD962" s="91"/>
      <c r="BE962" s="91"/>
      <c r="BF962" s="91"/>
      <c r="BG962" s="91"/>
      <c r="BH962" s="91"/>
      <c r="BI962" s="91"/>
    </row>
    <row r="963" spans="1:61" s="44" customFormat="1" ht="22.15" customHeight="1">
      <c r="A963" s="932" t="s">
        <v>853</v>
      </c>
      <c r="B963" s="484" t="s">
        <v>573</v>
      </c>
      <c r="C963" s="484">
        <v>176</v>
      </c>
      <c r="D963" s="484" t="s">
        <v>15</v>
      </c>
      <c r="E963" s="484">
        <v>6100404</v>
      </c>
      <c r="F963" s="484">
        <v>244</v>
      </c>
      <c r="G963" s="81">
        <f t="shared" si="296"/>
        <v>1.2</v>
      </c>
      <c r="H963" s="81"/>
      <c r="I963" s="81"/>
      <c r="J963" s="81"/>
      <c r="K963" s="81">
        <v>1.2</v>
      </c>
      <c r="L963" s="81"/>
      <c r="M963" s="580">
        <v>1</v>
      </c>
      <c r="N963" s="484"/>
      <c r="O963" s="944" t="s">
        <v>586</v>
      </c>
      <c r="AJ963" s="91"/>
      <c r="AK963" s="91"/>
      <c r="AL963" s="91"/>
      <c r="AM963" s="91"/>
      <c r="AN963" s="91"/>
      <c r="AO963" s="91"/>
      <c r="AP963" s="91"/>
      <c r="AQ963" s="91"/>
      <c r="AR963" s="91"/>
      <c r="AS963" s="91"/>
      <c r="AT963" s="91"/>
      <c r="AU963" s="91"/>
      <c r="AV963" s="91"/>
      <c r="AW963" s="91"/>
      <c r="AX963" s="91"/>
      <c r="AY963" s="91"/>
      <c r="AZ963" s="91"/>
      <c r="BA963" s="91"/>
      <c r="BB963" s="91"/>
      <c r="BC963" s="91"/>
      <c r="BD963" s="91"/>
      <c r="BE963" s="91"/>
      <c r="BF963" s="91"/>
      <c r="BG963" s="91"/>
      <c r="BH963" s="91"/>
      <c r="BI963" s="91"/>
    </row>
    <row r="964" spans="1:61" s="44" customFormat="1" ht="24.75" customHeight="1">
      <c r="A964" s="932"/>
      <c r="B964" s="484" t="s">
        <v>25</v>
      </c>
      <c r="C964" s="484"/>
      <c r="D964" s="484"/>
      <c r="E964" s="484"/>
      <c r="F964" s="484"/>
      <c r="G964" s="81">
        <f t="shared" si="296"/>
        <v>14365.2</v>
      </c>
      <c r="H964" s="81"/>
      <c r="I964" s="81"/>
      <c r="J964" s="81"/>
      <c r="K964" s="81">
        <f>K965+K966</f>
        <v>14365.2</v>
      </c>
      <c r="L964" s="81">
        <f>L965+L966</f>
        <v>0</v>
      </c>
      <c r="M964" s="580">
        <f>M965+M966</f>
        <v>12474.2</v>
      </c>
      <c r="N964" s="484"/>
      <c r="O964" s="944"/>
      <c r="AJ964" s="91"/>
      <c r="AK964" s="91"/>
      <c r="AL964" s="91"/>
      <c r="AM964" s="91"/>
      <c r="AN964" s="91"/>
      <c r="AO964" s="91"/>
      <c r="AP964" s="91"/>
      <c r="AQ964" s="91"/>
      <c r="AR964" s="91"/>
      <c r="AS964" s="91"/>
      <c r="AT964" s="91"/>
      <c r="AU964" s="91"/>
      <c r="AV964" s="91"/>
      <c r="AW964" s="91"/>
      <c r="AX964" s="91"/>
      <c r="AY964" s="91"/>
      <c r="AZ964" s="91"/>
      <c r="BA964" s="91"/>
      <c r="BB964" s="91"/>
      <c r="BC964" s="91"/>
      <c r="BD964" s="91"/>
      <c r="BE964" s="91"/>
      <c r="BF964" s="91"/>
      <c r="BG964" s="91"/>
      <c r="BH964" s="91"/>
      <c r="BI964" s="91"/>
    </row>
    <row r="965" spans="1:61" s="44" customFormat="1" ht="22.15" customHeight="1">
      <c r="A965" s="932"/>
      <c r="B965" s="484" t="s">
        <v>10</v>
      </c>
      <c r="C965" s="484"/>
      <c r="D965" s="484"/>
      <c r="E965" s="484"/>
      <c r="F965" s="484"/>
      <c r="G965" s="81">
        <f t="shared" si="296"/>
        <v>14365.2</v>
      </c>
      <c r="H965" s="81"/>
      <c r="I965" s="81"/>
      <c r="J965" s="81"/>
      <c r="K965" s="81">
        <v>14365.2</v>
      </c>
      <c r="L965" s="81">
        <f>16000-16000</f>
        <v>0</v>
      </c>
      <c r="M965" s="580">
        <v>12474.2</v>
      </c>
      <c r="N965" s="484"/>
      <c r="O965" s="944"/>
      <c r="AJ965" s="91"/>
      <c r="AK965" s="91"/>
      <c r="AL965" s="91"/>
      <c r="AM965" s="91"/>
      <c r="AN965" s="91"/>
      <c r="AO965" s="91"/>
      <c r="AP965" s="91"/>
      <c r="AQ965" s="91"/>
      <c r="AR965" s="91"/>
      <c r="AS965" s="91"/>
      <c r="AT965" s="91"/>
      <c r="AU965" s="91"/>
      <c r="AV965" s="91"/>
      <c r="AW965" s="91"/>
      <c r="AX965" s="91"/>
      <c r="AY965" s="91"/>
      <c r="AZ965" s="91"/>
      <c r="BA965" s="91"/>
      <c r="BB965" s="91"/>
      <c r="BC965" s="91"/>
      <c r="BD965" s="91"/>
      <c r="BE965" s="91"/>
      <c r="BF965" s="91"/>
      <c r="BG965" s="91"/>
      <c r="BH965" s="91"/>
      <c r="BI965" s="91"/>
    </row>
    <row r="966" spans="1:61" ht="24.6" hidden="1" customHeight="1">
      <c r="A966" s="932"/>
      <c r="B966" s="484" t="s">
        <v>495</v>
      </c>
      <c r="C966" s="484"/>
      <c r="D966" s="484"/>
      <c r="E966" s="484"/>
      <c r="F966" s="484"/>
      <c r="G966" s="81">
        <f t="shared" si="296"/>
        <v>0</v>
      </c>
      <c r="H966" s="81"/>
      <c r="I966" s="81"/>
      <c r="J966" s="81"/>
      <c r="K966" s="81"/>
      <c r="L966" s="81"/>
      <c r="M966" s="580">
        <v>0</v>
      </c>
      <c r="N966" s="484"/>
      <c r="O966" s="944"/>
    </row>
    <row r="967" spans="1:61" ht="25.9" customHeight="1">
      <c r="A967" s="945" t="s">
        <v>117</v>
      </c>
      <c r="B967" s="57" t="s">
        <v>89</v>
      </c>
      <c r="C967" s="57"/>
      <c r="D967" s="57"/>
      <c r="E967" s="57"/>
      <c r="F967" s="57"/>
      <c r="G967" s="80">
        <f t="shared" ref="G967:L967" si="298">G983+G987</f>
        <v>1.2</v>
      </c>
      <c r="H967" s="80">
        <f t="shared" si="298"/>
        <v>0</v>
      </c>
      <c r="I967" s="80">
        <f t="shared" si="298"/>
        <v>0</v>
      </c>
      <c r="J967" s="80">
        <f t="shared" si="298"/>
        <v>0</v>
      </c>
      <c r="K967" s="80">
        <f t="shared" si="298"/>
        <v>1.2</v>
      </c>
      <c r="L967" s="80">
        <f t="shared" si="298"/>
        <v>0</v>
      </c>
      <c r="M967" s="439">
        <f>M983+M971+M975+M979+M987</f>
        <v>7</v>
      </c>
      <c r="N967" s="484"/>
      <c r="O967" s="57"/>
    </row>
    <row r="968" spans="1:61" ht="25.9" customHeight="1">
      <c r="A968" s="945"/>
      <c r="B968" s="57" t="s">
        <v>25</v>
      </c>
      <c r="C968" s="57"/>
      <c r="D968" s="57"/>
      <c r="E968" s="57"/>
      <c r="F968" s="57"/>
      <c r="G968" s="80">
        <f>G969+G970</f>
        <v>62595.1</v>
      </c>
      <c r="H968" s="80">
        <f t="shared" ref="H968:M968" si="299">H969+H970</f>
        <v>0</v>
      </c>
      <c r="I968" s="80">
        <f t="shared" si="299"/>
        <v>0</v>
      </c>
      <c r="J968" s="80">
        <f t="shared" si="299"/>
        <v>0</v>
      </c>
      <c r="K968" s="80">
        <f t="shared" si="299"/>
        <v>62595.1</v>
      </c>
      <c r="L968" s="80">
        <f t="shared" si="299"/>
        <v>15300.1</v>
      </c>
      <c r="M968" s="80">
        <f t="shared" si="299"/>
        <v>162454.20000000001</v>
      </c>
      <c r="N968" s="484"/>
      <c r="O968" s="57"/>
    </row>
    <row r="969" spans="1:61" ht="25.9" customHeight="1">
      <c r="A969" s="945"/>
      <c r="B969" s="57" t="s">
        <v>10</v>
      </c>
      <c r="C969" s="57"/>
      <c r="D969" s="57"/>
      <c r="E969" s="57"/>
      <c r="F969" s="57"/>
      <c r="G969" s="80">
        <f>G973+G977+G981+G985+G989</f>
        <v>62595.1</v>
      </c>
      <c r="H969" s="80">
        <f t="shared" ref="H969:M969" si="300">H973+H977+H981+H985+H989</f>
        <v>0</v>
      </c>
      <c r="I969" s="80">
        <f t="shared" si="300"/>
        <v>0</v>
      </c>
      <c r="J969" s="80">
        <f t="shared" si="300"/>
        <v>0</v>
      </c>
      <c r="K969" s="80">
        <f t="shared" si="300"/>
        <v>62595.1</v>
      </c>
      <c r="L969" s="80">
        <f t="shared" si="300"/>
        <v>15300.1</v>
      </c>
      <c r="M969" s="80">
        <f t="shared" si="300"/>
        <v>162454.20000000001</v>
      </c>
      <c r="N969" s="484"/>
      <c r="O969" s="57"/>
    </row>
    <row r="970" spans="1:61" s="44" customFormat="1" ht="30.6" customHeight="1">
      <c r="A970" s="945"/>
      <c r="B970" s="57" t="s">
        <v>495</v>
      </c>
      <c r="C970" s="57"/>
      <c r="D970" s="57"/>
      <c r="E970" s="57"/>
      <c r="F970" s="57"/>
      <c r="G970" s="80">
        <f t="shared" ref="G970:M970" si="301">G986+G990</f>
        <v>0</v>
      </c>
      <c r="H970" s="80">
        <f t="shared" si="301"/>
        <v>0</v>
      </c>
      <c r="I970" s="80">
        <f t="shared" si="301"/>
        <v>0</v>
      </c>
      <c r="J970" s="80">
        <f t="shared" si="301"/>
        <v>0</v>
      </c>
      <c r="K970" s="80">
        <f t="shared" si="301"/>
        <v>0</v>
      </c>
      <c r="L970" s="80">
        <f t="shared" si="301"/>
        <v>0</v>
      </c>
      <c r="M970" s="439">
        <f t="shared" si="301"/>
        <v>0</v>
      </c>
      <c r="N970" s="484"/>
      <c r="O970" s="57"/>
      <c r="AJ970" s="91"/>
      <c r="AK970" s="91"/>
      <c r="AL970" s="91"/>
      <c r="AM970" s="91"/>
      <c r="AN970" s="91"/>
      <c r="AO970" s="91"/>
      <c r="AP970" s="91"/>
      <c r="AQ970" s="91"/>
      <c r="AR970" s="91"/>
      <c r="AS970" s="91"/>
      <c r="AT970" s="91"/>
      <c r="AU970" s="91"/>
      <c r="AV970" s="91"/>
      <c r="AW970" s="91"/>
      <c r="AX970" s="91"/>
      <c r="AY970" s="91"/>
      <c r="AZ970" s="91"/>
      <c r="BA970" s="91"/>
      <c r="BB970" s="91"/>
      <c r="BC970" s="91"/>
      <c r="BD970" s="91"/>
      <c r="BE970" s="91"/>
      <c r="BF970" s="91"/>
      <c r="BG970" s="91"/>
      <c r="BH970" s="91"/>
      <c r="BI970" s="91"/>
    </row>
    <row r="971" spans="1:61" s="44" customFormat="1" ht="24.6" customHeight="1">
      <c r="A971" s="926" t="s">
        <v>528</v>
      </c>
      <c r="B971" s="661" t="s">
        <v>89</v>
      </c>
      <c r="C971" s="661">
        <v>176</v>
      </c>
      <c r="D971" s="661" t="s">
        <v>15</v>
      </c>
      <c r="E971" s="661">
        <v>6100404</v>
      </c>
      <c r="F971" s="661">
        <v>244</v>
      </c>
      <c r="G971" s="81">
        <v>0</v>
      </c>
      <c r="H971" s="81"/>
      <c r="I971" s="81"/>
      <c r="J971" s="81"/>
      <c r="K971" s="81"/>
      <c r="L971" s="92"/>
      <c r="M971" s="580"/>
      <c r="N971" s="661"/>
      <c r="O971" s="933" t="s">
        <v>856</v>
      </c>
      <c r="AJ971" s="91"/>
      <c r="AK971" s="91"/>
      <c r="AL971" s="91"/>
      <c r="AM971" s="91"/>
      <c r="AN971" s="91"/>
      <c r="AO971" s="91"/>
      <c r="AP971" s="91"/>
      <c r="AQ971" s="91"/>
      <c r="AR971" s="91"/>
      <c r="AS971" s="91"/>
      <c r="AT971" s="91"/>
      <c r="AU971" s="91"/>
      <c r="AV971" s="91"/>
      <c r="AW971" s="91"/>
      <c r="AX971" s="91"/>
      <c r="AY971" s="91"/>
      <c r="AZ971" s="91"/>
      <c r="BA971" s="91"/>
      <c r="BB971" s="91"/>
      <c r="BC971" s="91"/>
      <c r="BD971" s="91"/>
      <c r="BE971" s="91"/>
      <c r="BF971" s="91"/>
      <c r="BG971" s="91"/>
      <c r="BH971" s="91"/>
      <c r="BI971" s="91"/>
    </row>
    <row r="972" spans="1:61" s="44" customFormat="1" ht="24.6" customHeight="1">
      <c r="A972" s="927"/>
      <c r="B972" s="661" t="s">
        <v>25</v>
      </c>
      <c r="C972" s="661"/>
      <c r="D972" s="661"/>
      <c r="E972" s="661"/>
      <c r="F972" s="661"/>
      <c r="G972" s="81">
        <v>10000</v>
      </c>
      <c r="H972" s="81"/>
      <c r="I972" s="81"/>
      <c r="J972" s="81"/>
      <c r="K972" s="81">
        <v>10000</v>
      </c>
      <c r="L972" s="92">
        <f>L973</f>
        <v>5300.1</v>
      </c>
      <c r="M972" s="580">
        <v>0</v>
      </c>
      <c r="N972" s="661"/>
      <c r="O972" s="946"/>
      <c r="AJ972" s="91"/>
      <c r="AK972" s="91"/>
      <c r="AL972" s="91"/>
      <c r="AM972" s="91"/>
      <c r="AN972" s="91"/>
      <c r="AO972" s="91"/>
      <c r="AP972" s="91"/>
      <c r="AQ972" s="91"/>
      <c r="AR972" s="91"/>
      <c r="AS972" s="91"/>
      <c r="AT972" s="91"/>
      <c r="AU972" s="91"/>
      <c r="AV972" s="91"/>
      <c r="AW972" s="91"/>
      <c r="AX972" s="91"/>
      <c r="AY972" s="91"/>
      <c r="AZ972" s="91"/>
      <c r="BA972" s="91"/>
      <c r="BB972" s="91"/>
      <c r="BC972" s="91"/>
      <c r="BD972" s="91"/>
      <c r="BE972" s="91"/>
      <c r="BF972" s="91"/>
      <c r="BG972" s="91"/>
      <c r="BH972" s="91"/>
      <c r="BI972" s="91"/>
    </row>
    <row r="973" spans="1:61" s="44" customFormat="1" ht="24.6" customHeight="1">
      <c r="A973" s="927"/>
      <c r="B973" s="661" t="s">
        <v>10</v>
      </c>
      <c r="C973" s="661"/>
      <c r="D973" s="661"/>
      <c r="E973" s="661"/>
      <c r="F973" s="661"/>
      <c r="G973" s="81">
        <v>10000</v>
      </c>
      <c r="H973" s="81"/>
      <c r="I973" s="81"/>
      <c r="J973" s="81"/>
      <c r="K973" s="81">
        <v>10000</v>
      </c>
      <c r="L973" s="92">
        <f>8000-2699.9</f>
        <v>5300.1</v>
      </c>
      <c r="M973" s="580"/>
      <c r="N973" s="661"/>
      <c r="O973" s="946"/>
      <c r="AJ973" s="91"/>
      <c r="AK973" s="91"/>
      <c r="AL973" s="91"/>
      <c r="AM973" s="91"/>
      <c r="AN973" s="91"/>
      <c r="AO973" s="91"/>
      <c r="AP973" s="91"/>
      <c r="AQ973" s="91"/>
      <c r="AR973" s="91"/>
      <c r="AS973" s="91"/>
      <c r="AT973" s="91"/>
      <c r="AU973" s="91"/>
      <c r="AV973" s="91"/>
      <c r="AW973" s="91"/>
      <c r="AX973" s="91"/>
      <c r="AY973" s="91"/>
      <c r="AZ973" s="91"/>
      <c r="BA973" s="91"/>
      <c r="BB973" s="91"/>
      <c r="BC973" s="91"/>
      <c r="BD973" s="91"/>
      <c r="BE973" s="91"/>
      <c r="BF973" s="91"/>
      <c r="BG973" s="91"/>
      <c r="BH973" s="91"/>
      <c r="BI973" s="91"/>
    </row>
    <row r="974" spans="1:61" ht="21.75" hidden="1" customHeight="1">
      <c r="A974" s="928"/>
      <c r="B974" s="661" t="s">
        <v>495</v>
      </c>
      <c r="C974" s="661"/>
      <c r="D974" s="661"/>
      <c r="E974" s="661"/>
      <c r="F974" s="661"/>
      <c r="G974" s="81"/>
      <c r="H974" s="81"/>
      <c r="I974" s="81"/>
      <c r="J974" s="81"/>
      <c r="K974" s="81"/>
      <c r="L974" s="81"/>
      <c r="M974" s="580"/>
      <c r="N974" s="661"/>
      <c r="O974" s="934"/>
    </row>
    <row r="975" spans="1:61" s="44" customFormat="1" ht="24.6" customHeight="1">
      <c r="A975" s="926" t="s">
        <v>151</v>
      </c>
      <c r="B975" s="661" t="s">
        <v>89</v>
      </c>
      <c r="C975" s="661">
        <v>176</v>
      </c>
      <c r="D975" s="661" t="s">
        <v>15</v>
      </c>
      <c r="E975" s="661">
        <v>6100404</v>
      </c>
      <c r="F975" s="661">
        <v>244</v>
      </c>
      <c r="G975" s="81">
        <f>K975</f>
        <v>0</v>
      </c>
      <c r="H975" s="81"/>
      <c r="I975" s="81"/>
      <c r="J975" s="81"/>
      <c r="K975" s="81"/>
      <c r="L975" s="92"/>
      <c r="M975" s="580"/>
      <c r="N975" s="661"/>
      <c r="O975" s="933" t="s">
        <v>856</v>
      </c>
      <c r="AJ975" s="91"/>
      <c r="AK975" s="91"/>
      <c r="AL975" s="91"/>
      <c r="AM975" s="91"/>
      <c r="AN975" s="91"/>
      <c r="AO975" s="91"/>
      <c r="AP975" s="91"/>
      <c r="AQ975" s="91"/>
      <c r="AR975" s="91"/>
      <c r="AS975" s="91"/>
      <c r="AT975" s="91"/>
      <c r="AU975" s="91"/>
      <c r="AV975" s="91"/>
      <c r="AW975" s="91"/>
      <c r="AX975" s="91"/>
      <c r="AY975" s="91"/>
      <c r="AZ975" s="91"/>
      <c r="BA975" s="91"/>
      <c r="BB975" s="91"/>
      <c r="BC975" s="91"/>
      <c r="BD975" s="91"/>
      <c r="BE975" s="91"/>
      <c r="BF975" s="91"/>
      <c r="BG975" s="91"/>
      <c r="BH975" s="91"/>
      <c r="BI975" s="91"/>
    </row>
    <row r="976" spans="1:61" s="44" customFormat="1" ht="24.6" customHeight="1">
      <c r="A976" s="927"/>
      <c r="B976" s="661" t="s">
        <v>25</v>
      </c>
      <c r="C976" s="661"/>
      <c r="D976" s="661"/>
      <c r="E976" s="661"/>
      <c r="F976" s="661"/>
      <c r="G976" s="81">
        <f t="shared" ref="G976:G977" si="302">K976</f>
        <v>17262.599999999999</v>
      </c>
      <c r="H976" s="81"/>
      <c r="I976" s="81"/>
      <c r="J976" s="81"/>
      <c r="K976" s="81">
        <f>K977</f>
        <v>17262.599999999999</v>
      </c>
      <c r="L976" s="92">
        <f>L977</f>
        <v>0</v>
      </c>
      <c r="M976" s="579">
        <f>M977</f>
        <v>30000</v>
      </c>
      <c r="N976" s="661"/>
      <c r="O976" s="946"/>
      <c r="AJ976" s="91"/>
      <c r="AK976" s="91"/>
      <c r="AL976" s="91"/>
      <c r="AM976" s="91"/>
      <c r="AN976" s="91"/>
      <c r="AO976" s="91"/>
      <c r="AP976" s="91"/>
      <c r="AQ976" s="91"/>
      <c r="AR976" s="91"/>
      <c r="AS976" s="91"/>
      <c r="AT976" s="91"/>
      <c r="AU976" s="91"/>
      <c r="AV976" s="91"/>
      <c r="AW976" s="91"/>
      <c r="AX976" s="91"/>
      <c r="AY976" s="91"/>
      <c r="AZ976" s="91"/>
      <c r="BA976" s="91"/>
      <c r="BB976" s="91"/>
      <c r="BC976" s="91"/>
      <c r="BD976" s="91"/>
      <c r="BE976" s="91"/>
      <c r="BF976" s="91"/>
      <c r="BG976" s="91"/>
      <c r="BH976" s="91"/>
      <c r="BI976" s="91"/>
    </row>
    <row r="977" spans="1:61" s="44" customFormat="1" ht="24.6" customHeight="1">
      <c r="A977" s="927"/>
      <c r="B977" s="661" t="s">
        <v>10</v>
      </c>
      <c r="C977" s="661"/>
      <c r="D977" s="661"/>
      <c r="E977" s="661"/>
      <c r="F977" s="661"/>
      <c r="G977" s="81">
        <f t="shared" si="302"/>
        <v>17262.599999999999</v>
      </c>
      <c r="H977" s="81"/>
      <c r="I977" s="81"/>
      <c r="J977" s="81"/>
      <c r="K977" s="81">
        <v>17262.599999999999</v>
      </c>
      <c r="L977" s="92">
        <v>0</v>
      </c>
      <c r="M977" s="580">
        <v>30000</v>
      </c>
      <c r="N977" s="661"/>
      <c r="O977" s="946"/>
      <c r="AJ977" s="91"/>
      <c r="AK977" s="91"/>
      <c r="AL977" s="91"/>
      <c r="AM977" s="91"/>
      <c r="AN977" s="91"/>
      <c r="AO977" s="91"/>
      <c r="AP977" s="91"/>
      <c r="AQ977" s="91"/>
      <c r="AR977" s="91"/>
      <c r="AS977" s="91"/>
      <c r="AT977" s="91"/>
      <c r="AU977" s="91"/>
      <c r="AV977" s="91"/>
      <c r="AW977" s="91"/>
      <c r="AX977" s="91"/>
      <c r="AY977" s="91"/>
      <c r="AZ977" s="91"/>
      <c r="BA977" s="91"/>
      <c r="BB977" s="91"/>
      <c r="BC977" s="91"/>
      <c r="BD977" s="91"/>
      <c r="BE977" s="91"/>
      <c r="BF977" s="91"/>
      <c r="BG977" s="91"/>
      <c r="BH977" s="91"/>
      <c r="BI977" s="91"/>
    </row>
    <row r="978" spans="1:61" ht="12.75" hidden="1" customHeight="1">
      <c r="A978" s="928"/>
      <c r="B978" s="661" t="s">
        <v>495</v>
      </c>
      <c r="C978" s="661"/>
      <c r="D978" s="661"/>
      <c r="E978" s="661"/>
      <c r="F978" s="661"/>
      <c r="G978" s="81"/>
      <c r="H978" s="81"/>
      <c r="I978" s="81"/>
      <c r="J978" s="81"/>
      <c r="K978" s="81"/>
      <c r="L978" s="81"/>
      <c r="M978" s="580"/>
      <c r="N978" s="661"/>
      <c r="O978" s="934"/>
    </row>
    <row r="979" spans="1:61" s="44" customFormat="1" ht="24.6" customHeight="1">
      <c r="A979" s="926" t="s">
        <v>990</v>
      </c>
      <c r="B979" s="661" t="s">
        <v>89</v>
      </c>
      <c r="C979" s="661">
        <v>176</v>
      </c>
      <c r="D979" s="661" t="s">
        <v>15</v>
      </c>
      <c r="E979" s="661">
        <v>6100404</v>
      </c>
      <c r="F979" s="661">
        <v>244</v>
      </c>
      <c r="G979" s="81">
        <f>K979</f>
        <v>0</v>
      </c>
      <c r="H979" s="81"/>
      <c r="I979" s="81"/>
      <c r="J979" s="81"/>
      <c r="K979" s="81"/>
      <c r="L979" s="92">
        <v>0</v>
      </c>
      <c r="M979" s="580">
        <v>6</v>
      </c>
      <c r="N979" s="661"/>
      <c r="O979" s="933" t="s">
        <v>991</v>
      </c>
      <c r="AJ979" s="91"/>
      <c r="AK979" s="91"/>
      <c r="AL979" s="91"/>
      <c r="AM979" s="91"/>
      <c r="AN979" s="91"/>
      <c r="AO979" s="91"/>
      <c r="AP979" s="91"/>
      <c r="AQ979" s="91"/>
      <c r="AR979" s="91"/>
      <c r="AS979" s="91"/>
      <c r="AT979" s="91"/>
      <c r="AU979" s="91"/>
      <c r="AV979" s="91"/>
      <c r="AW979" s="91"/>
      <c r="AX979" s="91"/>
      <c r="AY979" s="91"/>
      <c r="AZ979" s="91"/>
      <c r="BA979" s="91"/>
      <c r="BB979" s="91"/>
      <c r="BC979" s="91"/>
      <c r="BD979" s="91"/>
      <c r="BE979" s="91"/>
      <c r="BF979" s="91"/>
      <c r="BG979" s="91"/>
      <c r="BH979" s="91"/>
      <c r="BI979" s="91"/>
    </row>
    <row r="980" spans="1:61" s="44" customFormat="1" ht="24.6" customHeight="1">
      <c r="A980" s="927"/>
      <c r="B980" s="661" t="s">
        <v>25</v>
      </c>
      <c r="C980" s="661"/>
      <c r="D980" s="661"/>
      <c r="E980" s="661"/>
      <c r="F980" s="661"/>
      <c r="G980" s="81">
        <f>G981</f>
        <v>0</v>
      </c>
      <c r="H980" s="81">
        <f t="shared" ref="H980" si="303">H981</f>
        <v>0</v>
      </c>
      <c r="I980" s="81">
        <f t="shared" ref="I980" si="304">I981</f>
        <v>0</v>
      </c>
      <c r="J980" s="81">
        <f t="shared" ref="J980" si="305">J981</f>
        <v>0</v>
      </c>
      <c r="K980" s="81">
        <f t="shared" ref="K980" si="306">K981</f>
        <v>0</v>
      </c>
      <c r="L980" s="92">
        <f>L981</f>
        <v>0</v>
      </c>
      <c r="M980" s="579">
        <f>M981</f>
        <v>120000</v>
      </c>
      <c r="N980" s="661"/>
      <c r="O980" s="946"/>
      <c r="AJ980" s="91"/>
      <c r="AK980" s="91"/>
      <c r="AL980" s="91"/>
      <c r="AM980" s="91"/>
      <c r="AN980" s="91"/>
      <c r="AO980" s="91"/>
      <c r="AP980" s="91"/>
      <c r="AQ980" s="91"/>
      <c r="AR980" s="91"/>
      <c r="AS980" s="91"/>
      <c r="AT980" s="91"/>
      <c r="AU980" s="91"/>
      <c r="AV980" s="91"/>
      <c r="AW980" s="91"/>
      <c r="AX980" s="91"/>
      <c r="AY980" s="91"/>
      <c r="AZ980" s="91"/>
      <c r="BA980" s="91"/>
      <c r="BB980" s="91"/>
      <c r="BC980" s="91"/>
      <c r="BD980" s="91"/>
      <c r="BE980" s="91"/>
      <c r="BF980" s="91"/>
      <c r="BG980" s="91"/>
      <c r="BH980" s="91"/>
      <c r="BI980" s="91"/>
    </row>
    <row r="981" spans="1:61" s="44" customFormat="1" ht="24.6" customHeight="1">
      <c r="A981" s="927"/>
      <c r="B981" s="661" t="s">
        <v>10</v>
      </c>
      <c r="C981" s="661"/>
      <c r="D981" s="661"/>
      <c r="E981" s="661"/>
      <c r="F981" s="661"/>
      <c r="G981" s="81">
        <f t="shared" ref="G981" si="307">K981</f>
        <v>0</v>
      </c>
      <c r="H981" s="81"/>
      <c r="I981" s="81"/>
      <c r="J981" s="81"/>
      <c r="K981" s="81">
        <v>0</v>
      </c>
      <c r="L981" s="92">
        <v>0</v>
      </c>
      <c r="M981" s="580">
        <v>120000</v>
      </c>
      <c r="N981" s="661"/>
      <c r="O981" s="946"/>
      <c r="AJ981" s="91"/>
      <c r="AK981" s="91"/>
      <c r="AL981" s="91"/>
      <c r="AM981" s="91"/>
      <c r="AN981" s="91"/>
      <c r="AO981" s="91"/>
      <c r="AP981" s="91"/>
      <c r="AQ981" s="91"/>
      <c r="AR981" s="91"/>
      <c r="AS981" s="91"/>
      <c r="AT981" s="91"/>
      <c r="AU981" s="91"/>
      <c r="AV981" s="91"/>
      <c r="AW981" s="91"/>
      <c r="AX981" s="91"/>
      <c r="AY981" s="91"/>
      <c r="AZ981" s="91"/>
      <c r="BA981" s="91"/>
      <c r="BB981" s="91"/>
      <c r="BC981" s="91"/>
      <c r="BD981" s="91"/>
      <c r="BE981" s="91"/>
      <c r="BF981" s="91"/>
      <c r="BG981" s="91"/>
      <c r="BH981" s="91"/>
      <c r="BI981" s="91"/>
    </row>
    <row r="982" spans="1:61" ht="7.5" hidden="1" customHeight="1">
      <c r="A982" s="928"/>
      <c r="B982" s="661" t="s">
        <v>495</v>
      </c>
      <c r="C982" s="661"/>
      <c r="D982" s="661"/>
      <c r="E982" s="661"/>
      <c r="F982" s="661"/>
      <c r="G982" s="81"/>
      <c r="H982" s="81"/>
      <c r="I982" s="81"/>
      <c r="J982" s="81"/>
      <c r="K982" s="81"/>
      <c r="L982" s="81"/>
      <c r="M982" s="580"/>
      <c r="N982" s="661"/>
      <c r="O982" s="934"/>
    </row>
    <row r="983" spans="1:61" s="44" customFormat="1" ht="24.6" customHeight="1">
      <c r="A983" s="926" t="s">
        <v>575</v>
      </c>
      <c r="B983" s="661" t="s">
        <v>89</v>
      </c>
      <c r="C983" s="661">
        <v>176</v>
      </c>
      <c r="D983" s="661" t="s">
        <v>15</v>
      </c>
      <c r="E983" s="661">
        <v>6100404</v>
      </c>
      <c r="F983" s="661">
        <v>244</v>
      </c>
      <c r="G983" s="81">
        <f>K983</f>
        <v>0</v>
      </c>
      <c r="H983" s="81"/>
      <c r="I983" s="81"/>
      <c r="J983" s="81"/>
      <c r="K983" s="81"/>
      <c r="L983" s="92">
        <v>0</v>
      </c>
      <c r="M983" s="580"/>
      <c r="N983" s="661"/>
      <c r="O983" s="933" t="s">
        <v>856</v>
      </c>
      <c r="AJ983" s="91"/>
      <c r="AK983" s="91"/>
      <c r="AL983" s="91"/>
      <c r="AM983" s="91"/>
      <c r="AN983" s="91"/>
      <c r="AO983" s="91"/>
      <c r="AP983" s="91"/>
      <c r="AQ983" s="91"/>
      <c r="AR983" s="91"/>
      <c r="AS983" s="91"/>
      <c r="AT983" s="91"/>
      <c r="AU983" s="91"/>
      <c r="AV983" s="91"/>
      <c r="AW983" s="91"/>
      <c r="AX983" s="91"/>
      <c r="AY983" s="91"/>
      <c r="AZ983" s="91"/>
      <c r="BA983" s="91"/>
      <c r="BB983" s="91"/>
      <c r="BC983" s="91"/>
      <c r="BD983" s="91"/>
      <c r="BE983" s="91"/>
      <c r="BF983" s="91"/>
      <c r="BG983" s="91"/>
      <c r="BH983" s="91"/>
      <c r="BI983" s="91"/>
    </row>
    <row r="984" spans="1:61" s="44" customFormat="1" ht="24.6" customHeight="1">
      <c r="A984" s="927"/>
      <c r="B984" s="661" t="s">
        <v>25</v>
      </c>
      <c r="C984" s="661"/>
      <c r="D984" s="661"/>
      <c r="E984" s="661"/>
      <c r="F984" s="661"/>
      <c r="G984" s="81">
        <f>G985</f>
        <v>1000</v>
      </c>
      <c r="H984" s="81">
        <f t="shared" ref="H984:K984" si="308">H985</f>
        <v>0</v>
      </c>
      <c r="I984" s="81">
        <f t="shared" si="308"/>
        <v>0</v>
      </c>
      <c r="J984" s="81">
        <f t="shared" si="308"/>
        <v>0</v>
      </c>
      <c r="K984" s="81">
        <f t="shared" si="308"/>
        <v>1000</v>
      </c>
      <c r="L984" s="92">
        <f>L985</f>
        <v>0</v>
      </c>
      <c r="M984" s="580">
        <v>0</v>
      </c>
      <c r="N984" s="661"/>
      <c r="O984" s="946"/>
      <c r="AJ984" s="91"/>
      <c r="AK984" s="91"/>
      <c r="AL984" s="91"/>
      <c r="AM984" s="91"/>
      <c r="AN984" s="91"/>
      <c r="AO984" s="91"/>
      <c r="AP984" s="91"/>
      <c r="AQ984" s="91"/>
      <c r="AR984" s="91"/>
      <c r="AS984" s="91"/>
      <c r="AT984" s="91"/>
      <c r="AU984" s="91"/>
      <c r="AV984" s="91"/>
      <c r="AW984" s="91"/>
      <c r="AX984" s="91"/>
      <c r="AY984" s="91"/>
      <c r="AZ984" s="91"/>
      <c r="BA984" s="91"/>
      <c r="BB984" s="91"/>
      <c r="BC984" s="91"/>
      <c r="BD984" s="91"/>
      <c r="BE984" s="91"/>
      <c r="BF984" s="91"/>
      <c r="BG984" s="91"/>
      <c r="BH984" s="91"/>
      <c r="BI984" s="91"/>
    </row>
    <row r="985" spans="1:61" s="44" customFormat="1" ht="24.6" customHeight="1">
      <c r="A985" s="927"/>
      <c r="B985" s="661" t="s">
        <v>10</v>
      </c>
      <c r="C985" s="661"/>
      <c r="D985" s="661"/>
      <c r="E985" s="661"/>
      <c r="F985" s="661"/>
      <c r="G985" s="81">
        <f t="shared" ref="G985" si="309">K985</f>
        <v>1000</v>
      </c>
      <c r="H985" s="81"/>
      <c r="I985" s="81"/>
      <c r="J985" s="81"/>
      <c r="K985" s="81">
        <v>1000</v>
      </c>
      <c r="L985" s="92">
        <v>0</v>
      </c>
      <c r="M985" s="580"/>
      <c r="N985" s="661"/>
      <c r="O985" s="946"/>
      <c r="AJ985" s="91"/>
      <c r="AK985" s="91"/>
      <c r="AL985" s="91"/>
      <c r="AM985" s="91"/>
      <c r="AN985" s="91"/>
      <c r="AO985" s="91"/>
      <c r="AP985" s="91"/>
      <c r="AQ985" s="91"/>
      <c r="AR985" s="91"/>
      <c r="AS985" s="91"/>
      <c r="AT985" s="91"/>
      <c r="AU985" s="91"/>
      <c r="AV985" s="91"/>
      <c r="AW985" s="91"/>
      <c r="AX985" s="91"/>
      <c r="AY985" s="91"/>
      <c r="AZ985" s="91"/>
      <c r="BA985" s="91"/>
      <c r="BB985" s="91"/>
      <c r="BC985" s="91"/>
      <c r="BD985" s="91"/>
      <c r="BE985" s="91"/>
      <c r="BF985" s="91"/>
      <c r="BG985" s="91"/>
      <c r="BH985" s="91"/>
      <c r="BI985" s="91"/>
    </row>
    <row r="986" spans="1:61" ht="7.5" hidden="1" customHeight="1">
      <c r="A986" s="928"/>
      <c r="B986" s="661" t="s">
        <v>495</v>
      </c>
      <c r="C986" s="661"/>
      <c r="D986" s="661"/>
      <c r="E986" s="661"/>
      <c r="F986" s="661"/>
      <c r="G986" s="81"/>
      <c r="H986" s="81"/>
      <c r="I986" s="81"/>
      <c r="J986" s="81"/>
      <c r="K986" s="81"/>
      <c r="L986" s="81"/>
      <c r="M986" s="580"/>
      <c r="N986" s="661"/>
      <c r="O986" s="934"/>
    </row>
    <row r="987" spans="1:61" ht="26.45" customHeight="1">
      <c r="A987" s="558" t="s">
        <v>853</v>
      </c>
      <c r="B987" s="484" t="s">
        <v>89</v>
      </c>
      <c r="C987" s="484"/>
      <c r="D987" s="484"/>
      <c r="E987" s="484"/>
      <c r="F987" s="484"/>
      <c r="G987" s="81">
        <f>K987</f>
        <v>1.2</v>
      </c>
      <c r="H987" s="81"/>
      <c r="I987" s="81"/>
      <c r="J987" s="81"/>
      <c r="K987" s="81">
        <v>1.2</v>
      </c>
      <c r="L987" s="81"/>
      <c r="M987" s="580">
        <v>1</v>
      </c>
      <c r="N987" s="484"/>
      <c r="O987" s="933" t="s">
        <v>1018</v>
      </c>
    </row>
    <row r="988" spans="1:61" ht="26.45" customHeight="1">
      <c r="A988" s="614"/>
      <c r="B988" s="484" t="s">
        <v>25</v>
      </c>
      <c r="C988" s="484"/>
      <c r="D988" s="484"/>
      <c r="E988" s="484"/>
      <c r="F988" s="484"/>
      <c r="G988" s="81">
        <f t="shared" ref="G988:G990" si="310">K988</f>
        <v>34332.5</v>
      </c>
      <c r="H988" s="81"/>
      <c r="I988" s="81"/>
      <c r="J988" s="81"/>
      <c r="K988" s="81">
        <f>K989+K990</f>
        <v>34332.5</v>
      </c>
      <c r="L988" s="81">
        <f>L989+L990</f>
        <v>10000</v>
      </c>
      <c r="M988" s="580">
        <f>M989+M990</f>
        <v>12454.2</v>
      </c>
      <c r="N988" s="484"/>
      <c r="O988" s="946"/>
    </row>
    <row r="989" spans="1:61" ht="26.45" customHeight="1">
      <c r="A989" s="614"/>
      <c r="B989" s="484" t="s">
        <v>10</v>
      </c>
      <c r="C989" s="484"/>
      <c r="D989" s="484"/>
      <c r="E989" s="484"/>
      <c r="F989" s="484"/>
      <c r="G989" s="81">
        <f t="shared" si="310"/>
        <v>34332.5</v>
      </c>
      <c r="H989" s="81"/>
      <c r="I989" s="81"/>
      <c r="J989" s="81"/>
      <c r="K989" s="81">
        <f>14332.5+20000</f>
        <v>34332.5</v>
      </c>
      <c r="L989" s="81">
        <f>18776+1000-18776+9000</f>
        <v>10000</v>
      </c>
      <c r="M989" s="580">
        <v>12454.2</v>
      </c>
      <c r="N989" s="484"/>
      <c r="O989" s="946"/>
    </row>
    <row r="990" spans="1:61" ht="26.45" customHeight="1">
      <c r="A990" s="72"/>
      <c r="B990" s="484" t="s">
        <v>495</v>
      </c>
      <c r="C990" s="484"/>
      <c r="D990" s="484"/>
      <c r="E990" s="484"/>
      <c r="F990" s="484"/>
      <c r="G990" s="81">
        <f t="shared" si="310"/>
        <v>0</v>
      </c>
      <c r="H990" s="81"/>
      <c r="I990" s="81"/>
      <c r="J990" s="81"/>
      <c r="K990" s="81"/>
      <c r="L990" s="81"/>
      <c r="M990" s="580"/>
      <c r="N990" s="484"/>
      <c r="O990" s="934"/>
    </row>
    <row r="991" spans="1:61" ht="24.6" customHeight="1">
      <c r="A991" s="945" t="s">
        <v>153</v>
      </c>
      <c r="B991" s="57" t="s">
        <v>89</v>
      </c>
      <c r="C991" s="57"/>
      <c r="D991" s="57"/>
      <c r="E991" s="57"/>
      <c r="F991" s="57"/>
      <c r="G991" s="80">
        <f>K991</f>
        <v>3</v>
      </c>
      <c r="H991" s="80"/>
      <c r="I991" s="80"/>
      <c r="J991" s="80"/>
      <c r="K991" s="80">
        <f>K1001</f>
        <v>3</v>
      </c>
      <c r="L991" s="80">
        <f t="shared" ref="H991:M992" si="311">L993+L995+L997+L999+L1001</f>
        <v>0</v>
      </c>
      <c r="M991" s="439">
        <f t="shared" si="311"/>
        <v>1.3</v>
      </c>
      <c r="N991" s="484"/>
      <c r="O991" s="57"/>
    </row>
    <row r="992" spans="1:61" ht="30" customHeight="1">
      <c r="A992" s="945"/>
      <c r="B992" s="57" t="s">
        <v>246</v>
      </c>
      <c r="C992" s="57"/>
      <c r="D992" s="57"/>
      <c r="E992" s="57"/>
      <c r="F992" s="57"/>
      <c r="G992" s="80">
        <f t="shared" ref="G992:G1002" si="312">K992</f>
        <v>19902.900000000001</v>
      </c>
      <c r="H992" s="80">
        <f t="shared" si="311"/>
        <v>0</v>
      </c>
      <c r="I992" s="80">
        <f t="shared" si="311"/>
        <v>0</v>
      </c>
      <c r="J992" s="80">
        <f t="shared" si="311"/>
        <v>0</v>
      </c>
      <c r="K992" s="80">
        <f t="shared" si="311"/>
        <v>19902.900000000001</v>
      </c>
      <c r="L992" s="80">
        <f t="shared" si="311"/>
        <v>0</v>
      </c>
      <c r="M992" s="439">
        <f t="shared" si="311"/>
        <v>16250.8</v>
      </c>
      <c r="N992" s="484"/>
      <c r="O992" s="57"/>
    </row>
    <row r="993" spans="1:61" ht="24.6" hidden="1" customHeight="1">
      <c r="A993" s="932" t="s">
        <v>152</v>
      </c>
      <c r="B993" s="484" t="s">
        <v>89</v>
      </c>
      <c r="C993" s="484">
        <v>176</v>
      </c>
      <c r="D993" s="484" t="s">
        <v>15</v>
      </c>
      <c r="E993" s="484">
        <v>6100404</v>
      </c>
      <c r="F993" s="484">
        <v>244</v>
      </c>
      <c r="G993" s="80">
        <f t="shared" si="312"/>
        <v>0</v>
      </c>
      <c r="H993" s="81"/>
      <c r="I993" s="81"/>
      <c r="J993" s="81"/>
      <c r="K993" s="81"/>
      <c r="L993" s="81"/>
      <c r="M993" s="580"/>
      <c r="N993" s="484"/>
      <c r="O993" s="944" t="s">
        <v>763</v>
      </c>
    </row>
    <row r="994" spans="1:61" ht="24" hidden="1" customHeight="1">
      <c r="A994" s="932"/>
      <c r="B994" s="484" t="s">
        <v>246</v>
      </c>
      <c r="C994" s="484"/>
      <c r="D994" s="484"/>
      <c r="E994" s="484"/>
      <c r="F994" s="484"/>
      <c r="G994" s="80">
        <f t="shared" si="312"/>
        <v>0</v>
      </c>
      <c r="H994" s="81"/>
      <c r="I994" s="81"/>
      <c r="J994" s="81"/>
      <c r="K994" s="81"/>
      <c r="L994" s="81"/>
      <c r="M994" s="580"/>
      <c r="N994" s="484"/>
      <c r="O994" s="944"/>
    </row>
    <row r="995" spans="1:61" ht="24.6" hidden="1" customHeight="1">
      <c r="A995" s="932" t="s">
        <v>576</v>
      </c>
      <c r="B995" s="484" t="s">
        <v>89</v>
      </c>
      <c r="C995" s="484">
        <v>176</v>
      </c>
      <c r="D995" s="484" t="s">
        <v>15</v>
      </c>
      <c r="E995" s="484">
        <v>6100404</v>
      </c>
      <c r="F995" s="484">
        <v>244</v>
      </c>
      <c r="G995" s="80">
        <f t="shared" si="312"/>
        <v>0</v>
      </c>
      <c r="H995" s="81"/>
      <c r="I995" s="81"/>
      <c r="J995" s="81"/>
      <c r="K995" s="81"/>
      <c r="L995" s="81"/>
      <c r="M995" s="580"/>
      <c r="N995" s="484"/>
      <c r="O995" s="944" t="s">
        <v>577</v>
      </c>
    </row>
    <row r="996" spans="1:61" ht="24.6" hidden="1" customHeight="1">
      <c r="A996" s="932"/>
      <c r="B996" s="484" t="s">
        <v>246</v>
      </c>
      <c r="C996" s="484"/>
      <c r="D996" s="484"/>
      <c r="E996" s="484"/>
      <c r="F996" s="484"/>
      <c r="G996" s="80">
        <f t="shared" si="312"/>
        <v>0</v>
      </c>
      <c r="H996" s="81"/>
      <c r="I996" s="81"/>
      <c r="J996" s="81"/>
      <c r="K996" s="81"/>
      <c r="L996" s="81"/>
      <c r="M996" s="580"/>
      <c r="N996" s="484"/>
      <c r="O996" s="944"/>
    </row>
    <row r="997" spans="1:61" ht="0.6" hidden="1" customHeight="1">
      <c r="A997" s="932" t="s">
        <v>123</v>
      </c>
      <c r="B997" s="484" t="s">
        <v>89</v>
      </c>
      <c r="C997" s="484">
        <v>176</v>
      </c>
      <c r="D997" s="484" t="s">
        <v>15</v>
      </c>
      <c r="E997" s="484">
        <v>6100404</v>
      </c>
      <c r="F997" s="484">
        <v>243</v>
      </c>
      <c r="G997" s="80">
        <f t="shared" si="312"/>
        <v>0</v>
      </c>
      <c r="H997" s="81"/>
      <c r="I997" s="81"/>
      <c r="J997" s="81"/>
      <c r="K997" s="81"/>
      <c r="L997" s="81"/>
      <c r="M997" s="580"/>
      <c r="N997" s="484"/>
      <c r="O997" s="944" t="s">
        <v>254</v>
      </c>
    </row>
    <row r="998" spans="1:61" ht="25.15" hidden="1" customHeight="1">
      <c r="A998" s="932"/>
      <c r="B998" s="484" t="s">
        <v>246</v>
      </c>
      <c r="C998" s="484"/>
      <c r="D998" s="484"/>
      <c r="E998" s="484"/>
      <c r="F998" s="484"/>
      <c r="G998" s="80">
        <f t="shared" si="312"/>
        <v>0</v>
      </c>
      <c r="H998" s="81"/>
      <c r="I998" s="81"/>
      <c r="J998" s="81"/>
      <c r="K998" s="81"/>
      <c r="L998" s="81"/>
      <c r="M998" s="580"/>
      <c r="N998" s="484"/>
      <c r="O998" s="944"/>
    </row>
    <row r="999" spans="1:61" ht="25.15" hidden="1" customHeight="1">
      <c r="A999" s="932" t="s">
        <v>158</v>
      </c>
      <c r="B999" s="484" t="s">
        <v>89</v>
      </c>
      <c r="C999" s="484"/>
      <c r="D999" s="484"/>
      <c r="E999" s="484"/>
      <c r="F999" s="484"/>
      <c r="G999" s="80">
        <f t="shared" si="312"/>
        <v>0</v>
      </c>
      <c r="H999" s="81"/>
      <c r="I999" s="81"/>
      <c r="J999" s="81"/>
      <c r="K999" s="81"/>
      <c r="L999" s="81"/>
      <c r="M999" s="580"/>
      <c r="N999" s="484"/>
      <c r="O999" s="944" t="s">
        <v>292</v>
      </c>
    </row>
    <row r="1000" spans="1:61" s="44" customFormat="1" ht="24.95" hidden="1" customHeight="1">
      <c r="A1000" s="932"/>
      <c r="B1000" s="484" t="s">
        <v>246</v>
      </c>
      <c r="C1000" s="484"/>
      <c r="D1000" s="484"/>
      <c r="E1000" s="484"/>
      <c r="F1000" s="484"/>
      <c r="G1000" s="80">
        <f t="shared" si="312"/>
        <v>0</v>
      </c>
      <c r="H1000" s="81"/>
      <c r="I1000" s="81"/>
      <c r="J1000" s="81"/>
      <c r="K1000" s="81"/>
      <c r="L1000" s="81"/>
      <c r="M1000" s="580"/>
      <c r="N1000" s="484"/>
      <c r="O1000" s="944"/>
      <c r="AJ1000" s="91"/>
      <c r="AK1000" s="91"/>
      <c r="AL1000" s="91"/>
      <c r="AM1000" s="91"/>
      <c r="AN1000" s="91"/>
      <c r="AO1000" s="91"/>
      <c r="AP1000" s="91"/>
      <c r="AQ1000" s="91"/>
      <c r="AR1000" s="91"/>
      <c r="AS1000" s="91"/>
      <c r="AT1000" s="91"/>
      <c r="AU1000" s="91"/>
      <c r="AV1000" s="91"/>
      <c r="AW1000" s="91"/>
      <c r="AX1000" s="91"/>
      <c r="AY1000" s="91"/>
      <c r="AZ1000" s="91"/>
      <c r="BA1000" s="91"/>
      <c r="BB1000" s="91"/>
      <c r="BC1000" s="91"/>
      <c r="BD1000" s="91"/>
      <c r="BE1000" s="91"/>
      <c r="BF1000" s="91"/>
      <c r="BG1000" s="91"/>
      <c r="BH1000" s="91"/>
      <c r="BI1000" s="91"/>
    </row>
    <row r="1001" spans="1:61" s="44" customFormat="1" ht="24.95" customHeight="1">
      <c r="A1001" s="1033" t="s">
        <v>853</v>
      </c>
      <c r="B1001" s="484" t="s">
        <v>89</v>
      </c>
      <c r="C1001" s="484"/>
      <c r="D1001" s="484"/>
      <c r="E1001" s="484"/>
      <c r="F1001" s="484"/>
      <c r="G1001" s="81">
        <f t="shared" si="312"/>
        <v>3</v>
      </c>
      <c r="H1001" s="81"/>
      <c r="I1001" s="81"/>
      <c r="J1001" s="81"/>
      <c r="K1001" s="81">
        <v>3</v>
      </c>
      <c r="L1001" s="81"/>
      <c r="M1001" s="580">
        <v>1.3</v>
      </c>
      <c r="N1001" s="484"/>
      <c r="O1001" s="944" t="s">
        <v>1019</v>
      </c>
      <c r="AJ1001" s="91"/>
      <c r="AK1001" s="91"/>
      <c r="AL1001" s="91"/>
      <c r="AM1001" s="91"/>
      <c r="AN1001" s="91"/>
      <c r="AO1001" s="91"/>
      <c r="AP1001" s="91"/>
      <c r="AQ1001" s="91"/>
      <c r="AR1001" s="91"/>
      <c r="AS1001" s="91"/>
      <c r="AT1001" s="91"/>
      <c r="AU1001" s="91"/>
      <c r="AV1001" s="91"/>
      <c r="AW1001" s="91"/>
      <c r="AX1001" s="91"/>
      <c r="AY1001" s="91"/>
      <c r="AZ1001" s="91"/>
      <c r="BA1001" s="91"/>
      <c r="BB1001" s="91"/>
      <c r="BC1001" s="91"/>
      <c r="BD1001" s="91"/>
      <c r="BE1001" s="91"/>
      <c r="BF1001" s="91"/>
      <c r="BG1001" s="91"/>
      <c r="BH1001" s="91"/>
      <c r="BI1001" s="91"/>
    </row>
    <row r="1002" spans="1:61" ht="24.95" customHeight="1">
      <c r="A1002" s="1034"/>
      <c r="B1002" s="484" t="s">
        <v>246</v>
      </c>
      <c r="C1002" s="484"/>
      <c r="D1002" s="484"/>
      <c r="E1002" s="484"/>
      <c r="F1002" s="484"/>
      <c r="G1002" s="81">
        <f t="shared" si="312"/>
        <v>19902.900000000001</v>
      </c>
      <c r="H1002" s="81"/>
      <c r="I1002" s="81"/>
      <c r="J1002" s="81"/>
      <c r="K1002" s="81">
        <v>19902.900000000001</v>
      </c>
      <c r="L1002" s="81">
        <v>0</v>
      </c>
      <c r="M1002" s="580">
        <f>16250.8+0</f>
        <v>16250.8</v>
      </c>
      <c r="N1002" s="484"/>
      <c r="O1002" s="944"/>
    </row>
    <row r="1003" spans="1:61" ht="24.6" customHeight="1">
      <c r="A1003" s="945" t="s">
        <v>119</v>
      </c>
      <c r="B1003" s="57" t="s">
        <v>89</v>
      </c>
      <c r="C1003" s="57"/>
      <c r="D1003" s="57"/>
      <c r="E1003" s="57"/>
      <c r="F1003" s="57"/>
      <c r="G1003" s="80">
        <f>G1005+G1007</f>
        <v>1</v>
      </c>
      <c r="H1003" s="80">
        <f t="shared" ref="H1003:M1004" si="313">H1005+H1007</f>
        <v>0</v>
      </c>
      <c r="I1003" s="80">
        <f t="shared" si="313"/>
        <v>0</v>
      </c>
      <c r="J1003" s="80">
        <f t="shared" si="313"/>
        <v>0</v>
      </c>
      <c r="K1003" s="80">
        <f t="shared" si="313"/>
        <v>1</v>
      </c>
      <c r="L1003" s="80">
        <f t="shared" si="313"/>
        <v>0</v>
      </c>
      <c r="M1003" s="439">
        <f t="shared" si="313"/>
        <v>0.8</v>
      </c>
      <c r="N1003" s="484"/>
      <c r="O1003" s="57"/>
    </row>
    <row r="1004" spans="1:61" s="44" customFormat="1" ht="24.6" customHeight="1">
      <c r="A1004" s="945"/>
      <c r="B1004" s="57" t="s">
        <v>246</v>
      </c>
      <c r="C1004" s="57"/>
      <c r="D1004" s="57"/>
      <c r="E1004" s="57"/>
      <c r="F1004" s="57"/>
      <c r="G1004" s="80">
        <f>G1006+G1008</f>
        <v>11312.4</v>
      </c>
      <c r="H1004" s="80">
        <f t="shared" si="313"/>
        <v>0</v>
      </c>
      <c r="I1004" s="80">
        <f t="shared" si="313"/>
        <v>0</v>
      </c>
      <c r="J1004" s="80">
        <f t="shared" si="313"/>
        <v>0</v>
      </c>
      <c r="K1004" s="80">
        <f t="shared" si="313"/>
        <v>11312.4</v>
      </c>
      <c r="L1004" s="80">
        <f t="shared" si="313"/>
        <v>8000</v>
      </c>
      <c r="M1004" s="439">
        <f t="shared" si="313"/>
        <v>10219.5</v>
      </c>
      <c r="N1004" s="484"/>
      <c r="O1004" s="57"/>
      <c r="AJ1004" s="91"/>
      <c r="AK1004" s="91"/>
      <c r="AL1004" s="91"/>
      <c r="AM1004" s="91"/>
      <c r="AN1004" s="91"/>
      <c r="AO1004" s="91"/>
      <c r="AP1004" s="91"/>
      <c r="AQ1004" s="91"/>
      <c r="AR1004" s="91"/>
      <c r="AS1004" s="91"/>
      <c r="AT1004" s="91"/>
      <c r="AU1004" s="91"/>
      <c r="AV1004" s="91"/>
      <c r="AW1004" s="91"/>
      <c r="AX1004" s="91"/>
      <c r="AY1004" s="91"/>
      <c r="AZ1004" s="91"/>
      <c r="BA1004" s="91"/>
      <c r="BB1004" s="91"/>
      <c r="BC1004" s="91"/>
      <c r="BD1004" s="91"/>
      <c r="BE1004" s="91"/>
      <c r="BF1004" s="91"/>
      <c r="BG1004" s="91"/>
      <c r="BH1004" s="91"/>
      <c r="BI1004" s="91"/>
    </row>
    <row r="1005" spans="1:61" s="44" customFormat="1" ht="24.6" customHeight="1">
      <c r="A1005" s="932" t="s">
        <v>992</v>
      </c>
      <c r="B1005" s="484" t="s">
        <v>89</v>
      </c>
      <c r="C1005" s="484">
        <v>176</v>
      </c>
      <c r="D1005" s="484" t="s">
        <v>15</v>
      </c>
      <c r="E1005" s="484">
        <v>6100404</v>
      </c>
      <c r="F1005" s="484">
        <v>244</v>
      </c>
      <c r="G1005" s="81">
        <f>K1005</f>
        <v>0</v>
      </c>
      <c r="H1005" s="81"/>
      <c r="I1005" s="81"/>
      <c r="J1005" s="81"/>
      <c r="K1005" s="81">
        <v>0</v>
      </c>
      <c r="L1005" s="81"/>
      <c r="M1005" s="580"/>
      <c r="N1005" s="484"/>
      <c r="O1005" s="944" t="s">
        <v>855</v>
      </c>
      <c r="AJ1005" s="91"/>
      <c r="AK1005" s="91"/>
      <c r="AL1005" s="91"/>
      <c r="AM1005" s="91"/>
      <c r="AN1005" s="91"/>
      <c r="AO1005" s="91"/>
      <c r="AP1005" s="91"/>
      <c r="AQ1005" s="91"/>
      <c r="AR1005" s="91"/>
      <c r="AS1005" s="91"/>
      <c r="AT1005" s="91"/>
      <c r="AU1005" s="91"/>
      <c r="AV1005" s="91"/>
      <c r="AW1005" s="91"/>
      <c r="AX1005" s="91"/>
      <c r="AY1005" s="91"/>
      <c r="AZ1005" s="91"/>
      <c r="BA1005" s="91"/>
      <c r="BB1005" s="91"/>
      <c r="BC1005" s="91"/>
      <c r="BD1005" s="91"/>
      <c r="BE1005" s="91"/>
      <c r="BF1005" s="91"/>
      <c r="BG1005" s="91"/>
      <c r="BH1005" s="91"/>
      <c r="BI1005" s="91"/>
    </row>
    <row r="1006" spans="1:61" ht="24.6" customHeight="1">
      <c r="A1006" s="932"/>
      <c r="B1006" s="484" t="s">
        <v>246</v>
      </c>
      <c r="C1006" s="484"/>
      <c r="D1006" s="484"/>
      <c r="E1006" s="484"/>
      <c r="F1006" s="484"/>
      <c r="G1006" s="81">
        <f>K1006</f>
        <v>1582.4</v>
      </c>
      <c r="H1006" s="81"/>
      <c r="I1006" s="81"/>
      <c r="J1006" s="81"/>
      <c r="K1006" s="81">
        <v>1582.4</v>
      </c>
      <c r="L1006" s="81"/>
      <c r="M1006" s="580"/>
      <c r="N1006" s="484"/>
      <c r="O1006" s="944"/>
    </row>
    <row r="1007" spans="1:61" ht="24.6" customHeight="1">
      <c r="A1007" s="926" t="s">
        <v>853</v>
      </c>
      <c r="B1007" s="484" t="s">
        <v>89</v>
      </c>
      <c r="C1007" s="484"/>
      <c r="D1007" s="484"/>
      <c r="E1007" s="484"/>
      <c r="F1007" s="484"/>
      <c r="G1007" s="81">
        <f t="shared" ref="G1007:G1008" si="314">K1007</f>
        <v>1</v>
      </c>
      <c r="H1007" s="81"/>
      <c r="I1007" s="81"/>
      <c r="J1007" s="81"/>
      <c r="K1007" s="81">
        <v>1</v>
      </c>
      <c r="L1007" s="81"/>
      <c r="M1007" s="580">
        <v>0.8</v>
      </c>
      <c r="N1007" s="484"/>
      <c r="O1007" s="933" t="s">
        <v>1016</v>
      </c>
    </row>
    <row r="1008" spans="1:61" ht="24.6" customHeight="1">
      <c r="A1008" s="928"/>
      <c r="B1008" s="484" t="s">
        <v>246</v>
      </c>
      <c r="C1008" s="484"/>
      <c r="D1008" s="484"/>
      <c r="E1008" s="484"/>
      <c r="F1008" s="484"/>
      <c r="G1008" s="81">
        <f t="shared" si="314"/>
        <v>9730</v>
      </c>
      <c r="H1008" s="81"/>
      <c r="I1008" s="81"/>
      <c r="J1008" s="81"/>
      <c r="K1008" s="81">
        <v>9730</v>
      </c>
      <c r="L1008" s="81">
        <f>16000+6000-16000+2000</f>
        <v>8000</v>
      </c>
      <c r="M1008" s="580">
        <v>10219.5</v>
      </c>
      <c r="N1008" s="484"/>
      <c r="O1008" s="934"/>
    </row>
    <row r="1009" spans="1:61" ht="22.15" customHeight="1">
      <c r="A1009" s="945" t="s">
        <v>124</v>
      </c>
      <c r="B1009" s="57" t="s">
        <v>89</v>
      </c>
      <c r="C1009" s="57"/>
      <c r="D1009" s="57"/>
      <c r="E1009" s="57"/>
      <c r="F1009" s="57"/>
      <c r="G1009" s="80">
        <f>G1013+G1015+G1017+G1019+G1021</f>
        <v>2</v>
      </c>
      <c r="H1009" s="80">
        <f t="shared" ref="H1009:M1009" si="315">H1013+H1015+H1017+H1019+H1021</f>
        <v>0</v>
      </c>
      <c r="I1009" s="80">
        <f t="shared" si="315"/>
        <v>0</v>
      </c>
      <c r="J1009" s="80">
        <f t="shared" si="315"/>
        <v>0</v>
      </c>
      <c r="K1009" s="80">
        <f t="shared" si="315"/>
        <v>2</v>
      </c>
      <c r="L1009" s="80">
        <f t="shared" si="315"/>
        <v>0</v>
      </c>
      <c r="M1009" s="439">
        <f t="shared" si="315"/>
        <v>0.8</v>
      </c>
      <c r="N1009" s="484"/>
      <c r="O1009" s="57"/>
    </row>
    <row r="1010" spans="1:61" ht="27.6" customHeight="1">
      <c r="A1010" s="945"/>
      <c r="B1010" s="57" t="s">
        <v>246</v>
      </c>
      <c r="C1010" s="57"/>
      <c r="D1010" s="57"/>
      <c r="E1010" s="57"/>
      <c r="F1010" s="57"/>
      <c r="G1010" s="80">
        <f>G1014+G1016+G1018+G1020+G1022</f>
        <v>18980.599999999999</v>
      </c>
      <c r="H1010" s="80">
        <f t="shared" ref="H1010:M1010" si="316">H1014+H1016+H1018+H1020+H1022</f>
        <v>0</v>
      </c>
      <c r="I1010" s="80">
        <f t="shared" si="316"/>
        <v>0</v>
      </c>
      <c r="J1010" s="80">
        <f t="shared" si="316"/>
        <v>0</v>
      </c>
      <c r="K1010" s="80">
        <f t="shared" si="316"/>
        <v>18980.599999999999</v>
      </c>
      <c r="L1010" s="80">
        <f t="shared" si="316"/>
        <v>0</v>
      </c>
      <c r="M1010" s="80">
        <f t="shared" si="316"/>
        <v>37567.699999999997</v>
      </c>
      <c r="N1010" s="484"/>
      <c r="O1010" s="57"/>
    </row>
    <row r="1011" spans="1:61" ht="24.6" hidden="1" customHeight="1">
      <c r="A1011" s="932" t="s">
        <v>579</v>
      </c>
      <c r="B1011" s="797" t="s">
        <v>89</v>
      </c>
      <c r="C1011" s="797">
        <v>176</v>
      </c>
      <c r="D1011" s="797" t="s">
        <v>15</v>
      </c>
      <c r="E1011" s="797">
        <v>6100404</v>
      </c>
      <c r="F1011" s="797">
        <v>244</v>
      </c>
      <c r="G1011" s="81">
        <f>K1011</f>
        <v>0</v>
      </c>
      <c r="H1011" s="81"/>
      <c r="I1011" s="81"/>
      <c r="J1011" s="81"/>
      <c r="K1011" s="81"/>
      <c r="L1011" s="81"/>
      <c r="M1011" s="580"/>
      <c r="N1011" s="797"/>
      <c r="O1011" s="944" t="s">
        <v>855</v>
      </c>
    </row>
    <row r="1012" spans="1:61" s="44" customFormat="1" ht="24" hidden="1" customHeight="1">
      <c r="A1012" s="932"/>
      <c r="B1012" s="797" t="s">
        <v>246</v>
      </c>
      <c r="C1012" s="797"/>
      <c r="D1012" s="797"/>
      <c r="E1012" s="797"/>
      <c r="F1012" s="797"/>
      <c r="G1012" s="81">
        <f>K1012</f>
        <v>0</v>
      </c>
      <c r="H1012" s="81"/>
      <c r="I1012" s="81"/>
      <c r="J1012" s="81"/>
      <c r="K1012" s="81"/>
      <c r="L1012" s="81"/>
      <c r="M1012" s="580"/>
      <c r="N1012" s="797"/>
      <c r="O1012" s="944"/>
      <c r="AJ1012" s="91"/>
      <c r="AK1012" s="91"/>
      <c r="AL1012" s="91"/>
      <c r="AM1012" s="91"/>
      <c r="AN1012" s="91"/>
      <c r="AO1012" s="91"/>
      <c r="AP1012" s="91"/>
      <c r="AQ1012" s="91"/>
      <c r="AR1012" s="91"/>
      <c r="AS1012" s="91"/>
      <c r="AT1012" s="91"/>
      <c r="AU1012" s="91"/>
      <c r="AV1012" s="91"/>
      <c r="AW1012" s="91"/>
      <c r="AX1012" s="91"/>
      <c r="AY1012" s="91"/>
      <c r="AZ1012" s="91"/>
      <c r="BA1012" s="91"/>
      <c r="BB1012" s="91"/>
      <c r="BC1012" s="91"/>
      <c r="BD1012" s="91"/>
      <c r="BE1012" s="91"/>
      <c r="BF1012" s="91"/>
      <c r="BG1012" s="91"/>
      <c r="BH1012" s="91"/>
      <c r="BI1012" s="91"/>
    </row>
    <row r="1013" spans="1:61" ht="24.6" customHeight="1">
      <c r="A1013" s="932" t="s">
        <v>932</v>
      </c>
      <c r="B1013" s="484" t="s">
        <v>89</v>
      </c>
      <c r="C1013" s="484">
        <v>176</v>
      </c>
      <c r="D1013" s="484" t="s">
        <v>15</v>
      </c>
      <c r="E1013" s="484">
        <v>6100404</v>
      </c>
      <c r="F1013" s="484">
        <v>244</v>
      </c>
      <c r="G1013" s="81">
        <f>K1013</f>
        <v>0</v>
      </c>
      <c r="H1013" s="81"/>
      <c r="I1013" s="81"/>
      <c r="J1013" s="81"/>
      <c r="K1013" s="81"/>
      <c r="L1013" s="81"/>
      <c r="M1013" s="580"/>
      <c r="N1013" s="484"/>
      <c r="O1013" s="944" t="s">
        <v>855</v>
      </c>
    </row>
    <row r="1014" spans="1:61" s="44" customFormat="1" ht="24" customHeight="1">
      <c r="A1014" s="932"/>
      <c r="B1014" s="484" t="s">
        <v>246</v>
      </c>
      <c r="C1014" s="484"/>
      <c r="D1014" s="484"/>
      <c r="E1014" s="484"/>
      <c r="F1014" s="484"/>
      <c r="G1014" s="81">
        <f>K1014</f>
        <v>0</v>
      </c>
      <c r="H1014" s="81"/>
      <c r="I1014" s="81"/>
      <c r="J1014" s="81"/>
      <c r="K1014" s="81"/>
      <c r="L1014" s="81"/>
      <c r="M1014" s="580">
        <v>1000</v>
      </c>
      <c r="N1014" s="484"/>
      <c r="O1014" s="944"/>
      <c r="AJ1014" s="91"/>
      <c r="AK1014" s="91"/>
      <c r="AL1014" s="91"/>
      <c r="AM1014" s="91"/>
      <c r="AN1014" s="91"/>
      <c r="AO1014" s="91"/>
      <c r="AP1014" s="91"/>
      <c r="AQ1014" s="91"/>
      <c r="AR1014" s="91"/>
      <c r="AS1014" s="91"/>
      <c r="AT1014" s="91"/>
      <c r="AU1014" s="91"/>
      <c r="AV1014" s="91"/>
      <c r="AW1014" s="91"/>
      <c r="AX1014" s="91"/>
      <c r="AY1014" s="91"/>
      <c r="AZ1014" s="91"/>
      <c r="BA1014" s="91"/>
      <c r="BB1014" s="91"/>
      <c r="BC1014" s="91"/>
      <c r="BD1014" s="91"/>
      <c r="BE1014" s="91"/>
      <c r="BF1014" s="91"/>
      <c r="BG1014" s="91"/>
      <c r="BH1014" s="91"/>
      <c r="BI1014" s="91"/>
    </row>
    <row r="1015" spans="1:61" s="44" customFormat="1" ht="24.6" customHeight="1">
      <c r="A1015" s="932" t="s">
        <v>1103</v>
      </c>
      <c r="B1015" s="484" t="s">
        <v>89</v>
      </c>
      <c r="C1015" s="484">
        <v>176</v>
      </c>
      <c r="D1015" s="484" t="s">
        <v>15</v>
      </c>
      <c r="E1015" s="484">
        <v>6100404</v>
      </c>
      <c r="F1015" s="484">
        <v>244</v>
      </c>
      <c r="G1015" s="81"/>
      <c r="H1015" s="81"/>
      <c r="I1015" s="81"/>
      <c r="J1015" s="81"/>
      <c r="K1015" s="81"/>
      <c r="L1015" s="81"/>
      <c r="M1015" s="580"/>
      <c r="N1015" s="484"/>
      <c r="O1015" s="944" t="s">
        <v>855</v>
      </c>
      <c r="AJ1015" s="91"/>
      <c r="AK1015" s="91"/>
      <c r="AL1015" s="91"/>
      <c r="AM1015" s="91"/>
      <c r="AN1015" s="91"/>
      <c r="AO1015" s="91"/>
      <c r="AP1015" s="91"/>
      <c r="AQ1015" s="91"/>
      <c r="AR1015" s="91"/>
      <c r="AS1015" s="91"/>
      <c r="AT1015" s="91"/>
      <c r="AU1015" s="91"/>
      <c r="AV1015" s="91"/>
      <c r="AW1015" s="91"/>
      <c r="AX1015" s="91"/>
      <c r="AY1015" s="91"/>
      <c r="AZ1015" s="91"/>
      <c r="BA1015" s="91"/>
      <c r="BB1015" s="91"/>
      <c r="BC1015" s="91"/>
      <c r="BD1015" s="91"/>
      <c r="BE1015" s="91"/>
      <c r="BF1015" s="91"/>
      <c r="BG1015" s="91"/>
      <c r="BH1015" s="91"/>
      <c r="BI1015" s="91"/>
    </row>
    <row r="1016" spans="1:61" ht="24.6" customHeight="1">
      <c r="A1016" s="932"/>
      <c r="B1016" s="484" t="s">
        <v>246</v>
      </c>
      <c r="C1016" s="484"/>
      <c r="D1016" s="484"/>
      <c r="E1016" s="484"/>
      <c r="F1016" s="484"/>
      <c r="G1016" s="81"/>
      <c r="H1016" s="81"/>
      <c r="I1016" s="81"/>
      <c r="J1016" s="81"/>
      <c r="K1016" s="81"/>
      <c r="L1016" s="81"/>
      <c r="M1016" s="580">
        <v>20000</v>
      </c>
      <c r="N1016" s="484"/>
      <c r="O1016" s="944"/>
    </row>
    <row r="1017" spans="1:61" ht="24.6" customHeight="1">
      <c r="A1017" s="926" t="s">
        <v>580</v>
      </c>
      <c r="B1017" s="484" t="s">
        <v>89</v>
      </c>
      <c r="C1017" s="484"/>
      <c r="D1017" s="484"/>
      <c r="E1017" s="484"/>
      <c r="F1017" s="484"/>
      <c r="G1017" s="81"/>
      <c r="H1017" s="81"/>
      <c r="I1017" s="81"/>
      <c r="J1017" s="81"/>
      <c r="K1017" s="81"/>
      <c r="L1017" s="81"/>
      <c r="M1017" s="580"/>
      <c r="N1017" s="484"/>
      <c r="O1017" s="944" t="s">
        <v>855</v>
      </c>
    </row>
    <row r="1018" spans="1:61" ht="24.6" customHeight="1">
      <c r="A1018" s="928"/>
      <c r="B1018" s="484" t="s">
        <v>246</v>
      </c>
      <c r="C1018" s="484"/>
      <c r="D1018" s="484"/>
      <c r="E1018" s="484"/>
      <c r="F1018" s="484"/>
      <c r="G1018" s="81">
        <f>K1018</f>
        <v>1574.2</v>
      </c>
      <c r="H1018" s="81"/>
      <c r="I1018" s="81"/>
      <c r="J1018" s="81"/>
      <c r="K1018" s="81">
        <v>1574.2</v>
      </c>
      <c r="L1018" s="81"/>
      <c r="M1018" s="580">
        <v>7000</v>
      </c>
      <c r="N1018" s="484"/>
      <c r="O1018" s="944"/>
    </row>
    <row r="1019" spans="1:61" ht="24.6" customHeight="1">
      <c r="A1019" s="926" t="s">
        <v>1102</v>
      </c>
      <c r="B1019" s="484" t="s">
        <v>89</v>
      </c>
      <c r="C1019" s="484"/>
      <c r="D1019" s="484"/>
      <c r="E1019" s="484"/>
      <c r="F1019" s="484"/>
      <c r="G1019" s="81">
        <f t="shared" ref="G1019:G1022" si="317">K1019</f>
        <v>1</v>
      </c>
      <c r="H1019" s="81"/>
      <c r="I1019" s="81"/>
      <c r="J1019" s="81"/>
      <c r="K1019" s="81">
        <v>1</v>
      </c>
      <c r="L1019" s="81"/>
      <c r="M1019" s="580"/>
      <c r="N1019" s="484"/>
      <c r="O1019" s="1038" t="s">
        <v>583</v>
      </c>
    </row>
    <row r="1020" spans="1:61" ht="24.6" customHeight="1">
      <c r="A1020" s="928"/>
      <c r="B1020" s="484" t="s">
        <v>246</v>
      </c>
      <c r="C1020" s="484"/>
      <c r="D1020" s="484"/>
      <c r="E1020" s="484"/>
      <c r="F1020" s="484"/>
      <c r="G1020" s="81">
        <f t="shared" si="317"/>
        <v>6500</v>
      </c>
      <c r="H1020" s="81"/>
      <c r="I1020" s="81"/>
      <c r="J1020" s="81"/>
      <c r="K1020" s="81">
        <v>6500</v>
      </c>
      <c r="L1020" s="81"/>
      <c r="M1020" s="580"/>
      <c r="N1020" s="484"/>
      <c r="O1020" s="1038"/>
    </row>
    <row r="1021" spans="1:61" ht="24.6" customHeight="1">
      <c r="A1021" s="926" t="s">
        <v>853</v>
      </c>
      <c r="B1021" s="484" t="s">
        <v>89</v>
      </c>
      <c r="C1021" s="484"/>
      <c r="D1021" s="484"/>
      <c r="E1021" s="484"/>
      <c r="F1021" s="484"/>
      <c r="G1021" s="81">
        <f t="shared" si="317"/>
        <v>1</v>
      </c>
      <c r="H1021" s="81"/>
      <c r="I1021" s="81"/>
      <c r="J1021" s="81"/>
      <c r="K1021" s="81">
        <v>1</v>
      </c>
      <c r="L1021" s="81"/>
      <c r="M1021" s="580">
        <v>0.8</v>
      </c>
      <c r="N1021" s="484"/>
      <c r="O1021" s="933" t="s">
        <v>1016</v>
      </c>
    </row>
    <row r="1022" spans="1:61" ht="24.6" customHeight="1">
      <c r="A1022" s="928"/>
      <c r="B1022" s="484" t="s">
        <v>246</v>
      </c>
      <c r="C1022" s="484"/>
      <c r="D1022" s="484"/>
      <c r="E1022" s="484"/>
      <c r="F1022" s="484"/>
      <c r="G1022" s="81">
        <f t="shared" si="317"/>
        <v>10906.4</v>
      </c>
      <c r="H1022" s="81"/>
      <c r="I1022" s="81"/>
      <c r="J1022" s="81"/>
      <c r="K1022" s="81">
        <v>10906.4</v>
      </c>
      <c r="L1022" s="81">
        <v>0</v>
      </c>
      <c r="M1022" s="580">
        <v>9567.7000000000007</v>
      </c>
      <c r="N1022" s="484"/>
      <c r="O1022" s="934"/>
    </row>
    <row r="1023" spans="1:61" ht="24.95" customHeight="1">
      <c r="A1023" s="887" t="s">
        <v>122</v>
      </c>
      <c r="B1023" s="57" t="s">
        <v>89</v>
      </c>
      <c r="C1023" s="57"/>
      <c r="D1023" s="57"/>
      <c r="E1023" s="57"/>
      <c r="F1023" s="57"/>
      <c r="G1023" s="80">
        <f>G1027+G1035+G1039</f>
        <v>1.2</v>
      </c>
      <c r="H1023" s="80">
        <f t="shared" ref="H1023:M1023" si="318">H1027+H1035+H1039</f>
        <v>0</v>
      </c>
      <c r="I1023" s="80">
        <f t="shared" si="318"/>
        <v>0</v>
      </c>
      <c r="J1023" s="80">
        <f t="shared" si="318"/>
        <v>0</v>
      </c>
      <c r="K1023" s="80">
        <f t="shared" si="318"/>
        <v>1.2</v>
      </c>
      <c r="L1023" s="80">
        <f t="shared" si="318"/>
        <v>0</v>
      </c>
      <c r="M1023" s="439">
        <f t="shared" si="318"/>
        <v>1</v>
      </c>
      <c r="N1023" s="484"/>
      <c r="O1023" s="57"/>
    </row>
    <row r="1024" spans="1:61" s="44" customFormat="1" ht="24.95" customHeight="1">
      <c r="A1024" s="888"/>
      <c r="B1024" s="57" t="s">
        <v>25</v>
      </c>
      <c r="C1024" s="57"/>
      <c r="D1024" s="57"/>
      <c r="E1024" s="57"/>
      <c r="F1024" s="57"/>
      <c r="G1024" s="80">
        <f>G1025+G1026</f>
        <v>48010.200000000004</v>
      </c>
      <c r="H1024" s="80">
        <f t="shared" ref="H1024:M1024" si="319">H1025+H1026</f>
        <v>0</v>
      </c>
      <c r="I1024" s="80">
        <f t="shared" si="319"/>
        <v>0</v>
      </c>
      <c r="J1024" s="80">
        <f t="shared" si="319"/>
        <v>0</v>
      </c>
      <c r="K1024" s="80">
        <f t="shared" si="319"/>
        <v>48010.200000000004</v>
      </c>
      <c r="L1024" s="80">
        <f t="shared" si="319"/>
        <v>0</v>
      </c>
      <c r="M1024" s="439">
        <f t="shared" si="319"/>
        <v>43132.1</v>
      </c>
      <c r="N1024" s="484"/>
      <c r="O1024" s="57"/>
      <c r="AJ1024" s="91"/>
      <c r="AK1024" s="91"/>
      <c r="AL1024" s="91"/>
      <c r="AM1024" s="91"/>
      <c r="AN1024" s="91"/>
      <c r="AO1024" s="91"/>
      <c r="AP1024" s="91"/>
      <c r="AQ1024" s="91"/>
      <c r="AR1024" s="91"/>
      <c r="AS1024" s="91"/>
      <c r="AT1024" s="91"/>
      <c r="AU1024" s="91"/>
      <c r="AV1024" s="91"/>
      <c r="AW1024" s="91"/>
      <c r="AX1024" s="91"/>
      <c r="AY1024" s="91"/>
      <c r="AZ1024" s="91"/>
      <c r="BA1024" s="91"/>
      <c r="BB1024" s="91"/>
      <c r="BC1024" s="91"/>
      <c r="BD1024" s="91"/>
      <c r="BE1024" s="91"/>
      <c r="BF1024" s="91"/>
      <c r="BG1024" s="91"/>
      <c r="BH1024" s="91"/>
      <c r="BI1024" s="91"/>
    </row>
    <row r="1025" spans="1:61" s="44" customFormat="1" ht="24.95" customHeight="1">
      <c r="A1025" s="888"/>
      <c r="B1025" s="57" t="s">
        <v>10</v>
      </c>
      <c r="C1025" s="57"/>
      <c r="D1025" s="57"/>
      <c r="E1025" s="57"/>
      <c r="F1025" s="57"/>
      <c r="G1025" s="80">
        <f t="shared" ref="G1025:L1026" si="320">G1029+G1037+G1041</f>
        <v>48010.200000000004</v>
      </c>
      <c r="H1025" s="80">
        <f t="shared" si="320"/>
        <v>0</v>
      </c>
      <c r="I1025" s="80">
        <f t="shared" si="320"/>
        <v>0</v>
      </c>
      <c r="J1025" s="80">
        <f t="shared" si="320"/>
        <v>0</v>
      </c>
      <c r="K1025" s="80">
        <f t="shared" si="320"/>
        <v>48010.200000000004</v>
      </c>
      <c r="L1025" s="80">
        <f t="shared" si="320"/>
        <v>0</v>
      </c>
      <c r="M1025" s="439">
        <f>M1029+M1037+M1041+M1033</f>
        <v>43132.1</v>
      </c>
      <c r="N1025" s="484"/>
      <c r="O1025" s="57"/>
      <c r="AJ1025" s="91"/>
      <c r="AK1025" s="91"/>
      <c r="AL1025" s="91"/>
      <c r="AM1025" s="91"/>
      <c r="AN1025" s="91"/>
      <c r="AO1025" s="91"/>
      <c r="AP1025" s="91"/>
      <c r="AQ1025" s="91"/>
      <c r="AR1025" s="91"/>
      <c r="AS1025" s="91"/>
      <c r="AT1025" s="91"/>
      <c r="AU1025" s="91"/>
      <c r="AV1025" s="91"/>
      <c r="AW1025" s="91"/>
      <c r="AX1025" s="91"/>
      <c r="AY1025" s="91"/>
      <c r="AZ1025" s="91"/>
      <c r="BA1025" s="91"/>
      <c r="BB1025" s="91"/>
      <c r="BC1025" s="91"/>
      <c r="BD1025" s="91"/>
      <c r="BE1025" s="91"/>
      <c r="BF1025" s="91"/>
      <c r="BG1025" s="91"/>
      <c r="BH1025" s="91"/>
      <c r="BI1025" s="91"/>
    </row>
    <row r="1026" spans="1:61" s="44" customFormat="1" ht="24.95" customHeight="1">
      <c r="A1026" s="889"/>
      <c r="B1026" s="57" t="s">
        <v>495</v>
      </c>
      <c r="C1026" s="57"/>
      <c r="D1026" s="57"/>
      <c r="E1026" s="57"/>
      <c r="F1026" s="57"/>
      <c r="G1026" s="80">
        <f t="shared" si="320"/>
        <v>0</v>
      </c>
      <c r="H1026" s="80">
        <f t="shared" si="320"/>
        <v>0</v>
      </c>
      <c r="I1026" s="80">
        <f t="shared" si="320"/>
        <v>0</v>
      </c>
      <c r="J1026" s="80">
        <f t="shared" si="320"/>
        <v>0</v>
      </c>
      <c r="K1026" s="80">
        <f t="shared" si="320"/>
        <v>0</v>
      </c>
      <c r="L1026" s="80">
        <f t="shared" si="320"/>
        <v>0</v>
      </c>
      <c r="M1026" s="439">
        <f>M1030+M1038+M1042</f>
        <v>0</v>
      </c>
      <c r="N1026" s="484"/>
      <c r="O1026" s="57"/>
      <c r="AJ1026" s="91"/>
      <c r="AK1026" s="91"/>
      <c r="AL1026" s="91"/>
      <c r="AM1026" s="91"/>
      <c r="AN1026" s="91"/>
      <c r="AO1026" s="91"/>
      <c r="AP1026" s="91"/>
      <c r="AQ1026" s="91"/>
      <c r="AR1026" s="91"/>
      <c r="AS1026" s="91"/>
      <c r="AT1026" s="91"/>
      <c r="AU1026" s="91"/>
      <c r="AV1026" s="91"/>
      <c r="AW1026" s="91"/>
      <c r="AX1026" s="91"/>
      <c r="AY1026" s="91"/>
      <c r="AZ1026" s="91"/>
      <c r="BA1026" s="91"/>
      <c r="BB1026" s="91"/>
      <c r="BC1026" s="91"/>
      <c r="BD1026" s="91"/>
      <c r="BE1026" s="91"/>
      <c r="BF1026" s="91"/>
      <c r="BG1026" s="91"/>
      <c r="BH1026" s="91"/>
      <c r="BI1026" s="91"/>
    </row>
    <row r="1027" spans="1:61" s="44" customFormat="1" ht="22.5" customHeight="1">
      <c r="A1027" s="108" t="s">
        <v>278</v>
      </c>
      <c r="B1027" s="484" t="s">
        <v>89</v>
      </c>
      <c r="C1027" s="484">
        <v>176</v>
      </c>
      <c r="D1027" s="484" t="s">
        <v>15</v>
      </c>
      <c r="E1027" s="484">
        <v>6100404</v>
      </c>
      <c r="F1027" s="484">
        <v>244</v>
      </c>
      <c r="G1027" s="81">
        <f>K1027</f>
        <v>0</v>
      </c>
      <c r="H1027" s="81"/>
      <c r="I1027" s="81"/>
      <c r="J1027" s="81"/>
      <c r="K1027" s="81"/>
      <c r="L1027" s="81"/>
      <c r="M1027" s="580"/>
      <c r="N1027" s="484"/>
      <c r="O1027" s="944" t="s">
        <v>856</v>
      </c>
      <c r="AJ1027" s="91"/>
      <c r="AK1027" s="91"/>
      <c r="AL1027" s="91"/>
      <c r="AM1027" s="91"/>
      <c r="AN1027" s="91"/>
      <c r="AO1027" s="91"/>
      <c r="AP1027" s="91"/>
      <c r="AQ1027" s="91"/>
      <c r="AR1027" s="91"/>
      <c r="AS1027" s="91"/>
      <c r="AT1027" s="91"/>
      <c r="AU1027" s="91"/>
      <c r="AV1027" s="91"/>
      <c r="AW1027" s="91"/>
      <c r="AX1027" s="91"/>
      <c r="AY1027" s="91"/>
      <c r="AZ1027" s="91"/>
      <c r="BA1027" s="91"/>
      <c r="BB1027" s="91"/>
      <c r="BC1027" s="91"/>
      <c r="BD1027" s="91"/>
      <c r="BE1027" s="91"/>
      <c r="BF1027" s="91"/>
      <c r="BG1027" s="91"/>
      <c r="BH1027" s="91"/>
      <c r="BI1027" s="91"/>
    </row>
    <row r="1028" spans="1:61" s="44" customFormat="1" ht="20.25" customHeight="1">
      <c r="A1028" s="109"/>
      <c r="B1028" s="484" t="s">
        <v>25</v>
      </c>
      <c r="C1028" s="484"/>
      <c r="D1028" s="484"/>
      <c r="E1028" s="484"/>
      <c r="F1028" s="484"/>
      <c r="G1028" s="92">
        <f>G1029+G1030</f>
        <v>5871.9</v>
      </c>
      <c r="H1028" s="92">
        <f t="shared" ref="H1028:M1028" si="321">H1029+H1030</f>
        <v>0</v>
      </c>
      <c r="I1028" s="92">
        <f t="shared" si="321"/>
        <v>0</v>
      </c>
      <c r="J1028" s="92">
        <f t="shared" si="321"/>
        <v>0</v>
      </c>
      <c r="K1028" s="92">
        <f t="shared" si="321"/>
        <v>5871.9</v>
      </c>
      <c r="L1028" s="92">
        <f t="shared" si="321"/>
        <v>0</v>
      </c>
      <c r="M1028" s="579">
        <f t="shared" si="321"/>
        <v>0</v>
      </c>
      <c r="N1028" s="484"/>
      <c r="O1028" s="944"/>
      <c r="AJ1028" s="91"/>
      <c r="AK1028" s="91"/>
      <c r="AL1028" s="91"/>
      <c r="AM1028" s="91"/>
      <c r="AN1028" s="91"/>
      <c r="AO1028" s="91"/>
      <c r="AP1028" s="91"/>
      <c r="AQ1028" s="91"/>
      <c r="AR1028" s="91"/>
      <c r="AS1028" s="91"/>
      <c r="AT1028" s="91"/>
      <c r="AU1028" s="91"/>
      <c r="AV1028" s="91"/>
      <c r="AW1028" s="91"/>
      <c r="AX1028" s="91"/>
      <c r="AY1028" s="91"/>
      <c r="AZ1028" s="91"/>
      <c r="BA1028" s="91"/>
      <c r="BB1028" s="91"/>
      <c r="BC1028" s="91"/>
      <c r="BD1028" s="91"/>
      <c r="BE1028" s="91"/>
      <c r="BF1028" s="91"/>
      <c r="BG1028" s="91"/>
      <c r="BH1028" s="91"/>
      <c r="BI1028" s="91"/>
    </row>
    <row r="1029" spans="1:61" s="44" customFormat="1" ht="21" customHeight="1">
      <c r="A1029" s="109"/>
      <c r="B1029" s="484" t="s">
        <v>10</v>
      </c>
      <c r="C1029" s="484"/>
      <c r="D1029" s="484"/>
      <c r="E1029" s="484"/>
      <c r="F1029" s="484"/>
      <c r="G1029" s="92">
        <f>K1029</f>
        <v>5871.9</v>
      </c>
      <c r="H1029" s="92"/>
      <c r="I1029" s="92"/>
      <c r="J1029" s="92"/>
      <c r="K1029" s="92">
        <v>5871.9</v>
      </c>
      <c r="L1029" s="92"/>
      <c r="M1029" s="580"/>
      <c r="N1029" s="484"/>
      <c r="O1029" s="944"/>
      <c r="AJ1029" s="91"/>
      <c r="AK1029" s="91"/>
      <c r="AL1029" s="91"/>
      <c r="AM1029" s="91"/>
      <c r="AN1029" s="91"/>
      <c r="AO1029" s="91"/>
      <c r="AP1029" s="91"/>
      <c r="AQ1029" s="91"/>
      <c r="AR1029" s="91"/>
      <c r="AS1029" s="91"/>
      <c r="AT1029" s="91"/>
      <c r="AU1029" s="91"/>
      <c r="AV1029" s="91"/>
      <c r="AW1029" s="91"/>
      <c r="AX1029" s="91"/>
      <c r="AY1029" s="91"/>
      <c r="AZ1029" s="91"/>
      <c r="BA1029" s="91"/>
      <c r="BB1029" s="91"/>
      <c r="BC1029" s="91"/>
      <c r="BD1029" s="91"/>
      <c r="BE1029" s="91"/>
      <c r="BF1029" s="91"/>
      <c r="BG1029" s="91"/>
      <c r="BH1029" s="91"/>
      <c r="BI1029" s="91"/>
    </row>
    <row r="1030" spans="1:61" ht="24.75" customHeight="1">
      <c r="A1030" s="110"/>
      <c r="B1030" s="484" t="s">
        <v>495</v>
      </c>
      <c r="C1030" s="484"/>
      <c r="D1030" s="484"/>
      <c r="E1030" s="484"/>
      <c r="F1030" s="484"/>
      <c r="G1030" s="81"/>
      <c r="H1030" s="81"/>
      <c r="I1030" s="81"/>
      <c r="J1030" s="81"/>
      <c r="K1030" s="81"/>
      <c r="L1030" s="81"/>
      <c r="M1030" s="580"/>
      <c r="N1030" s="484"/>
      <c r="O1030" s="944"/>
    </row>
    <row r="1031" spans="1:61" ht="23.25" customHeight="1">
      <c r="A1031" s="926" t="s">
        <v>584</v>
      </c>
      <c r="B1031" s="661" t="s">
        <v>89</v>
      </c>
      <c r="C1031" s="661"/>
      <c r="D1031" s="661"/>
      <c r="E1031" s="661"/>
      <c r="F1031" s="661"/>
      <c r="G1031" s="81">
        <f>K1031</f>
        <v>0</v>
      </c>
      <c r="H1031" s="81"/>
      <c r="I1031" s="81"/>
      <c r="J1031" s="81"/>
      <c r="K1031" s="81"/>
      <c r="L1031" s="81"/>
      <c r="M1031" s="580"/>
      <c r="N1031" s="661"/>
      <c r="O1031" s="944" t="s">
        <v>856</v>
      </c>
    </row>
    <row r="1032" spans="1:61" ht="22.5" customHeight="1">
      <c r="A1032" s="927"/>
      <c r="B1032" s="661" t="s">
        <v>25</v>
      </c>
      <c r="C1032" s="661"/>
      <c r="D1032" s="661"/>
      <c r="E1032" s="661"/>
      <c r="F1032" s="661"/>
      <c r="G1032" s="81">
        <f t="shared" ref="G1032:G1034" si="322">K1032</f>
        <v>0</v>
      </c>
      <c r="H1032" s="81"/>
      <c r="I1032" s="81"/>
      <c r="J1032" s="81"/>
      <c r="K1032" s="81">
        <f>K1033+K1034</f>
        <v>0</v>
      </c>
      <c r="L1032" s="81">
        <f t="shared" ref="L1032:M1032" si="323">L1033+L1034</f>
        <v>0</v>
      </c>
      <c r="M1032" s="580">
        <f t="shared" si="323"/>
        <v>15000</v>
      </c>
      <c r="N1032" s="661"/>
      <c r="O1032" s="944"/>
    </row>
    <row r="1033" spans="1:61" ht="22.5" customHeight="1">
      <c r="A1033" s="927"/>
      <c r="B1033" s="661" t="s">
        <v>10</v>
      </c>
      <c r="C1033" s="661"/>
      <c r="D1033" s="661"/>
      <c r="E1033" s="661"/>
      <c r="F1033" s="661"/>
      <c r="G1033" s="81">
        <f t="shared" si="322"/>
        <v>0</v>
      </c>
      <c r="H1033" s="81"/>
      <c r="I1033" s="81"/>
      <c r="J1033" s="81"/>
      <c r="K1033" s="81"/>
      <c r="L1033" s="81"/>
      <c r="M1033" s="580">
        <v>15000</v>
      </c>
      <c r="N1033" s="661"/>
      <c r="O1033" s="944"/>
    </row>
    <row r="1034" spans="1:61" ht="21.75" customHeight="1">
      <c r="A1034" s="927"/>
      <c r="B1034" s="661" t="s">
        <v>495</v>
      </c>
      <c r="C1034" s="661"/>
      <c r="D1034" s="661"/>
      <c r="E1034" s="661"/>
      <c r="F1034" s="661"/>
      <c r="G1034" s="81">
        <f t="shared" si="322"/>
        <v>0</v>
      </c>
      <c r="H1034" s="81"/>
      <c r="I1034" s="81"/>
      <c r="J1034" s="81"/>
      <c r="K1034" s="81"/>
      <c r="L1034" s="81"/>
      <c r="M1034" s="580"/>
      <c r="N1034" s="661"/>
      <c r="O1034" s="944"/>
    </row>
    <row r="1035" spans="1:61" ht="23.25" customHeight="1">
      <c r="A1035" s="926" t="s">
        <v>993</v>
      </c>
      <c r="B1035" s="484" t="s">
        <v>89</v>
      </c>
      <c r="C1035" s="484"/>
      <c r="D1035" s="484"/>
      <c r="E1035" s="484"/>
      <c r="F1035" s="484"/>
      <c r="G1035" s="81">
        <f>K1035</f>
        <v>0</v>
      </c>
      <c r="H1035" s="81"/>
      <c r="I1035" s="81"/>
      <c r="J1035" s="81"/>
      <c r="K1035" s="81"/>
      <c r="L1035" s="81"/>
      <c r="M1035" s="580"/>
      <c r="N1035" s="484"/>
      <c r="O1035" s="944" t="s">
        <v>856</v>
      </c>
    </row>
    <row r="1036" spans="1:61" ht="22.5" customHeight="1">
      <c r="A1036" s="927"/>
      <c r="B1036" s="484" t="s">
        <v>25</v>
      </c>
      <c r="C1036" s="484"/>
      <c r="D1036" s="484"/>
      <c r="E1036" s="484"/>
      <c r="F1036" s="484"/>
      <c r="G1036" s="81">
        <f t="shared" ref="G1036:G1038" si="324">K1036</f>
        <v>0</v>
      </c>
      <c r="H1036" s="81"/>
      <c r="I1036" s="81"/>
      <c r="J1036" s="81"/>
      <c r="K1036" s="81">
        <f>K1037+K1038</f>
        <v>0</v>
      </c>
      <c r="L1036" s="81">
        <f t="shared" ref="L1036:M1036" si="325">L1037+L1038</f>
        <v>0</v>
      </c>
      <c r="M1036" s="580">
        <f t="shared" si="325"/>
        <v>15000</v>
      </c>
      <c r="N1036" s="484"/>
      <c r="O1036" s="944"/>
    </row>
    <row r="1037" spans="1:61" ht="22.5" customHeight="1">
      <c r="A1037" s="927"/>
      <c r="B1037" s="484" t="s">
        <v>10</v>
      </c>
      <c r="C1037" s="484"/>
      <c r="D1037" s="484"/>
      <c r="E1037" s="484"/>
      <c r="F1037" s="484"/>
      <c r="G1037" s="81">
        <f t="shared" si="324"/>
        <v>0</v>
      </c>
      <c r="H1037" s="81"/>
      <c r="I1037" s="81"/>
      <c r="J1037" s="81"/>
      <c r="K1037" s="81"/>
      <c r="L1037" s="81"/>
      <c r="M1037" s="580">
        <v>15000</v>
      </c>
      <c r="N1037" s="484"/>
      <c r="O1037" s="944"/>
    </row>
    <row r="1038" spans="1:61" ht="21.75" customHeight="1">
      <c r="A1038" s="927"/>
      <c r="B1038" s="484" t="s">
        <v>495</v>
      </c>
      <c r="C1038" s="484"/>
      <c r="D1038" s="484"/>
      <c r="E1038" s="484"/>
      <c r="F1038" s="484"/>
      <c r="G1038" s="81">
        <f t="shared" si="324"/>
        <v>0</v>
      </c>
      <c r="H1038" s="81"/>
      <c r="I1038" s="81"/>
      <c r="J1038" s="81"/>
      <c r="K1038" s="81"/>
      <c r="L1038" s="81"/>
      <c r="M1038" s="580"/>
      <c r="N1038" s="484"/>
      <c r="O1038" s="944"/>
    </row>
    <row r="1039" spans="1:61" ht="22.5" customHeight="1">
      <c r="A1039" s="926" t="s">
        <v>853</v>
      </c>
      <c r="B1039" s="484" t="s">
        <v>89</v>
      </c>
      <c r="C1039" s="484"/>
      <c r="D1039" s="484"/>
      <c r="E1039" s="484"/>
      <c r="F1039" s="484"/>
      <c r="G1039" s="81">
        <f>K1039</f>
        <v>1.2</v>
      </c>
      <c r="H1039" s="81"/>
      <c r="I1039" s="81"/>
      <c r="J1039" s="81"/>
      <c r="K1039" s="81">
        <v>1.2</v>
      </c>
      <c r="L1039" s="81"/>
      <c r="M1039" s="580">
        <v>1</v>
      </c>
      <c r="N1039" s="484"/>
      <c r="O1039" s="933" t="s">
        <v>1020</v>
      </c>
    </row>
    <row r="1040" spans="1:61" ht="24.95" customHeight="1">
      <c r="A1040" s="927"/>
      <c r="B1040" s="484" t="s">
        <v>25</v>
      </c>
      <c r="C1040" s="484"/>
      <c r="D1040" s="484"/>
      <c r="E1040" s="484"/>
      <c r="F1040" s="484"/>
      <c r="G1040" s="81">
        <f t="shared" ref="G1040:G1041" si="326">K1040</f>
        <v>42138.3</v>
      </c>
      <c r="H1040" s="81"/>
      <c r="I1040" s="81"/>
      <c r="J1040" s="81"/>
      <c r="K1040" s="81">
        <f>K1041</f>
        <v>42138.3</v>
      </c>
      <c r="L1040" s="81">
        <f>L1041</f>
        <v>0</v>
      </c>
      <c r="M1040" s="580">
        <f>M1041+M1042</f>
        <v>13132.1</v>
      </c>
      <c r="N1040" s="484"/>
      <c r="O1040" s="946"/>
    </row>
    <row r="1041" spans="1:61" ht="24.95" customHeight="1">
      <c r="A1041" s="927"/>
      <c r="B1041" s="484" t="s">
        <v>10</v>
      </c>
      <c r="C1041" s="484"/>
      <c r="D1041" s="484"/>
      <c r="E1041" s="484"/>
      <c r="F1041" s="484"/>
      <c r="G1041" s="81">
        <f t="shared" si="326"/>
        <v>42138.3</v>
      </c>
      <c r="H1041" s="81"/>
      <c r="I1041" s="81"/>
      <c r="J1041" s="81"/>
      <c r="K1041" s="81">
        <f>15138.3+27000</f>
        <v>42138.3</v>
      </c>
      <c r="L1041" s="81"/>
      <c r="M1041" s="580">
        <v>13132.1</v>
      </c>
      <c r="N1041" s="484"/>
      <c r="O1041" s="946"/>
    </row>
    <row r="1042" spans="1:61" ht="24.95" customHeight="1">
      <c r="A1042" s="928"/>
      <c r="B1042" s="484" t="s">
        <v>495</v>
      </c>
      <c r="C1042" s="484"/>
      <c r="D1042" s="484"/>
      <c r="E1042" s="484"/>
      <c r="F1042" s="484"/>
      <c r="G1042" s="81"/>
      <c r="H1042" s="81"/>
      <c r="I1042" s="81"/>
      <c r="J1042" s="81"/>
      <c r="K1042" s="81"/>
      <c r="L1042" s="81"/>
      <c r="M1042" s="580"/>
      <c r="N1042" s="484"/>
      <c r="O1042" s="934"/>
    </row>
    <row r="1043" spans="1:61" ht="24.95" customHeight="1">
      <c r="A1043" s="887" t="s">
        <v>101</v>
      </c>
      <c r="B1043" s="57" t="s">
        <v>89</v>
      </c>
      <c r="C1043" s="57"/>
      <c r="D1043" s="57"/>
      <c r="E1043" s="57"/>
      <c r="F1043" s="57"/>
      <c r="G1043" s="80">
        <f>G1047+G1051+G1054+G1058+G1060</f>
        <v>1.3</v>
      </c>
      <c r="H1043" s="80">
        <f t="shared" ref="H1043:M1043" si="327">H1047+H1051+H1054+H1058+H1060</f>
        <v>0</v>
      </c>
      <c r="I1043" s="80">
        <f t="shared" si="327"/>
        <v>0</v>
      </c>
      <c r="J1043" s="80">
        <f t="shared" si="327"/>
        <v>0</v>
      </c>
      <c r="K1043" s="80">
        <f t="shared" si="327"/>
        <v>1.3</v>
      </c>
      <c r="L1043" s="80">
        <f t="shared" si="327"/>
        <v>0</v>
      </c>
      <c r="M1043" s="439">
        <f t="shared" si="327"/>
        <v>1</v>
      </c>
      <c r="N1043" s="484"/>
      <c r="O1043" s="57"/>
    </row>
    <row r="1044" spans="1:61" ht="24.95" customHeight="1">
      <c r="A1044" s="888"/>
      <c r="B1044" s="57" t="s">
        <v>25</v>
      </c>
      <c r="C1044" s="57"/>
      <c r="D1044" s="57"/>
      <c r="E1044" s="57"/>
      <c r="F1044" s="57"/>
      <c r="G1044" s="80">
        <f>G1045+G1046</f>
        <v>35903.1</v>
      </c>
      <c r="H1044" s="80">
        <f t="shared" ref="H1044:M1044" si="328">H1045+H1046</f>
        <v>0</v>
      </c>
      <c r="I1044" s="80">
        <f t="shared" si="328"/>
        <v>0</v>
      </c>
      <c r="J1044" s="80">
        <f t="shared" si="328"/>
        <v>0</v>
      </c>
      <c r="K1044" s="80">
        <f t="shared" si="328"/>
        <v>35903.1</v>
      </c>
      <c r="L1044" s="80">
        <f t="shared" si="328"/>
        <v>6840</v>
      </c>
      <c r="M1044" s="439">
        <f t="shared" si="328"/>
        <v>47370.5</v>
      </c>
      <c r="N1044" s="484"/>
      <c r="O1044" s="57"/>
    </row>
    <row r="1045" spans="1:61" ht="24.95" customHeight="1">
      <c r="A1045" s="888"/>
      <c r="B1045" s="57" t="s">
        <v>10</v>
      </c>
      <c r="C1045" s="57"/>
      <c r="D1045" s="57"/>
      <c r="E1045" s="57"/>
      <c r="F1045" s="57"/>
      <c r="G1045" s="80">
        <f>G1049+G1053+G1055+G1059+G1061</f>
        <v>35903.1</v>
      </c>
      <c r="H1045" s="80">
        <f t="shared" ref="H1045:L1045" si="329">H1049+H1053+H1055+H1059+H1061</f>
        <v>0</v>
      </c>
      <c r="I1045" s="80">
        <f t="shared" si="329"/>
        <v>0</v>
      </c>
      <c r="J1045" s="80">
        <f t="shared" si="329"/>
        <v>0</v>
      </c>
      <c r="K1045" s="80">
        <f t="shared" si="329"/>
        <v>35903.1</v>
      </c>
      <c r="L1045" s="80">
        <f t="shared" si="329"/>
        <v>6840</v>
      </c>
      <c r="M1045" s="439">
        <f>M1053+M1055+M1057+M1059+M1061</f>
        <v>47370.5</v>
      </c>
      <c r="N1045" s="484"/>
      <c r="O1045" s="57"/>
    </row>
    <row r="1046" spans="1:61" s="44" customFormat="1" ht="24.95" customHeight="1">
      <c r="A1046" s="889"/>
      <c r="B1046" s="57" t="s">
        <v>495</v>
      </c>
      <c r="C1046" s="57"/>
      <c r="D1046" s="57"/>
      <c r="E1046" s="57"/>
      <c r="F1046" s="57"/>
      <c r="G1046" s="80">
        <f>G1050</f>
        <v>0</v>
      </c>
      <c r="H1046" s="80">
        <f t="shared" ref="H1046:M1046" si="330">H1050</f>
        <v>0</v>
      </c>
      <c r="I1046" s="80">
        <f t="shared" si="330"/>
        <v>0</v>
      </c>
      <c r="J1046" s="80">
        <f t="shared" si="330"/>
        <v>0</v>
      </c>
      <c r="K1046" s="80">
        <f t="shared" si="330"/>
        <v>0</v>
      </c>
      <c r="L1046" s="80">
        <f t="shared" si="330"/>
        <v>0</v>
      </c>
      <c r="M1046" s="439">
        <f t="shared" si="330"/>
        <v>0</v>
      </c>
      <c r="N1046" s="484"/>
      <c r="O1046" s="57"/>
      <c r="AJ1046" s="91"/>
      <c r="AK1046" s="91"/>
      <c r="AL1046" s="91"/>
      <c r="AM1046" s="91"/>
      <c r="AN1046" s="91"/>
      <c r="AO1046" s="91"/>
      <c r="AP1046" s="91"/>
      <c r="AQ1046" s="91"/>
      <c r="AR1046" s="91"/>
      <c r="AS1046" s="91"/>
      <c r="AT1046" s="91"/>
      <c r="AU1046" s="91"/>
      <c r="AV1046" s="91"/>
      <c r="AW1046" s="91"/>
      <c r="AX1046" s="91"/>
      <c r="AY1046" s="91"/>
      <c r="AZ1046" s="91"/>
      <c r="BA1046" s="91"/>
      <c r="BB1046" s="91"/>
      <c r="BC1046" s="91"/>
      <c r="BD1046" s="91"/>
      <c r="BE1046" s="91"/>
      <c r="BF1046" s="91"/>
      <c r="BG1046" s="91"/>
      <c r="BH1046" s="91"/>
      <c r="BI1046" s="91"/>
    </row>
    <row r="1047" spans="1:61" s="44" customFormat="1" ht="24.95" hidden="1" customHeight="1">
      <c r="A1047" s="932" t="s">
        <v>587</v>
      </c>
      <c r="B1047" s="484" t="s">
        <v>89</v>
      </c>
      <c r="C1047" s="484">
        <v>176</v>
      </c>
      <c r="D1047" s="484" t="s">
        <v>15</v>
      </c>
      <c r="E1047" s="484">
        <v>6100404</v>
      </c>
      <c r="F1047" s="484">
        <v>244</v>
      </c>
      <c r="G1047" s="81">
        <f>K1047</f>
        <v>0</v>
      </c>
      <c r="H1047" s="81"/>
      <c r="I1047" s="81"/>
      <c r="J1047" s="81"/>
      <c r="K1047" s="81"/>
      <c r="L1047" s="81"/>
      <c r="M1047" s="580"/>
      <c r="N1047" s="484"/>
      <c r="O1047" s="944" t="s">
        <v>513</v>
      </c>
      <c r="AJ1047" s="91"/>
      <c r="AK1047" s="91"/>
      <c r="AL1047" s="91"/>
      <c r="AM1047" s="91"/>
      <c r="AN1047" s="91"/>
      <c r="AO1047" s="91"/>
      <c r="AP1047" s="91"/>
      <c r="AQ1047" s="91"/>
      <c r="AR1047" s="91"/>
      <c r="AS1047" s="91"/>
      <c r="AT1047" s="91"/>
      <c r="AU1047" s="91"/>
      <c r="AV1047" s="91"/>
      <c r="AW1047" s="91"/>
      <c r="AX1047" s="91"/>
      <c r="AY1047" s="91"/>
      <c r="AZ1047" s="91"/>
      <c r="BA1047" s="91"/>
      <c r="BB1047" s="91"/>
      <c r="BC1047" s="91"/>
      <c r="BD1047" s="91"/>
      <c r="BE1047" s="91"/>
      <c r="BF1047" s="91"/>
      <c r="BG1047" s="91"/>
      <c r="BH1047" s="91"/>
      <c r="BI1047" s="91"/>
    </row>
    <row r="1048" spans="1:61" s="44" customFormat="1" ht="24.95" hidden="1" customHeight="1">
      <c r="A1048" s="932"/>
      <c r="B1048" s="484" t="s">
        <v>25</v>
      </c>
      <c r="C1048" s="484"/>
      <c r="D1048" s="484"/>
      <c r="E1048" s="484"/>
      <c r="F1048" s="484"/>
      <c r="G1048" s="81">
        <f t="shared" ref="G1048:G1049" si="331">K1048</f>
        <v>0</v>
      </c>
      <c r="H1048" s="81"/>
      <c r="I1048" s="81"/>
      <c r="J1048" s="81"/>
      <c r="K1048" s="81">
        <f>K1049+K1050</f>
        <v>0</v>
      </c>
      <c r="L1048" s="81">
        <f>L1049+L1050</f>
        <v>0</v>
      </c>
      <c r="M1048" s="580"/>
      <c r="N1048" s="484"/>
      <c r="O1048" s="944"/>
      <c r="AJ1048" s="91"/>
      <c r="AK1048" s="91"/>
      <c r="AL1048" s="91"/>
      <c r="AM1048" s="91"/>
      <c r="AN1048" s="91"/>
      <c r="AO1048" s="91"/>
      <c r="AP1048" s="91"/>
      <c r="AQ1048" s="91"/>
      <c r="AR1048" s="91"/>
      <c r="AS1048" s="91"/>
      <c r="AT1048" s="91"/>
      <c r="AU1048" s="91"/>
      <c r="AV1048" s="91"/>
      <c r="AW1048" s="91"/>
      <c r="AX1048" s="91"/>
      <c r="AY1048" s="91"/>
      <c r="AZ1048" s="91"/>
      <c r="BA1048" s="91"/>
      <c r="BB1048" s="91"/>
      <c r="BC1048" s="91"/>
      <c r="BD1048" s="91"/>
      <c r="BE1048" s="91"/>
      <c r="BF1048" s="91"/>
      <c r="BG1048" s="91"/>
      <c r="BH1048" s="91"/>
      <c r="BI1048" s="91"/>
    </row>
    <row r="1049" spans="1:61" s="44" customFormat="1" ht="24.95" hidden="1" customHeight="1">
      <c r="A1049" s="932"/>
      <c r="B1049" s="484" t="s">
        <v>10</v>
      </c>
      <c r="C1049" s="484"/>
      <c r="D1049" s="484"/>
      <c r="E1049" s="484"/>
      <c r="F1049" s="484"/>
      <c r="G1049" s="81">
        <f t="shared" si="331"/>
        <v>0</v>
      </c>
      <c r="H1049" s="81"/>
      <c r="I1049" s="81"/>
      <c r="J1049" s="81"/>
      <c r="K1049" s="81"/>
      <c r="L1049" s="81"/>
      <c r="M1049" s="580"/>
      <c r="N1049" s="484"/>
      <c r="O1049" s="944"/>
      <c r="AJ1049" s="91"/>
      <c r="AK1049" s="91"/>
      <c r="AL1049" s="91"/>
      <c r="AM1049" s="91"/>
      <c r="AN1049" s="91"/>
      <c r="AO1049" s="91"/>
      <c r="AP1049" s="91"/>
      <c r="AQ1049" s="91"/>
      <c r="AR1049" s="91"/>
      <c r="AS1049" s="91"/>
      <c r="AT1049" s="91"/>
      <c r="AU1049" s="91"/>
      <c r="AV1049" s="91"/>
      <c r="AW1049" s="91"/>
      <c r="AX1049" s="91"/>
      <c r="AY1049" s="91"/>
      <c r="AZ1049" s="91"/>
      <c r="BA1049" s="91"/>
      <c r="BB1049" s="91"/>
      <c r="BC1049" s="91"/>
      <c r="BD1049" s="91"/>
      <c r="BE1049" s="91"/>
      <c r="BF1049" s="91"/>
      <c r="BG1049" s="91"/>
      <c r="BH1049" s="91"/>
      <c r="BI1049" s="91"/>
    </row>
    <row r="1050" spans="1:61" s="44" customFormat="1" ht="25.15" hidden="1" customHeight="1">
      <c r="A1050" s="932"/>
      <c r="B1050" s="484" t="s">
        <v>495</v>
      </c>
      <c r="C1050" s="484"/>
      <c r="D1050" s="484"/>
      <c r="E1050" s="484"/>
      <c r="F1050" s="484"/>
      <c r="G1050" s="81">
        <f>K1050</f>
        <v>0</v>
      </c>
      <c r="H1050" s="81"/>
      <c r="I1050" s="81"/>
      <c r="J1050" s="81"/>
      <c r="K1050" s="81"/>
      <c r="L1050" s="81"/>
      <c r="M1050" s="439"/>
      <c r="N1050" s="57"/>
      <c r="O1050" s="944"/>
      <c r="AJ1050" s="91"/>
      <c r="AK1050" s="91"/>
      <c r="AL1050" s="91"/>
      <c r="AM1050" s="91"/>
      <c r="AN1050" s="91"/>
      <c r="AO1050" s="91"/>
      <c r="AP1050" s="91"/>
      <c r="AQ1050" s="91"/>
      <c r="AR1050" s="91"/>
      <c r="AS1050" s="91"/>
      <c r="AT1050" s="91"/>
      <c r="AU1050" s="91"/>
      <c r="AV1050" s="91"/>
      <c r="AW1050" s="91"/>
      <c r="AX1050" s="91"/>
      <c r="AY1050" s="91"/>
      <c r="AZ1050" s="91"/>
      <c r="BA1050" s="91"/>
      <c r="BB1050" s="91"/>
      <c r="BC1050" s="91"/>
      <c r="BD1050" s="91"/>
      <c r="BE1050" s="91"/>
      <c r="BF1050" s="91"/>
      <c r="BG1050" s="91"/>
      <c r="BH1050" s="91"/>
      <c r="BI1050" s="91"/>
    </row>
    <row r="1051" spans="1:61" s="44" customFormat="1" ht="25.15" customHeight="1">
      <c r="A1051" s="926" t="s">
        <v>711</v>
      </c>
      <c r="B1051" s="484" t="s">
        <v>89</v>
      </c>
      <c r="C1051" s="484"/>
      <c r="D1051" s="484"/>
      <c r="E1051" s="484"/>
      <c r="F1051" s="484"/>
      <c r="G1051" s="81">
        <f>J1051</f>
        <v>0</v>
      </c>
      <c r="H1051" s="81"/>
      <c r="I1051" s="81"/>
      <c r="J1051" s="81"/>
      <c r="K1051" s="81"/>
      <c r="L1051" s="81"/>
      <c r="M1051" s="580"/>
      <c r="N1051" s="57"/>
      <c r="O1051" s="944" t="s">
        <v>856</v>
      </c>
      <c r="AJ1051" s="91"/>
      <c r="AK1051" s="91"/>
      <c r="AL1051" s="91"/>
      <c r="AM1051" s="91"/>
      <c r="AN1051" s="91"/>
      <c r="AO1051" s="91"/>
      <c r="AP1051" s="91"/>
      <c r="AQ1051" s="91"/>
      <c r="AR1051" s="91"/>
      <c r="AS1051" s="91"/>
      <c r="AT1051" s="91"/>
      <c r="AU1051" s="91"/>
      <c r="AV1051" s="91"/>
      <c r="AW1051" s="91"/>
      <c r="AX1051" s="91"/>
      <c r="AY1051" s="91"/>
      <c r="AZ1051" s="91"/>
      <c r="BA1051" s="91"/>
      <c r="BB1051" s="91"/>
      <c r="BC1051" s="91"/>
      <c r="BD1051" s="91"/>
      <c r="BE1051" s="91"/>
      <c r="BF1051" s="91"/>
      <c r="BG1051" s="91"/>
      <c r="BH1051" s="91"/>
      <c r="BI1051" s="91"/>
    </row>
    <row r="1052" spans="1:61" s="44" customFormat="1" ht="25.15" customHeight="1">
      <c r="A1052" s="927"/>
      <c r="B1052" s="484" t="s">
        <v>329</v>
      </c>
      <c r="C1052" s="484"/>
      <c r="D1052" s="484"/>
      <c r="E1052" s="484"/>
      <c r="F1052" s="484"/>
      <c r="G1052" s="81">
        <f>G1053</f>
        <v>0</v>
      </c>
      <c r="H1052" s="81">
        <f t="shared" ref="H1052:K1052" si="332">H1053</f>
        <v>0</v>
      </c>
      <c r="I1052" s="81">
        <f t="shared" si="332"/>
        <v>0</v>
      </c>
      <c r="J1052" s="81">
        <f t="shared" si="332"/>
        <v>0</v>
      </c>
      <c r="K1052" s="81">
        <f t="shared" si="332"/>
        <v>0</v>
      </c>
      <c r="L1052" s="81">
        <f>L1053</f>
        <v>0</v>
      </c>
      <c r="M1052" s="580">
        <f>M1053</f>
        <v>10000</v>
      </c>
      <c r="N1052" s="57"/>
      <c r="O1052" s="944"/>
      <c r="AJ1052" s="91"/>
      <c r="AK1052" s="91"/>
      <c r="AL1052" s="91"/>
      <c r="AM1052" s="91"/>
      <c r="AN1052" s="91"/>
      <c r="AO1052" s="91"/>
      <c r="AP1052" s="91"/>
      <c r="AQ1052" s="91"/>
      <c r="AR1052" s="91"/>
      <c r="AS1052" s="91"/>
      <c r="AT1052" s="91"/>
      <c r="AU1052" s="91"/>
      <c r="AV1052" s="91"/>
      <c r="AW1052" s="91"/>
      <c r="AX1052" s="91"/>
      <c r="AY1052" s="91"/>
      <c r="AZ1052" s="91"/>
      <c r="BA1052" s="91"/>
      <c r="BB1052" s="91"/>
      <c r="BC1052" s="91"/>
      <c r="BD1052" s="91"/>
      <c r="BE1052" s="91"/>
      <c r="BF1052" s="91"/>
      <c r="BG1052" s="91"/>
      <c r="BH1052" s="91"/>
      <c r="BI1052" s="91"/>
    </row>
    <row r="1053" spans="1:61" s="44" customFormat="1" ht="25.15" customHeight="1">
      <c r="A1053" s="928"/>
      <c r="B1053" s="484" t="s">
        <v>337</v>
      </c>
      <c r="C1053" s="484"/>
      <c r="D1053" s="484"/>
      <c r="E1053" s="484"/>
      <c r="F1053" s="484"/>
      <c r="G1053" s="81">
        <f>K1053</f>
        <v>0</v>
      </c>
      <c r="H1053" s="81"/>
      <c r="I1053" s="81"/>
      <c r="J1053" s="81"/>
      <c r="K1053" s="81">
        <v>0</v>
      </c>
      <c r="L1053" s="81"/>
      <c r="M1053" s="580">
        <v>10000</v>
      </c>
      <c r="N1053" s="57"/>
      <c r="O1053" s="944"/>
      <c r="AJ1053" s="91"/>
      <c r="AK1053" s="91"/>
      <c r="AL1053" s="91"/>
      <c r="AM1053" s="91"/>
      <c r="AN1053" s="91"/>
      <c r="AO1053" s="91"/>
      <c r="AP1053" s="91"/>
      <c r="AQ1053" s="91"/>
      <c r="AR1053" s="91"/>
      <c r="AS1053" s="91"/>
      <c r="AT1053" s="91"/>
      <c r="AU1053" s="91"/>
      <c r="AV1053" s="91"/>
      <c r="AW1053" s="91"/>
      <c r="AX1053" s="91"/>
      <c r="AY1053" s="91"/>
      <c r="AZ1053" s="91"/>
      <c r="BA1053" s="91"/>
      <c r="BB1053" s="91"/>
      <c r="BC1053" s="91"/>
      <c r="BD1053" s="91"/>
      <c r="BE1053" s="91"/>
      <c r="BF1053" s="91"/>
      <c r="BG1053" s="91"/>
      <c r="BH1053" s="91"/>
      <c r="BI1053" s="91"/>
    </row>
    <row r="1054" spans="1:61" ht="24.6" customHeight="1">
      <c r="A1054" s="926" t="s">
        <v>994</v>
      </c>
      <c r="B1054" s="484" t="s">
        <v>89</v>
      </c>
      <c r="C1054" s="484"/>
      <c r="D1054" s="484"/>
      <c r="E1054" s="484"/>
      <c r="F1054" s="484"/>
      <c r="G1054" s="81">
        <f>J1054</f>
        <v>0</v>
      </c>
      <c r="H1054" s="81"/>
      <c r="I1054" s="81"/>
      <c r="J1054" s="81"/>
      <c r="K1054" s="81"/>
      <c r="L1054" s="81"/>
      <c r="M1054" s="580"/>
      <c r="N1054" s="484"/>
      <c r="O1054" s="933" t="s">
        <v>856</v>
      </c>
    </row>
    <row r="1055" spans="1:61" ht="24.6" customHeight="1">
      <c r="A1055" s="927"/>
      <c r="B1055" s="484" t="s">
        <v>246</v>
      </c>
      <c r="C1055" s="484"/>
      <c r="D1055" s="484"/>
      <c r="E1055" s="484"/>
      <c r="F1055" s="484"/>
      <c r="G1055" s="81">
        <f>K1055</f>
        <v>0</v>
      </c>
      <c r="H1055" s="81"/>
      <c r="I1055" s="81"/>
      <c r="J1055" s="81"/>
      <c r="K1055" s="81">
        <v>0</v>
      </c>
      <c r="L1055" s="81"/>
      <c r="M1055" s="580">
        <v>5000</v>
      </c>
      <c r="N1055" s="484"/>
      <c r="O1055" s="946"/>
    </row>
    <row r="1056" spans="1:61" s="44" customFormat="1" ht="24.6" customHeight="1">
      <c r="A1056" s="926" t="s">
        <v>1113</v>
      </c>
      <c r="B1056" s="661" t="s">
        <v>89</v>
      </c>
      <c r="C1056" s="661"/>
      <c r="D1056" s="661"/>
      <c r="E1056" s="661"/>
      <c r="F1056" s="661"/>
      <c r="G1056" s="81"/>
      <c r="H1056" s="81"/>
      <c r="I1056" s="81"/>
      <c r="J1056" s="81"/>
      <c r="K1056" s="81"/>
      <c r="L1056" s="81"/>
      <c r="M1056" s="580"/>
      <c r="N1056" s="661"/>
      <c r="O1056" s="933" t="s">
        <v>856</v>
      </c>
      <c r="AJ1056" s="91"/>
      <c r="AK1056" s="91"/>
      <c r="AL1056" s="91"/>
      <c r="AM1056" s="91"/>
      <c r="AN1056" s="91"/>
      <c r="AO1056" s="91"/>
      <c r="AP1056" s="91"/>
      <c r="AQ1056" s="91"/>
      <c r="AR1056" s="91"/>
      <c r="AS1056" s="91"/>
      <c r="AT1056" s="91"/>
      <c r="AU1056" s="91"/>
      <c r="AV1056" s="91"/>
      <c r="AW1056" s="91"/>
      <c r="AX1056" s="91"/>
      <c r="AY1056" s="91"/>
      <c r="AZ1056" s="91"/>
      <c r="BA1056" s="91"/>
      <c r="BB1056" s="91"/>
      <c r="BC1056" s="91"/>
      <c r="BD1056" s="91"/>
      <c r="BE1056" s="91"/>
      <c r="BF1056" s="91"/>
      <c r="BG1056" s="91"/>
      <c r="BH1056" s="91"/>
      <c r="BI1056" s="91"/>
    </row>
    <row r="1057" spans="1:61" ht="24.6" customHeight="1">
      <c r="A1057" s="928"/>
      <c r="B1057" s="661" t="s">
        <v>246</v>
      </c>
      <c r="C1057" s="661"/>
      <c r="D1057" s="661"/>
      <c r="E1057" s="661"/>
      <c r="F1057" s="661"/>
      <c r="G1057" s="81"/>
      <c r="H1057" s="81"/>
      <c r="I1057" s="81"/>
      <c r="J1057" s="81"/>
      <c r="K1057" s="81"/>
      <c r="L1057" s="81"/>
      <c r="M1057" s="580">
        <v>5000</v>
      </c>
      <c r="N1057" s="661"/>
      <c r="O1057" s="946"/>
    </row>
    <row r="1058" spans="1:61" s="44" customFormat="1" ht="24.6" customHeight="1">
      <c r="A1058" s="926" t="s">
        <v>938</v>
      </c>
      <c r="B1058" s="484" t="s">
        <v>89</v>
      </c>
      <c r="C1058" s="484"/>
      <c r="D1058" s="484"/>
      <c r="E1058" s="484"/>
      <c r="F1058" s="484"/>
      <c r="G1058" s="81"/>
      <c r="H1058" s="81"/>
      <c r="I1058" s="81"/>
      <c r="J1058" s="81"/>
      <c r="K1058" s="81"/>
      <c r="L1058" s="81"/>
      <c r="M1058" s="580"/>
      <c r="N1058" s="484"/>
      <c r="O1058" s="933" t="s">
        <v>856</v>
      </c>
      <c r="AJ1058" s="91"/>
      <c r="AK1058" s="91"/>
      <c r="AL1058" s="91"/>
      <c r="AM1058" s="91"/>
      <c r="AN1058" s="91"/>
      <c r="AO1058" s="91"/>
      <c r="AP1058" s="91"/>
      <c r="AQ1058" s="91"/>
      <c r="AR1058" s="91"/>
      <c r="AS1058" s="91"/>
      <c r="AT1058" s="91"/>
      <c r="AU1058" s="91"/>
      <c r="AV1058" s="91"/>
      <c r="AW1058" s="91"/>
      <c r="AX1058" s="91"/>
      <c r="AY1058" s="91"/>
      <c r="AZ1058" s="91"/>
      <c r="BA1058" s="91"/>
      <c r="BB1058" s="91"/>
      <c r="BC1058" s="91"/>
      <c r="BD1058" s="91"/>
      <c r="BE1058" s="91"/>
      <c r="BF1058" s="91"/>
      <c r="BG1058" s="91"/>
      <c r="BH1058" s="91"/>
      <c r="BI1058" s="91"/>
    </row>
    <row r="1059" spans="1:61" ht="24.6" customHeight="1">
      <c r="A1059" s="928"/>
      <c r="B1059" s="484" t="s">
        <v>246</v>
      </c>
      <c r="C1059" s="484"/>
      <c r="D1059" s="484"/>
      <c r="E1059" s="484"/>
      <c r="F1059" s="484"/>
      <c r="G1059" s="81"/>
      <c r="H1059" s="81"/>
      <c r="I1059" s="81"/>
      <c r="J1059" s="81"/>
      <c r="K1059" s="81"/>
      <c r="L1059" s="81"/>
      <c r="M1059" s="580">
        <v>5000</v>
      </c>
      <c r="N1059" s="484"/>
      <c r="O1059" s="946"/>
    </row>
    <row r="1060" spans="1:61" ht="24.6" customHeight="1">
      <c r="A1060" s="926" t="s">
        <v>853</v>
      </c>
      <c r="B1060" s="484" t="s">
        <v>89</v>
      </c>
      <c r="C1060" s="484"/>
      <c r="D1060" s="484"/>
      <c r="E1060" s="484"/>
      <c r="F1060" s="484"/>
      <c r="G1060" s="81">
        <f>K1060</f>
        <v>1.3</v>
      </c>
      <c r="H1060" s="81"/>
      <c r="I1060" s="81"/>
      <c r="J1060" s="81"/>
      <c r="K1060" s="81">
        <v>1.3</v>
      </c>
      <c r="L1060" s="81"/>
      <c r="M1060" s="580">
        <v>1</v>
      </c>
      <c r="N1060" s="484"/>
      <c r="O1060" s="933" t="s">
        <v>1021</v>
      </c>
    </row>
    <row r="1061" spans="1:61" ht="24.6" customHeight="1">
      <c r="A1061" s="928"/>
      <c r="B1061" s="484" t="s">
        <v>246</v>
      </c>
      <c r="C1061" s="484"/>
      <c r="D1061" s="484"/>
      <c r="E1061" s="484"/>
      <c r="F1061" s="484"/>
      <c r="G1061" s="81">
        <f>K1061</f>
        <v>35903.1</v>
      </c>
      <c r="H1061" s="81"/>
      <c r="I1061" s="81"/>
      <c r="J1061" s="81"/>
      <c r="K1061" s="81">
        <f>16043.1+19860</f>
        <v>35903.1</v>
      </c>
      <c r="L1061" s="81">
        <f>17000+10000-17000-3160</f>
        <v>6840</v>
      </c>
      <c r="M1061" s="580">
        <f>13895.4+8475.1</f>
        <v>22370.5</v>
      </c>
      <c r="N1061" s="484"/>
      <c r="O1061" s="934"/>
    </row>
    <row r="1062" spans="1:61" ht="25.5" customHeight="1">
      <c r="A1062" s="887" t="s">
        <v>155</v>
      </c>
      <c r="B1062" s="57" t="s">
        <v>89</v>
      </c>
      <c r="C1062" s="57"/>
      <c r="D1062" s="57"/>
      <c r="E1062" s="57"/>
      <c r="F1062" s="57"/>
      <c r="G1062" s="80">
        <f>G1066+G1068+G1070+G1072</f>
        <v>1</v>
      </c>
      <c r="H1062" s="80">
        <f t="shared" ref="H1062:M1062" si="333">H1066+H1068+H1070+H1072</f>
        <v>0</v>
      </c>
      <c r="I1062" s="80">
        <f t="shared" si="333"/>
        <v>0</v>
      </c>
      <c r="J1062" s="80">
        <f t="shared" si="333"/>
        <v>0</v>
      </c>
      <c r="K1062" s="80">
        <f t="shared" si="333"/>
        <v>1</v>
      </c>
      <c r="L1062" s="80">
        <f t="shared" si="333"/>
        <v>0</v>
      </c>
      <c r="M1062" s="80">
        <f t="shared" si="333"/>
        <v>0.8</v>
      </c>
      <c r="N1062" s="484"/>
      <c r="O1062" s="57"/>
    </row>
    <row r="1063" spans="1:61" ht="25.5" customHeight="1">
      <c r="A1063" s="888"/>
      <c r="B1063" s="57" t="s">
        <v>25</v>
      </c>
      <c r="C1063" s="57"/>
      <c r="D1063" s="57"/>
      <c r="E1063" s="57"/>
      <c r="F1063" s="57"/>
      <c r="G1063" s="80">
        <f>G1064+G1065</f>
        <v>13397.800000000001</v>
      </c>
      <c r="H1063" s="80">
        <f t="shared" ref="H1063:M1063" si="334">H1064+H1065</f>
        <v>0</v>
      </c>
      <c r="I1063" s="80">
        <f t="shared" si="334"/>
        <v>0</v>
      </c>
      <c r="J1063" s="80">
        <f t="shared" si="334"/>
        <v>0</v>
      </c>
      <c r="K1063" s="80">
        <f t="shared" si="334"/>
        <v>13397.800000000001</v>
      </c>
      <c r="L1063" s="80">
        <f t="shared" si="334"/>
        <v>0</v>
      </c>
      <c r="M1063" s="439">
        <f t="shared" si="334"/>
        <v>63737.4</v>
      </c>
      <c r="N1063" s="484"/>
      <c r="O1063" s="57"/>
    </row>
    <row r="1064" spans="1:61" ht="25.5" customHeight="1">
      <c r="A1064" s="888"/>
      <c r="B1064" s="57" t="s">
        <v>10</v>
      </c>
      <c r="C1064" s="57"/>
      <c r="D1064" s="57"/>
      <c r="E1064" s="57"/>
      <c r="F1064" s="57"/>
      <c r="G1064" s="80">
        <f>G1067+G1069+G1071+G1074</f>
        <v>13397.800000000001</v>
      </c>
      <c r="H1064" s="80">
        <f t="shared" ref="H1064:M1064" si="335">H1067+H1069+H1071+H1074</f>
        <v>0</v>
      </c>
      <c r="I1064" s="80">
        <f t="shared" si="335"/>
        <v>0</v>
      </c>
      <c r="J1064" s="80">
        <f t="shared" si="335"/>
        <v>0</v>
      </c>
      <c r="K1064" s="80">
        <f t="shared" si="335"/>
        <v>13397.800000000001</v>
      </c>
      <c r="L1064" s="80">
        <f t="shared" si="335"/>
        <v>0</v>
      </c>
      <c r="M1064" s="80">
        <f t="shared" si="335"/>
        <v>63737.4</v>
      </c>
      <c r="N1064" s="484"/>
      <c r="O1064" s="57"/>
    </row>
    <row r="1065" spans="1:61" ht="25.5" customHeight="1">
      <c r="A1065" s="889"/>
      <c r="B1065" s="57" t="s">
        <v>495</v>
      </c>
      <c r="C1065" s="57"/>
      <c r="D1065" s="57"/>
      <c r="E1065" s="57"/>
      <c r="F1065" s="57"/>
      <c r="G1065" s="80">
        <f>G1075</f>
        <v>0</v>
      </c>
      <c r="H1065" s="80">
        <f t="shared" ref="H1065:M1065" si="336">H1075</f>
        <v>0</v>
      </c>
      <c r="I1065" s="80">
        <f t="shared" si="336"/>
        <v>0</v>
      </c>
      <c r="J1065" s="80">
        <f t="shared" si="336"/>
        <v>0</v>
      </c>
      <c r="K1065" s="80">
        <f t="shared" si="336"/>
        <v>0</v>
      </c>
      <c r="L1065" s="80">
        <f t="shared" si="336"/>
        <v>0</v>
      </c>
      <c r="M1065" s="439">
        <f t="shared" si="336"/>
        <v>0</v>
      </c>
      <c r="N1065" s="484"/>
      <c r="O1065" s="57"/>
    </row>
    <row r="1066" spans="1:61" ht="25.5" customHeight="1">
      <c r="A1066" s="932" t="s">
        <v>154</v>
      </c>
      <c r="B1066" s="484" t="s">
        <v>89</v>
      </c>
      <c r="C1066" s="484">
        <v>176</v>
      </c>
      <c r="D1066" s="484" t="s">
        <v>15</v>
      </c>
      <c r="E1066" s="484">
        <v>6100404</v>
      </c>
      <c r="F1066" s="484">
        <v>244</v>
      </c>
      <c r="G1066" s="81">
        <f>K1066</f>
        <v>0</v>
      </c>
      <c r="H1066" s="81"/>
      <c r="I1066" s="81"/>
      <c r="J1066" s="81"/>
      <c r="K1066" s="81"/>
      <c r="L1066" s="81"/>
      <c r="M1066" s="580"/>
      <c r="N1066" s="484"/>
      <c r="O1066" s="933" t="s">
        <v>856</v>
      </c>
    </row>
    <row r="1067" spans="1:61" s="44" customFormat="1" ht="25.5" customHeight="1">
      <c r="A1067" s="932"/>
      <c r="B1067" s="484" t="s">
        <v>246</v>
      </c>
      <c r="C1067" s="484"/>
      <c r="D1067" s="484"/>
      <c r="E1067" s="484"/>
      <c r="F1067" s="484"/>
      <c r="G1067" s="81">
        <f>K1067</f>
        <v>576.70000000000005</v>
      </c>
      <c r="H1067" s="81"/>
      <c r="I1067" s="81"/>
      <c r="J1067" s="81"/>
      <c r="K1067" s="81">
        <v>576.70000000000005</v>
      </c>
      <c r="L1067" s="81"/>
      <c r="M1067" s="580">
        <v>33062</v>
      </c>
      <c r="N1067" s="484"/>
      <c r="O1067" s="946"/>
      <c r="AJ1067" s="91"/>
      <c r="AK1067" s="91"/>
      <c r="AL1067" s="91"/>
      <c r="AM1067" s="91"/>
      <c r="AN1067" s="91"/>
      <c r="AO1067" s="91"/>
      <c r="AP1067" s="91"/>
      <c r="AQ1067" s="91"/>
      <c r="AR1067" s="91"/>
      <c r="AS1067" s="91"/>
      <c r="AT1067" s="91"/>
      <c r="AU1067" s="91"/>
      <c r="AV1067" s="91"/>
      <c r="AW1067" s="91"/>
      <c r="AX1067" s="91"/>
      <c r="AY1067" s="91"/>
      <c r="AZ1067" s="91"/>
      <c r="BA1067" s="91"/>
      <c r="BB1067" s="91"/>
      <c r="BC1067" s="91"/>
      <c r="BD1067" s="91"/>
      <c r="BE1067" s="91"/>
      <c r="BF1067" s="91"/>
      <c r="BG1067" s="91"/>
      <c r="BH1067" s="91"/>
      <c r="BI1067" s="91"/>
    </row>
    <row r="1068" spans="1:61" s="44" customFormat="1" ht="25.5" customHeight="1">
      <c r="A1068" s="926" t="s">
        <v>940</v>
      </c>
      <c r="B1068" s="667" t="s">
        <v>89</v>
      </c>
      <c r="C1068" s="667">
        <v>176</v>
      </c>
      <c r="D1068" s="667" t="s">
        <v>15</v>
      </c>
      <c r="E1068" s="667">
        <v>6100404</v>
      </c>
      <c r="F1068" s="667">
        <v>244</v>
      </c>
      <c r="G1068" s="81">
        <f>J1068</f>
        <v>0</v>
      </c>
      <c r="H1068" s="81"/>
      <c r="I1068" s="81"/>
      <c r="J1068" s="81"/>
      <c r="K1068" s="81"/>
      <c r="L1068" s="81"/>
      <c r="M1068" s="580"/>
      <c r="N1068" s="667"/>
      <c r="O1068" s="933" t="s">
        <v>856</v>
      </c>
      <c r="AJ1068" s="91"/>
      <c r="AK1068" s="91"/>
      <c r="AL1068" s="91"/>
      <c r="AM1068" s="91"/>
      <c r="AN1068" s="91"/>
      <c r="AO1068" s="91"/>
      <c r="AP1068" s="91"/>
      <c r="AQ1068" s="91"/>
      <c r="AR1068" s="91"/>
      <c r="AS1068" s="91"/>
      <c r="AT1068" s="91"/>
      <c r="AU1068" s="91"/>
      <c r="AV1068" s="91"/>
      <c r="AW1068" s="91"/>
      <c r="AX1068" s="91"/>
      <c r="AY1068" s="91"/>
      <c r="AZ1068" s="91"/>
      <c r="BA1068" s="91"/>
      <c r="BB1068" s="91"/>
      <c r="BC1068" s="91"/>
      <c r="BD1068" s="91"/>
      <c r="BE1068" s="91"/>
      <c r="BF1068" s="91"/>
      <c r="BG1068" s="91"/>
      <c r="BH1068" s="91"/>
      <c r="BI1068" s="91"/>
    </row>
    <row r="1069" spans="1:61" s="44" customFormat="1" ht="25.5" customHeight="1">
      <c r="A1069" s="928"/>
      <c r="B1069" s="667" t="s">
        <v>246</v>
      </c>
      <c r="C1069" s="667"/>
      <c r="D1069" s="667"/>
      <c r="E1069" s="667"/>
      <c r="F1069" s="667"/>
      <c r="G1069" s="81"/>
      <c r="H1069" s="81"/>
      <c r="I1069" s="81"/>
      <c r="J1069" s="81"/>
      <c r="K1069" s="81"/>
      <c r="L1069" s="81"/>
      <c r="M1069" s="580">
        <v>10000</v>
      </c>
      <c r="N1069" s="667"/>
      <c r="O1069" s="946"/>
      <c r="AJ1069" s="91"/>
      <c r="AK1069" s="91"/>
      <c r="AL1069" s="91"/>
      <c r="AM1069" s="91"/>
      <c r="AN1069" s="91"/>
      <c r="AO1069" s="91"/>
      <c r="AP1069" s="91"/>
      <c r="AQ1069" s="91"/>
      <c r="AR1069" s="91"/>
      <c r="AS1069" s="91"/>
      <c r="AT1069" s="91"/>
      <c r="AU1069" s="91"/>
      <c r="AV1069" s="91"/>
      <c r="AW1069" s="91"/>
      <c r="AX1069" s="91"/>
      <c r="AY1069" s="91"/>
      <c r="AZ1069" s="91"/>
      <c r="BA1069" s="91"/>
      <c r="BB1069" s="91"/>
      <c r="BC1069" s="91"/>
      <c r="BD1069" s="91"/>
      <c r="BE1069" s="91"/>
      <c r="BF1069" s="91"/>
      <c r="BG1069" s="91"/>
      <c r="BH1069" s="91"/>
      <c r="BI1069" s="91"/>
    </row>
    <row r="1070" spans="1:61" s="44" customFormat="1" ht="25.5" customHeight="1">
      <c r="A1070" s="926" t="s">
        <v>941</v>
      </c>
      <c r="B1070" s="484" t="s">
        <v>89</v>
      </c>
      <c r="C1070" s="484">
        <v>176</v>
      </c>
      <c r="D1070" s="484" t="s">
        <v>15</v>
      </c>
      <c r="E1070" s="484">
        <v>6100404</v>
      </c>
      <c r="F1070" s="484">
        <v>244</v>
      </c>
      <c r="G1070" s="81">
        <f>J1070</f>
        <v>0</v>
      </c>
      <c r="H1070" s="81"/>
      <c r="I1070" s="81"/>
      <c r="J1070" s="81"/>
      <c r="K1070" s="81"/>
      <c r="L1070" s="81"/>
      <c r="M1070" s="580"/>
      <c r="N1070" s="484"/>
      <c r="O1070" s="933" t="s">
        <v>856</v>
      </c>
      <c r="AJ1070" s="91"/>
      <c r="AK1070" s="91"/>
      <c r="AL1070" s="91"/>
      <c r="AM1070" s="91"/>
      <c r="AN1070" s="91"/>
      <c r="AO1070" s="91"/>
      <c r="AP1070" s="91"/>
      <c r="AQ1070" s="91"/>
      <c r="AR1070" s="91"/>
      <c r="AS1070" s="91"/>
      <c r="AT1070" s="91"/>
      <c r="AU1070" s="91"/>
      <c r="AV1070" s="91"/>
      <c r="AW1070" s="91"/>
      <c r="AX1070" s="91"/>
      <c r="AY1070" s="91"/>
      <c r="AZ1070" s="91"/>
      <c r="BA1070" s="91"/>
      <c r="BB1070" s="91"/>
      <c r="BC1070" s="91"/>
      <c r="BD1070" s="91"/>
      <c r="BE1070" s="91"/>
      <c r="BF1070" s="91"/>
      <c r="BG1070" s="91"/>
      <c r="BH1070" s="91"/>
      <c r="BI1070" s="91"/>
    </row>
    <row r="1071" spans="1:61" s="44" customFormat="1" ht="25.5" customHeight="1">
      <c r="A1071" s="928"/>
      <c r="B1071" s="484" t="s">
        <v>246</v>
      </c>
      <c r="C1071" s="484"/>
      <c r="D1071" s="484"/>
      <c r="E1071" s="484"/>
      <c r="F1071" s="484"/>
      <c r="G1071" s="81"/>
      <c r="H1071" s="81"/>
      <c r="I1071" s="81"/>
      <c r="J1071" s="81"/>
      <c r="K1071" s="81"/>
      <c r="L1071" s="81"/>
      <c r="M1071" s="580">
        <v>10000</v>
      </c>
      <c r="N1071" s="484"/>
      <c r="O1071" s="946"/>
      <c r="AJ1071" s="91"/>
      <c r="AK1071" s="91"/>
      <c r="AL1071" s="91"/>
      <c r="AM1071" s="91"/>
      <c r="AN1071" s="91"/>
      <c r="AO1071" s="91"/>
      <c r="AP1071" s="91"/>
      <c r="AQ1071" s="91"/>
      <c r="AR1071" s="91"/>
      <c r="AS1071" s="91"/>
      <c r="AT1071" s="91"/>
      <c r="AU1071" s="91"/>
      <c r="AV1071" s="91"/>
      <c r="AW1071" s="91"/>
      <c r="AX1071" s="91"/>
      <c r="AY1071" s="91"/>
      <c r="AZ1071" s="91"/>
      <c r="BA1071" s="91"/>
      <c r="BB1071" s="91"/>
      <c r="BC1071" s="91"/>
      <c r="BD1071" s="91"/>
      <c r="BE1071" s="91"/>
      <c r="BF1071" s="91"/>
      <c r="BG1071" s="91"/>
      <c r="BH1071" s="91"/>
      <c r="BI1071" s="91"/>
    </row>
    <row r="1072" spans="1:61" s="44" customFormat="1" ht="25.5" customHeight="1">
      <c r="A1072" s="926" t="s">
        <v>853</v>
      </c>
      <c r="B1072" s="484" t="s">
        <v>89</v>
      </c>
      <c r="C1072" s="484"/>
      <c r="D1072" s="484"/>
      <c r="E1072" s="484"/>
      <c r="F1072" s="484"/>
      <c r="G1072" s="81">
        <f>K1072</f>
        <v>1</v>
      </c>
      <c r="H1072" s="81"/>
      <c r="I1072" s="81"/>
      <c r="J1072" s="81"/>
      <c r="K1072" s="81">
        <v>1</v>
      </c>
      <c r="L1072" s="81"/>
      <c r="M1072" s="580">
        <v>0.8</v>
      </c>
      <c r="N1072" s="484"/>
      <c r="O1072" s="933" t="s">
        <v>1022</v>
      </c>
      <c r="AJ1072" s="91"/>
      <c r="AK1072" s="91"/>
      <c r="AL1072" s="91"/>
      <c r="AM1072" s="91"/>
      <c r="AN1072" s="91"/>
      <c r="AO1072" s="91"/>
      <c r="AP1072" s="91"/>
      <c r="AQ1072" s="91"/>
      <c r="AR1072" s="91"/>
      <c r="AS1072" s="91"/>
      <c r="AT1072" s="91"/>
      <c r="AU1072" s="91"/>
      <c r="AV1072" s="91"/>
      <c r="AW1072" s="91"/>
      <c r="AX1072" s="91"/>
      <c r="AY1072" s="91"/>
      <c r="AZ1072" s="91"/>
      <c r="BA1072" s="91"/>
      <c r="BB1072" s="91"/>
      <c r="BC1072" s="91"/>
      <c r="BD1072" s="91"/>
      <c r="BE1072" s="91"/>
      <c r="BF1072" s="91"/>
      <c r="BG1072" s="91"/>
      <c r="BH1072" s="91"/>
      <c r="BI1072" s="91"/>
    </row>
    <row r="1073" spans="1:61" s="44" customFormat="1" ht="25.5" customHeight="1">
      <c r="A1073" s="927"/>
      <c r="B1073" s="484" t="s">
        <v>25</v>
      </c>
      <c r="C1073" s="484"/>
      <c r="D1073" s="484"/>
      <c r="E1073" s="484"/>
      <c r="F1073" s="484"/>
      <c r="G1073" s="81">
        <f t="shared" ref="G1073:G1075" si="337">K1073</f>
        <v>12821.1</v>
      </c>
      <c r="H1073" s="81"/>
      <c r="I1073" s="81"/>
      <c r="J1073" s="81"/>
      <c r="K1073" s="81">
        <f>K1074+K1075</f>
        <v>12821.1</v>
      </c>
      <c r="L1073" s="81">
        <f>L1074</f>
        <v>0</v>
      </c>
      <c r="M1073" s="580">
        <f>M1074</f>
        <v>10675.4</v>
      </c>
      <c r="N1073" s="484"/>
      <c r="O1073" s="946"/>
      <c r="AJ1073" s="91"/>
      <c r="AK1073" s="91"/>
      <c r="AL1073" s="91"/>
      <c r="AM1073" s="91"/>
      <c r="AN1073" s="91"/>
      <c r="AO1073" s="91"/>
      <c r="AP1073" s="91"/>
      <c r="AQ1073" s="91"/>
      <c r="AR1073" s="91"/>
      <c r="AS1073" s="91"/>
      <c r="AT1073" s="91"/>
      <c r="AU1073" s="91"/>
      <c r="AV1073" s="91"/>
      <c r="AW1073" s="91"/>
      <c r="AX1073" s="91"/>
      <c r="AY1073" s="91"/>
      <c r="AZ1073" s="91"/>
      <c r="BA1073" s="91"/>
      <c r="BB1073" s="91"/>
      <c r="BC1073" s="91"/>
      <c r="BD1073" s="91"/>
      <c r="BE1073" s="91"/>
      <c r="BF1073" s="91"/>
      <c r="BG1073" s="91"/>
      <c r="BH1073" s="91"/>
      <c r="BI1073" s="91"/>
    </row>
    <row r="1074" spans="1:61" s="44" customFormat="1" ht="25.5" customHeight="1">
      <c r="A1074" s="927"/>
      <c r="B1074" s="484" t="s">
        <v>10</v>
      </c>
      <c r="C1074" s="484"/>
      <c r="D1074" s="484"/>
      <c r="E1074" s="484"/>
      <c r="F1074" s="484"/>
      <c r="G1074" s="81">
        <f t="shared" si="337"/>
        <v>12821.1</v>
      </c>
      <c r="H1074" s="81"/>
      <c r="I1074" s="81"/>
      <c r="J1074" s="81"/>
      <c r="K1074" s="81">
        <v>12821.1</v>
      </c>
      <c r="L1074" s="81"/>
      <c r="M1074" s="580">
        <v>10675.4</v>
      </c>
      <c r="N1074" s="484"/>
      <c r="O1074" s="946"/>
      <c r="AJ1074" s="91"/>
      <c r="AK1074" s="91"/>
      <c r="AL1074" s="91"/>
      <c r="AM1074" s="91"/>
      <c r="AN1074" s="91"/>
      <c r="AO1074" s="91"/>
      <c r="AP1074" s="91"/>
      <c r="AQ1074" s="91"/>
      <c r="AR1074" s="91"/>
      <c r="AS1074" s="91"/>
      <c r="AT1074" s="91"/>
      <c r="AU1074" s="91"/>
      <c r="AV1074" s="91"/>
      <c r="AW1074" s="91"/>
      <c r="AX1074" s="91"/>
      <c r="AY1074" s="91"/>
      <c r="AZ1074" s="91"/>
      <c r="BA1074" s="91"/>
      <c r="BB1074" s="91"/>
      <c r="BC1074" s="91"/>
      <c r="BD1074" s="91"/>
      <c r="BE1074" s="91"/>
      <c r="BF1074" s="91"/>
      <c r="BG1074" s="91"/>
      <c r="BH1074" s="91"/>
      <c r="BI1074" s="91"/>
    </row>
    <row r="1075" spans="1:61" s="44" customFormat="1" ht="25.5" customHeight="1">
      <c r="A1075" s="928"/>
      <c r="B1075" s="484" t="s">
        <v>495</v>
      </c>
      <c r="C1075" s="484"/>
      <c r="D1075" s="484"/>
      <c r="E1075" s="484"/>
      <c r="F1075" s="484"/>
      <c r="G1075" s="81">
        <f t="shared" si="337"/>
        <v>0</v>
      </c>
      <c r="H1075" s="81"/>
      <c r="I1075" s="81"/>
      <c r="J1075" s="81"/>
      <c r="K1075" s="81"/>
      <c r="L1075" s="81"/>
      <c r="M1075" s="580"/>
      <c r="N1075" s="484"/>
      <c r="O1075" s="934"/>
      <c r="AJ1075" s="91"/>
      <c r="AK1075" s="91"/>
      <c r="AL1075" s="91"/>
      <c r="AM1075" s="91"/>
      <c r="AN1075" s="91"/>
      <c r="AO1075" s="91"/>
      <c r="AP1075" s="91"/>
      <c r="AQ1075" s="91"/>
      <c r="AR1075" s="91"/>
      <c r="AS1075" s="91"/>
      <c r="AT1075" s="91"/>
      <c r="AU1075" s="91"/>
      <c r="AV1075" s="91"/>
      <c r="AW1075" s="91"/>
      <c r="AX1075" s="91"/>
      <c r="AY1075" s="91"/>
      <c r="AZ1075" s="91"/>
      <c r="BA1075" s="91"/>
      <c r="BB1075" s="91"/>
      <c r="BC1075" s="91"/>
      <c r="BD1075" s="91"/>
      <c r="BE1075" s="91"/>
      <c r="BF1075" s="91"/>
      <c r="BG1075" s="91"/>
      <c r="BH1075" s="91"/>
      <c r="BI1075" s="91"/>
    </row>
    <row r="1076" spans="1:61" s="44" customFormat="1" ht="25.5" customHeight="1">
      <c r="A1076" s="887" t="s">
        <v>125</v>
      </c>
      <c r="B1076" s="57" t="s">
        <v>89</v>
      </c>
      <c r="C1076" s="484"/>
      <c r="D1076" s="484"/>
      <c r="E1076" s="484"/>
      <c r="F1076" s="484"/>
      <c r="G1076" s="80">
        <f>G1080+G1084+G1088+G1092</f>
        <v>3.3</v>
      </c>
      <c r="H1076" s="80">
        <f t="shared" ref="H1076:M1076" si="338">H1080+H1084+H1088+H1092</f>
        <v>0</v>
      </c>
      <c r="I1076" s="80">
        <f t="shared" si="338"/>
        <v>0</v>
      </c>
      <c r="J1076" s="80">
        <f t="shared" si="338"/>
        <v>0</v>
      </c>
      <c r="K1076" s="80">
        <f t="shared" si="338"/>
        <v>3.3</v>
      </c>
      <c r="L1076" s="80">
        <f t="shared" si="338"/>
        <v>0</v>
      </c>
      <c r="M1076" s="80">
        <f t="shared" si="338"/>
        <v>5.4</v>
      </c>
      <c r="N1076" s="484"/>
      <c r="O1076" s="488"/>
      <c r="AJ1076" s="91"/>
      <c r="AK1076" s="91"/>
      <c r="AL1076" s="91"/>
      <c r="AM1076" s="91"/>
      <c r="AN1076" s="91"/>
      <c r="AO1076" s="91"/>
      <c r="AP1076" s="91"/>
      <c r="AQ1076" s="91"/>
      <c r="AR1076" s="91"/>
      <c r="AS1076" s="91"/>
      <c r="AT1076" s="91"/>
      <c r="AU1076" s="91"/>
      <c r="AV1076" s="91"/>
      <c r="AW1076" s="91"/>
      <c r="AX1076" s="91"/>
      <c r="AY1076" s="91"/>
      <c r="AZ1076" s="91"/>
      <c r="BA1076" s="91"/>
      <c r="BB1076" s="91"/>
      <c r="BC1076" s="91"/>
      <c r="BD1076" s="91"/>
      <c r="BE1076" s="91"/>
      <c r="BF1076" s="91"/>
      <c r="BG1076" s="91"/>
      <c r="BH1076" s="91"/>
      <c r="BI1076" s="91"/>
    </row>
    <row r="1077" spans="1:61" s="44" customFormat="1" ht="25.5" customHeight="1">
      <c r="A1077" s="888"/>
      <c r="B1077" s="57" t="s">
        <v>25</v>
      </c>
      <c r="C1077" s="484"/>
      <c r="D1077" s="484"/>
      <c r="E1077" s="484"/>
      <c r="F1077" s="484"/>
      <c r="G1077" s="80">
        <f>G1078+G1079</f>
        <v>72574.7</v>
      </c>
      <c r="H1077" s="80">
        <f t="shared" ref="H1077:M1077" si="339">H1078+H1079</f>
        <v>0</v>
      </c>
      <c r="I1077" s="80">
        <f t="shared" si="339"/>
        <v>0</v>
      </c>
      <c r="J1077" s="80">
        <f t="shared" si="339"/>
        <v>0</v>
      </c>
      <c r="K1077" s="80">
        <f t="shared" si="339"/>
        <v>72574.7</v>
      </c>
      <c r="L1077" s="80">
        <f t="shared" si="339"/>
        <v>10649</v>
      </c>
      <c r="M1077" s="439">
        <f t="shared" si="339"/>
        <v>97405.3</v>
      </c>
      <c r="N1077" s="484"/>
      <c r="O1077" s="488"/>
      <c r="AJ1077" s="91"/>
      <c r="AK1077" s="91"/>
      <c r="AL1077" s="91"/>
      <c r="AM1077" s="91"/>
      <c r="AN1077" s="91"/>
      <c r="AO1077" s="91"/>
      <c r="AP1077" s="91"/>
      <c r="AQ1077" s="91"/>
      <c r="AR1077" s="91"/>
      <c r="AS1077" s="91"/>
      <c r="AT1077" s="91"/>
      <c r="AU1077" s="91"/>
      <c r="AV1077" s="91"/>
      <c r="AW1077" s="91"/>
      <c r="AX1077" s="91"/>
      <c r="AY1077" s="91"/>
      <c r="AZ1077" s="91"/>
      <c r="BA1077" s="91"/>
      <c r="BB1077" s="91"/>
      <c r="BC1077" s="91"/>
      <c r="BD1077" s="91"/>
      <c r="BE1077" s="91"/>
      <c r="BF1077" s="91"/>
      <c r="BG1077" s="91"/>
      <c r="BH1077" s="91"/>
      <c r="BI1077" s="91"/>
    </row>
    <row r="1078" spans="1:61" s="44" customFormat="1" ht="25.5" customHeight="1">
      <c r="A1078" s="888"/>
      <c r="B1078" s="57" t="s">
        <v>10</v>
      </c>
      <c r="C1078" s="484"/>
      <c r="D1078" s="484"/>
      <c r="E1078" s="484"/>
      <c r="F1078" s="484"/>
      <c r="G1078" s="80">
        <f>G1081+G1086+G1090+G1093</f>
        <v>72574.7</v>
      </c>
      <c r="H1078" s="80">
        <f t="shared" ref="H1078:M1078" si="340">H1081+H1086+H1090+H1093</f>
        <v>0</v>
      </c>
      <c r="I1078" s="80">
        <f t="shared" si="340"/>
        <v>0</v>
      </c>
      <c r="J1078" s="80">
        <f t="shared" si="340"/>
        <v>0</v>
      </c>
      <c r="K1078" s="80">
        <f t="shared" si="340"/>
        <v>72574.7</v>
      </c>
      <c r="L1078" s="80">
        <f t="shared" si="340"/>
        <v>10649</v>
      </c>
      <c r="M1078" s="80">
        <f t="shared" si="340"/>
        <v>97405.3</v>
      </c>
      <c r="N1078" s="484"/>
      <c r="O1078" s="488"/>
      <c r="AJ1078" s="91"/>
      <c r="AK1078" s="91"/>
      <c r="AL1078" s="91"/>
      <c r="AM1078" s="91"/>
      <c r="AN1078" s="91"/>
      <c r="AO1078" s="91"/>
      <c r="AP1078" s="91"/>
      <c r="AQ1078" s="91"/>
      <c r="AR1078" s="91"/>
      <c r="AS1078" s="91"/>
      <c r="AT1078" s="91"/>
      <c r="AU1078" s="91"/>
      <c r="AV1078" s="91"/>
      <c r="AW1078" s="91"/>
      <c r="AX1078" s="91"/>
      <c r="AY1078" s="91"/>
      <c r="AZ1078" s="91"/>
      <c r="BA1078" s="91"/>
      <c r="BB1078" s="91"/>
      <c r="BC1078" s="91"/>
      <c r="BD1078" s="91"/>
      <c r="BE1078" s="91"/>
      <c r="BF1078" s="91"/>
      <c r="BG1078" s="91"/>
      <c r="BH1078" s="91"/>
      <c r="BI1078" s="91"/>
    </row>
    <row r="1079" spans="1:61" s="44" customFormat="1" ht="25.5" customHeight="1">
      <c r="A1079" s="889"/>
      <c r="B1079" s="57" t="s">
        <v>495</v>
      </c>
      <c r="C1079" s="484"/>
      <c r="D1079" s="484"/>
      <c r="E1079" s="484"/>
      <c r="F1079" s="484"/>
      <c r="G1079" s="80">
        <f>G1083+G1091</f>
        <v>0</v>
      </c>
      <c r="H1079" s="80">
        <f t="shared" ref="H1079:M1079" si="341">H1083+H1091</f>
        <v>0</v>
      </c>
      <c r="I1079" s="80">
        <f t="shared" si="341"/>
        <v>0</v>
      </c>
      <c r="J1079" s="80">
        <f t="shared" si="341"/>
        <v>0</v>
      </c>
      <c r="K1079" s="80">
        <f t="shared" si="341"/>
        <v>0</v>
      </c>
      <c r="L1079" s="80">
        <f t="shared" si="341"/>
        <v>0</v>
      </c>
      <c r="M1079" s="439">
        <f t="shared" si="341"/>
        <v>0</v>
      </c>
      <c r="N1079" s="484"/>
      <c r="O1079" s="488"/>
      <c r="AJ1079" s="91"/>
      <c r="AK1079" s="91"/>
      <c r="AL1079" s="91"/>
      <c r="AM1079" s="91"/>
      <c r="AN1079" s="91"/>
      <c r="AO1079" s="91"/>
      <c r="AP1079" s="91"/>
      <c r="AQ1079" s="91"/>
      <c r="AR1079" s="91"/>
      <c r="AS1079" s="91"/>
      <c r="AT1079" s="91"/>
      <c r="AU1079" s="91"/>
      <c r="AV1079" s="91"/>
      <c r="AW1079" s="91"/>
      <c r="AX1079" s="91"/>
      <c r="AY1079" s="91"/>
      <c r="AZ1079" s="91"/>
      <c r="BA1079" s="91"/>
      <c r="BB1079" s="91"/>
      <c r="BC1079" s="91"/>
      <c r="BD1079" s="91"/>
      <c r="BE1079" s="91"/>
      <c r="BF1079" s="91"/>
      <c r="BG1079" s="91"/>
      <c r="BH1079" s="91"/>
      <c r="BI1079" s="91"/>
    </row>
    <row r="1080" spans="1:61" s="44" customFormat="1" ht="25.5" customHeight="1">
      <c r="A1080" s="926" t="s">
        <v>588</v>
      </c>
      <c r="B1080" s="484" t="s">
        <v>89</v>
      </c>
      <c r="C1080" s="484"/>
      <c r="D1080" s="484"/>
      <c r="E1080" s="484"/>
      <c r="F1080" s="484"/>
      <c r="G1080" s="81">
        <f>K1080</f>
        <v>2</v>
      </c>
      <c r="H1080" s="81"/>
      <c r="I1080" s="81"/>
      <c r="J1080" s="81"/>
      <c r="K1080" s="81">
        <v>2</v>
      </c>
      <c r="L1080" s="81"/>
      <c r="M1080" s="580"/>
      <c r="N1080" s="484"/>
      <c r="O1080" s="1030" t="s">
        <v>561</v>
      </c>
      <c r="AJ1080" s="91"/>
      <c r="AK1080" s="91"/>
      <c r="AL1080" s="91"/>
      <c r="AM1080" s="91"/>
      <c r="AN1080" s="91"/>
      <c r="AO1080" s="91"/>
      <c r="AP1080" s="91"/>
      <c r="AQ1080" s="91"/>
      <c r="AR1080" s="91"/>
      <c r="AS1080" s="91"/>
      <c r="AT1080" s="91"/>
      <c r="AU1080" s="91"/>
      <c r="AV1080" s="91"/>
      <c r="AW1080" s="91"/>
      <c r="AX1080" s="91"/>
      <c r="AY1080" s="91"/>
      <c r="AZ1080" s="91"/>
      <c r="BA1080" s="91"/>
      <c r="BB1080" s="91"/>
      <c r="BC1080" s="91"/>
      <c r="BD1080" s="91"/>
      <c r="BE1080" s="91"/>
      <c r="BF1080" s="91"/>
      <c r="BG1080" s="91"/>
      <c r="BH1080" s="91"/>
      <c r="BI1080" s="91"/>
    </row>
    <row r="1081" spans="1:61" s="44" customFormat="1" ht="25.5" customHeight="1">
      <c r="A1081" s="927"/>
      <c r="B1081" s="484" t="s">
        <v>25</v>
      </c>
      <c r="C1081" s="484"/>
      <c r="D1081" s="484"/>
      <c r="E1081" s="484"/>
      <c r="F1081" s="484"/>
      <c r="G1081" s="81">
        <f t="shared" ref="G1081:G1083" si="342">K1081</f>
        <v>26000</v>
      </c>
      <c r="H1081" s="81"/>
      <c r="I1081" s="81"/>
      <c r="J1081" s="81"/>
      <c r="K1081" s="81">
        <f>K1082+K1083</f>
        <v>26000</v>
      </c>
      <c r="L1081" s="81">
        <f t="shared" ref="L1081:M1081" si="343">L1082+L1083</f>
        <v>0</v>
      </c>
      <c r="M1081" s="580">
        <f t="shared" si="343"/>
        <v>0</v>
      </c>
      <c r="N1081" s="484"/>
      <c r="O1081" s="1031"/>
      <c r="AJ1081" s="91"/>
      <c r="AK1081" s="91"/>
      <c r="AL1081" s="91"/>
      <c r="AM1081" s="91"/>
      <c r="AN1081" s="91"/>
      <c r="AO1081" s="91"/>
      <c r="AP1081" s="91"/>
      <c r="AQ1081" s="91"/>
      <c r="AR1081" s="91"/>
      <c r="AS1081" s="91"/>
      <c r="AT1081" s="91"/>
      <c r="AU1081" s="91"/>
      <c r="AV1081" s="91"/>
      <c r="AW1081" s="91"/>
      <c r="AX1081" s="91"/>
      <c r="AY1081" s="91"/>
      <c r="AZ1081" s="91"/>
      <c r="BA1081" s="91"/>
      <c r="BB1081" s="91"/>
      <c r="BC1081" s="91"/>
      <c r="BD1081" s="91"/>
      <c r="BE1081" s="91"/>
      <c r="BF1081" s="91"/>
      <c r="BG1081" s="91"/>
      <c r="BH1081" s="91"/>
      <c r="BI1081" s="91"/>
    </row>
    <row r="1082" spans="1:61" s="44" customFormat="1" ht="25.5" hidden="1" customHeight="1">
      <c r="A1082" s="927"/>
      <c r="B1082" s="484" t="s">
        <v>10</v>
      </c>
      <c r="C1082" s="484"/>
      <c r="D1082" s="484"/>
      <c r="E1082" s="484"/>
      <c r="F1082" s="484"/>
      <c r="G1082" s="81">
        <f t="shared" si="342"/>
        <v>26000</v>
      </c>
      <c r="H1082" s="81"/>
      <c r="I1082" s="81"/>
      <c r="J1082" s="81"/>
      <c r="K1082" s="81">
        <v>26000</v>
      </c>
      <c r="L1082" s="81"/>
      <c r="M1082" s="580"/>
      <c r="N1082" s="484"/>
      <c r="O1082" s="1031"/>
      <c r="AJ1082" s="91"/>
      <c r="AK1082" s="91"/>
      <c r="AL1082" s="91"/>
      <c r="AM1082" s="91"/>
      <c r="AN1082" s="91"/>
      <c r="AO1082" s="91"/>
      <c r="AP1082" s="91"/>
      <c r="AQ1082" s="91"/>
      <c r="AR1082" s="91"/>
      <c r="AS1082" s="91"/>
      <c r="AT1082" s="91"/>
      <c r="AU1082" s="91"/>
      <c r="AV1082" s="91"/>
      <c r="AW1082" s="91"/>
      <c r="AX1082" s="91"/>
      <c r="AY1082" s="91"/>
      <c r="AZ1082" s="91"/>
      <c r="BA1082" s="91"/>
      <c r="BB1082" s="91"/>
      <c r="BC1082" s="91"/>
      <c r="BD1082" s="91"/>
      <c r="BE1082" s="91"/>
      <c r="BF1082" s="91"/>
      <c r="BG1082" s="91"/>
      <c r="BH1082" s="91"/>
      <c r="BI1082" s="91"/>
    </row>
    <row r="1083" spans="1:61" s="44" customFormat="1" ht="25.5" customHeight="1">
      <c r="A1083" s="928"/>
      <c r="B1083" s="484" t="s">
        <v>495</v>
      </c>
      <c r="C1083" s="484"/>
      <c r="D1083" s="484"/>
      <c r="E1083" s="484"/>
      <c r="F1083" s="484"/>
      <c r="G1083" s="81">
        <f t="shared" si="342"/>
        <v>0</v>
      </c>
      <c r="H1083" s="81"/>
      <c r="I1083" s="81"/>
      <c r="J1083" s="81"/>
      <c r="K1083" s="81"/>
      <c r="L1083" s="81"/>
      <c r="M1083" s="580"/>
      <c r="N1083" s="484"/>
      <c r="O1083" s="1032"/>
      <c r="AJ1083" s="91"/>
      <c r="AK1083" s="91"/>
      <c r="AL1083" s="91"/>
      <c r="AM1083" s="91"/>
      <c r="AN1083" s="91"/>
      <c r="AO1083" s="91"/>
      <c r="AP1083" s="91"/>
      <c r="AQ1083" s="91"/>
      <c r="AR1083" s="91"/>
      <c r="AS1083" s="91"/>
      <c r="AT1083" s="91"/>
      <c r="AU1083" s="91"/>
      <c r="AV1083" s="91"/>
      <c r="AW1083" s="91"/>
      <c r="AX1083" s="91"/>
      <c r="AY1083" s="91"/>
      <c r="AZ1083" s="91"/>
      <c r="BA1083" s="91"/>
      <c r="BB1083" s="91"/>
      <c r="BC1083" s="91"/>
      <c r="BD1083" s="91"/>
      <c r="BE1083" s="91"/>
      <c r="BF1083" s="91"/>
      <c r="BG1083" s="91"/>
      <c r="BH1083" s="91"/>
      <c r="BI1083" s="91"/>
    </row>
    <row r="1084" spans="1:61" s="44" customFormat="1" ht="25.5" customHeight="1">
      <c r="A1084" s="926" t="s">
        <v>589</v>
      </c>
      <c r="B1084" s="661" t="s">
        <v>89</v>
      </c>
      <c r="C1084" s="661"/>
      <c r="D1084" s="661"/>
      <c r="E1084" s="661"/>
      <c r="F1084" s="661"/>
      <c r="G1084" s="81">
        <f>K1084</f>
        <v>0</v>
      </c>
      <c r="H1084" s="81"/>
      <c r="I1084" s="81"/>
      <c r="J1084" s="81"/>
      <c r="K1084" s="81"/>
      <c r="L1084" s="81"/>
      <c r="M1084" s="580"/>
      <c r="N1084" s="661"/>
      <c r="O1084" s="933" t="s">
        <v>856</v>
      </c>
      <c r="AJ1084" s="91"/>
      <c r="AK1084" s="91"/>
      <c r="AL1084" s="91"/>
      <c r="AM1084" s="91"/>
      <c r="AN1084" s="91"/>
      <c r="AO1084" s="91"/>
      <c r="AP1084" s="91"/>
      <c r="AQ1084" s="91"/>
      <c r="AR1084" s="91"/>
      <c r="AS1084" s="91"/>
      <c r="AT1084" s="91"/>
      <c r="AU1084" s="91"/>
      <c r="AV1084" s="91"/>
      <c r="AW1084" s="91"/>
      <c r="AX1084" s="91"/>
      <c r="AY1084" s="91"/>
      <c r="AZ1084" s="91"/>
      <c r="BA1084" s="91"/>
      <c r="BB1084" s="91"/>
      <c r="BC1084" s="91"/>
      <c r="BD1084" s="91"/>
      <c r="BE1084" s="91"/>
      <c r="BF1084" s="91"/>
      <c r="BG1084" s="91"/>
      <c r="BH1084" s="91"/>
      <c r="BI1084" s="91"/>
    </row>
    <row r="1085" spans="1:61" s="44" customFormat="1" ht="25.5" customHeight="1">
      <c r="A1085" s="927"/>
      <c r="B1085" s="661" t="s">
        <v>25</v>
      </c>
      <c r="C1085" s="661"/>
      <c r="D1085" s="661"/>
      <c r="E1085" s="661"/>
      <c r="F1085" s="661"/>
      <c r="G1085" s="81">
        <f t="shared" ref="G1085:G1087" si="344">K1085</f>
        <v>30000</v>
      </c>
      <c r="H1085" s="81"/>
      <c r="I1085" s="81"/>
      <c r="J1085" s="81"/>
      <c r="K1085" s="81">
        <f>K1086+K1087</f>
        <v>30000</v>
      </c>
      <c r="L1085" s="81">
        <f t="shared" ref="L1085:M1085" si="345">L1086+L1087</f>
        <v>0</v>
      </c>
      <c r="M1085" s="580">
        <f t="shared" si="345"/>
        <v>23062</v>
      </c>
      <c r="N1085" s="661"/>
      <c r="O1085" s="946"/>
      <c r="AJ1085" s="91"/>
      <c r="AK1085" s="91"/>
      <c r="AL1085" s="91"/>
      <c r="AM1085" s="91"/>
      <c r="AN1085" s="91"/>
      <c r="AO1085" s="91"/>
      <c r="AP1085" s="91"/>
      <c r="AQ1085" s="91"/>
      <c r="AR1085" s="91"/>
      <c r="AS1085" s="91"/>
      <c r="AT1085" s="91"/>
      <c r="AU1085" s="91"/>
      <c r="AV1085" s="91"/>
      <c r="AW1085" s="91"/>
      <c r="AX1085" s="91"/>
      <c r="AY1085" s="91"/>
      <c r="AZ1085" s="91"/>
      <c r="BA1085" s="91"/>
      <c r="BB1085" s="91"/>
      <c r="BC1085" s="91"/>
      <c r="BD1085" s="91"/>
      <c r="BE1085" s="91"/>
      <c r="BF1085" s="91"/>
      <c r="BG1085" s="91"/>
      <c r="BH1085" s="91"/>
      <c r="BI1085" s="91"/>
    </row>
    <row r="1086" spans="1:61" s="44" customFormat="1" ht="25.5" customHeight="1">
      <c r="A1086" s="927"/>
      <c r="B1086" s="661" t="s">
        <v>10</v>
      </c>
      <c r="C1086" s="661"/>
      <c r="D1086" s="661"/>
      <c r="E1086" s="661"/>
      <c r="F1086" s="661"/>
      <c r="G1086" s="81">
        <f t="shared" si="344"/>
        <v>30000</v>
      </c>
      <c r="H1086" s="81"/>
      <c r="I1086" s="81"/>
      <c r="J1086" s="81"/>
      <c r="K1086" s="81">
        <v>30000</v>
      </c>
      <c r="L1086" s="81"/>
      <c r="M1086" s="580">
        <v>23062</v>
      </c>
      <c r="N1086" s="661"/>
      <c r="O1086" s="946"/>
      <c r="AJ1086" s="91"/>
      <c r="AK1086" s="91"/>
      <c r="AL1086" s="91"/>
      <c r="AM1086" s="91"/>
      <c r="AN1086" s="91"/>
      <c r="AO1086" s="91"/>
      <c r="AP1086" s="91"/>
      <c r="AQ1086" s="91"/>
      <c r="AR1086" s="91"/>
      <c r="AS1086" s="91"/>
      <c r="AT1086" s="91"/>
      <c r="AU1086" s="91"/>
      <c r="AV1086" s="91"/>
      <c r="AW1086" s="91"/>
      <c r="AX1086" s="91"/>
      <c r="AY1086" s="91"/>
      <c r="AZ1086" s="91"/>
      <c r="BA1086" s="91"/>
      <c r="BB1086" s="91"/>
      <c r="BC1086" s="91"/>
      <c r="BD1086" s="91"/>
      <c r="BE1086" s="91"/>
      <c r="BF1086" s="91"/>
      <c r="BG1086" s="91"/>
      <c r="BH1086" s="91"/>
      <c r="BI1086" s="91"/>
    </row>
    <row r="1087" spans="1:61" s="44" customFormat="1" ht="25.5" hidden="1" customHeight="1">
      <c r="A1087" s="928"/>
      <c r="B1087" s="661" t="s">
        <v>495</v>
      </c>
      <c r="C1087" s="661"/>
      <c r="D1087" s="661"/>
      <c r="E1087" s="661"/>
      <c r="F1087" s="661"/>
      <c r="G1087" s="81">
        <f t="shared" si="344"/>
        <v>0</v>
      </c>
      <c r="H1087" s="81"/>
      <c r="I1087" s="81"/>
      <c r="J1087" s="81"/>
      <c r="K1087" s="81"/>
      <c r="L1087" s="81"/>
      <c r="M1087" s="580"/>
      <c r="N1087" s="661"/>
      <c r="O1087" s="934"/>
      <c r="AJ1087" s="91"/>
      <c r="AK1087" s="91"/>
      <c r="AL1087" s="91"/>
      <c r="AM1087" s="91"/>
      <c r="AN1087" s="91"/>
      <c r="AO1087" s="91"/>
      <c r="AP1087" s="91"/>
      <c r="AQ1087" s="91"/>
      <c r="AR1087" s="91"/>
      <c r="AS1087" s="91"/>
      <c r="AT1087" s="91"/>
      <c r="AU1087" s="91"/>
      <c r="AV1087" s="91"/>
      <c r="AW1087" s="91"/>
      <c r="AX1087" s="91"/>
      <c r="AY1087" s="91"/>
      <c r="AZ1087" s="91"/>
      <c r="BA1087" s="91"/>
      <c r="BB1087" s="91"/>
      <c r="BC1087" s="91"/>
      <c r="BD1087" s="91"/>
      <c r="BE1087" s="91"/>
      <c r="BF1087" s="91"/>
      <c r="BG1087" s="91"/>
      <c r="BH1087" s="91"/>
      <c r="BI1087" s="91"/>
    </row>
    <row r="1088" spans="1:61" s="44" customFormat="1" ht="25.5" customHeight="1">
      <c r="A1088" s="926" t="s">
        <v>590</v>
      </c>
      <c r="B1088" s="484" t="s">
        <v>89</v>
      </c>
      <c r="C1088" s="484"/>
      <c r="D1088" s="484"/>
      <c r="E1088" s="484"/>
      <c r="F1088" s="484"/>
      <c r="G1088" s="81">
        <f>K1088</f>
        <v>0</v>
      </c>
      <c r="H1088" s="81"/>
      <c r="I1088" s="81"/>
      <c r="J1088" s="81"/>
      <c r="K1088" s="81"/>
      <c r="L1088" s="81"/>
      <c r="M1088" s="580">
        <v>4.3</v>
      </c>
      <c r="N1088" s="484"/>
      <c r="O1088" s="1030" t="s">
        <v>850</v>
      </c>
      <c r="AJ1088" s="91"/>
      <c r="AK1088" s="91"/>
      <c r="AL1088" s="91"/>
      <c r="AM1088" s="91"/>
      <c r="AN1088" s="91"/>
      <c r="AO1088" s="91"/>
      <c r="AP1088" s="91"/>
      <c r="AQ1088" s="91"/>
      <c r="AR1088" s="91"/>
      <c r="AS1088" s="91"/>
      <c r="AT1088" s="91"/>
      <c r="AU1088" s="91"/>
      <c r="AV1088" s="91"/>
      <c r="AW1088" s="91"/>
      <c r="AX1088" s="91"/>
      <c r="AY1088" s="91"/>
      <c r="AZ1088" s="91"/>
      <c r="BA1088" s="91"/>
      <c r="BB1088" s="91"/>
      <c r="BC1088" s="91"/>
      <c r="BD1088" s="91"/>
      <c r="BE1088" s="91"/>
      <c r="BF1088" s="91"/>
      <c r="BG1088" s="91"/>
      <c r="BH1088" s="91"/>
      <c r="BI1088" s="91"/>
    </row>
    <row r="1089" spans="1:61" s="44" customFormat="1" ht="25.5" customHeight="1">
      <c r="A1089" s="927"/>
      <c r="B1089" s="484" t="s">
        <v>25</v>
      </c>
      <c r="C1089" s="484"/>
      <c r="D1089" s="484"/>
      <c r="E1089" s="484"/>
      <c r="F1089" s="484"/>
      <c r="G1089" s="81">
        <f t="shared" ref="G1089:G1091" si="346">K1089</f>
        <v>0</v>
      </c>
      <c r="H1089" s="81"/>
      <c r="I1089" s="81"/>
      <c r="J1089" s="81"/>
      <c r="K1089" s="81">
        <f>K1090+K1091</f>
        <v>0</v>
      </c>
      <c r="L1089" s="81">
        <f t="shared" ref="L1089:M1089" si="347">L1090+L1091</f>
        <v>0</v>
      </c>
      <c r="M1089" s="580">
        <f t="shared" si="347"/>
        <v>60000</v>
      </c>
      <c r="N1089" s="484"/>
      <c r="O1089" s="1031"/>
      <c r="AJ1089" s="91"/>
      <c r="AK1089" s="91"/>
      <c r="AL1089" s="91"/>
      <c r="AM1089" s="91"/>
      <c r="AN1089" s="91"/>
      <c r="AO1089" s="91"/>
      <c r="AP1089" s="91"/>
      <c r="AQ1089" s="91"/>
      <c r="AR1089" s="91"/>
      <c r="AS1089" s="91"/>
      <c r="AT1089" s="91"/>
      <c r="AU1089" s="91"/>
      <c r="AV1089" s="91"/>
      <c r="AW1089" s="91"/>
      <c r="AX1089" s="91"/>
      <c r="AY1089" s="91"/>
      <c r="AZ1089" s="91"/>
      <c r="BA1089" s="91"/>
      <c r="BB1089" s="91"/>
      <c r="BC1089" s="91"/>
      <c r="BD1089" s="91"/>
      <c r="BE1089" s="91"/>
      <c r="BF1089" s="91"/>
      <c r="BG1089" s="91"/>
      <c r="BH1089" s="91"/>
      <c r="BI1089" s="91"/>
    </row>
    <row r="1090" spans="1:61" s="44" customFormat="1" ht="25.5" customHeight="1">
      <c r="A1090" s="927"/>
      <c r="B1090" s="484" t="s">
        <v>10</v>
      </c>
      <c r="C1090" s="484"/>
      <c r="D1090" s="484"/>
      <c r="E1090" s="484"/>
      <c r="F1090" s="484"/>
      <c r="G1090" s="81">
        <f t="shared" si="346"/>
        <v>0</v>
      </c>
      <c r="H1090" s="81"/>
      <c r="I1090" s="81"/>
      <c r="J1090" s="81"/>
      <c r="K1090" s="81">
        <v>0</v>
      </c>
      <c r="L1090" s="81"/>
      <c r="M1090" s="580">
        <v>60000</v>
      </c>
      <c r="N1090" s="484"/>
      <c r="O1090" s="1031"/>
      <c r="AJ1090" s="91"/>
      <c r="AK1090" s="91"/>
      <c r="AL1090" s="91"/>
      <c r="AM1090" s="91"/>
      <c r="AN1090" s="91"/>
      <c r="AO1090" s="91"/>
      <c r="AP1090" s="91"/>
      <c r="AQ1090" s="91"/>
      <c r="AR1090" s="91"/>
      <c r="AS1090" s="91"/>
      <c r="AT1090" s="91"/>
      <c r="AU1090" s="91"/>
      <c r="AV1090" s="91"/>
      <c r="AW1090" s="91"/>
      <c r="AX1090" s="91"/>
      <c r="AY1090" s="91"/>
      <c r="AZ1090" s="91"/>
      <c r="BA1090" s="91"/>
      <c r="BB1090" s="91"/>
      <c r="BC1090" s="91"/>
      <c r="BD1090" s="91"/>
      <c r="BE1090" s="91"/>
      <c r="BF1090" s="91"/>
      <c r="BG1090" s="91"/>
      <c r="BH1090" s="91"/>
      <c r="BI1090" s="91"/>
    </row>
    <row r="1091" spans="1:61" s="44" customFormat="1" ht="25.5" hidden="1" customHeight="1">
      <c r="A1091" s="928"/>
      <c r="B1091" s="484" t="s">
        <v>495</v>
      </c>
      <c r="C1091" s="484"/>
      <c r="D1091" s="484"/>
      <c r="E1091" s="484"/>
      <c r="F1091" s="484"/>
      <c r="G1091" s="81">
        <f t="shared" si="346"/>
        <v>0</v>
      </c>
      <c r="H1091" s="81"/>
      <c r="I1091" s="81"/>
      <c r="J1091" s="81"/>
      <c r="K1091" s="81"/>
      <c r="L1091" s="81"/>
      <c r="M1091" s="580"/>
      <c r="N1091" s="484"/>
      <c r="O1091" s="1032"/>
      <c r="AJ1091" s="91"/>
      <c r="AK1091" s="91"/>
      <c r="AL1091" s="91"/>
      <c r="AM1091" s="91"/>
      <c r="AN1091" s="91"/>
      <c r="AO1091" s="91"/>
      <c r="AP1091" s="91"/>
      <c r="AQ1091" s="91"/>
      <c r="AR1091" s="91"/>
      <c r="AS1091" s="91"/>
      <c r="AT1091" s="91"/>
      <c r="AU1091" s="91"/>
      <c r="AV1091" s="91"/>
      <c r="AW1091" s="91"/>
      <c r="AX1091" s="91"/>
      <c r="AY1091" s="91"/>
      <c r="AZ1091" s="91"/>
      <c r="BA1091" s="91"/>
      <c r="BB1091" s="91"/>
      <c r="BC1091" s="91"/>
      <c r="BD1091" s="91"/>
      <c r="BE1091" s="91"/>
      <c r="BF1091" s="91"/>
      <c r="BG1091" s="91"/>
      <c r="BH1091" s="91"/>
      <c r="BI1091" s="91"/>
    </row>
    <row r="1092" spans="1:61" s="44" customFormat="1" ht="25.5" customHeight="1">
      <c r="A1092" s="926" t="s">
        <v>853</v>
      </c>
      <c r="B1092" s="484" t="s">
        <v>89</v>
      </c>
      <c r="C1092" s="484"/>
      <c r="D1092" s="484"/>
      <c r="E1092" s="484"/>
      <c r="F1092" s="484"/>
      <c r="G1092" s="81">
        <f>K1092</f>
        <v>1.3</v>
      </c>
      <c r="H1092" s="81"/>
      <c r="I1092" s="81"/>
      <c r="J1092" s="81"/>
      <c r="K1092" s="81">
        <v>1.3</v>
      </c>
      <c r="L1092" s="81"/>
      <c r="M1092" s="580">
        <v>1.1000000000000001</v>
      </c>
      <c r="N1092" s="484"/>
      <c r="O1092" s="933" t="s">
        <v>1023</v>
      </c>
      <c r="AJ1092" s="91"/>
      <c r="AK1092" s="91"/>
      <c r="AL1092" s="91"/>
      <c r="AM1092" s="91"/>
      <c r="AN1092" s="91"/>
      <c r="AO1092" s="91"/>
      <c r="AP1092" s="91"/>
      <c r="AQ1092" s="91"/>
      <c r="AR1092" s="91"/>
      <c r="AS1092" s="91"/>
      <c r="AT1092" s="91"/>
      <c r="AU1092" s="91"/>
      <c r="AV1092" s="91"/>
      <c r="AW1092" s="91"/>
      <c r="AX1092" s="91"/>
      <c r="AY1092" s="91"/>
      <c r="AZ1092" s="91"/>
      <c r="BA1092" s="91"/>
      <c r="BB1092" s="91"/>
      <c r="BC1092" s="91"/>
      <c r="BD1092" s="91"/>
      <c r="BE1092" s="91"/>
      <c r="BF1092" s="91"/>
      <c r="BG1092" s="91"/>
      <c r="BH1092" s="91"/>
      <c r="BI1092" s="91"/>
    </row>
    <row r="1093" spans="1:61" s="44" customFormat="1" ht="25.5" customHeight="1">
      <c r="A1093" s="928"/>
      <c r="B1093" s="484" t="s">
        <v>246</v>
      </c>
      <c r="C1093" s="484"/>
      <c r="D1093" s="484"/>
      <c r="E1093" s="484"/>
      <c r="F1093" s="484"/>
      <c r="G1093" s="81">
        <f>K1093</f>
        <v>16574.7</v>
      </c>
      <c r="H1093" s="81"/>
      <c r="I1093" s="81"/>
      <c r="J1093" s="81"/>
      <c r="K1093" s="81">
        <v>16574.7</v>
      </c>
      <c r="L1093" s="81">
        <f>19000+4824-19000+5825</f>
        <v>10649</v>
      </c>
      <c r="M1093" s="580">
        <v>14343.3</v>
      </c>
      <c r="N1093" s="484"/>
      <c r="O1093" s="934"/>
      <c r="AJ1093" s="91"/>
      <c r="AK1093" s="91"/>
      <c r="AL1093" s="91"/>
      <c r="AM1093" s="91"/>
      <c r="AN1093" s="91"/>
      <c r="AO1093" s="91"/>
      <c r="AP1093" s="91"/>
      <c r="AQ1093" s="91"/>
      <c r="AR1093" s="91"/>
      <c r="AS1093" s="91"/>
      <c r="AT1093" s="91"/>
      <c r="AU1093" s="91"/>
      <c r="AV1093" s="91"/>
      <c r="AW1093" s="91"/>
      <c r="AX1093" s="91"/>
      <c r="AY1093" s="91"/>
      <c r="AZ1093" s="91"/>
      <c r="BA1093" s="91"/>
      <c r="BB1093" s="91"/>
      <c r="BC1093" s="91"/>
      <c r="BD1093" s="91"/>
      <c r="BE1093" s="91"/>
      <c r="BF1093" s="91"/>
      <c r="BG1093" s="91"/>
      <c r="BH1093" s="91"/>
      <c r="BI1093" s="91"/>
    </row>
    <row r="1094" spans="1:61" ht="21.75" customHeight="1">
      <c r="A1094" s="945" t="s">
        <v>127</v>
      </c>
      <c r="B1094" s="57" t="s">
        <v>89</v>
      </c>
      <c r="C1094" s="57"/>
      <c r="D1094" s="57"/>
      <c r="E1094" s="57"/>
      <c r="F1094" s="57"/>
      <c r="G1094" s="80">
        <f>G1096+G1098+G1100+G1102+G1104+G1106+G1108</f>
        <v>1.2</v>
      </c>
      <c r="H1094" s="80">
        <f t="shared" ref="H1094:M1095" si="348">H1096+H1098+H1100+H1102+H1104+H1106+H1108</f>
        <v>0</v>
      </c>
      <c r="I1094" s="80">
        <f t="shared" si="348"/>
        <v>0</v>
      </c>
      <c r="J1094" s="80">
        <f t="shared" si="348"/>
        <v>0</v>
      </c>
      <c r="K1094" s="80">
        <f t="shared" si="348"/>
        <v>1.2</v>
      </c>
      <c r="L1094" s="80">
        <f t="shared" si="348"/>
        <v>0</v>
      </c>
      <c r="M1094" s="439">
        <f t="shared" si="348"/>
        <v>11</v>
      </c>
      <c r="N1094" s="484"/>
      <c r="O1094" s="57"/>
    </row>
    <row r="1095" spans="1:61" s="44" customFormat="1" ht="22.5" customHeight="1">
      <c r="A1095" s="945"/>
      <c r="B1095" s="57" t="s">
        <v>246</v>
      </c>
      <c r="C1095" s="57"/>
      <c r="D1095" s="57"/>
      <c r="E1095" s="57"/>
      <c r="F1095" s="57"/>
      <c r="G1095" s="80">
        <f>G1097+G1099+G1101+G1103+G1105+G1107+G1109</f>
        <v>34160.300000000003</v>
      </c>
      <c r="H1095" s="80">
        <f t="shared" si="348"/>
        <v>0</v>
      </c>
      <c r="I1095" s="80">
        <f t="shared" si="348"/>
        <v>0</v>
      </c>
      <c r="J1095" s="80">
        <f t="shared" si="348"/>
        <v>0</v>
      </c>
      <c r="K1095" s="80">
        <f t="shared" si="348"/>
        <v>34160.300000000003</v>
      </c>
      <c r="L1095" s="80">
        <f t="shared" si="348"/>
        <v>8000</v>
      </c>
      <c r="M1095" s="439">
        <f t="shared" si="348"/>
        <v>143309.1</v>
      </c>
      <c r="N1095" s="484"/>
      <c r="O1095" s="57"/>
      <c r="AJ1095" s="91"/>
      <c r="AK1095" s="91"/>
      <c r="AL1095" s="91"/>
      <c r="AM1095" s="91"/>
      <c r="AN1095" s="91"/>
      <c r="AO1095" s="91"/>
      <c r="AP1095" s="91"/>
      <c r="AQ1095" s="91"/>
      <c r="AR1095" s="91"/>
      <c r="AS1095" s="91"/>
      <c r="AT1095" s="91"/>
      <c r="AU1095" s="91"/>
      <c r="AV1095" s="91"/>
      <c r="AW1095" s="91"/>
      <c r="AX1095" s="91"/>
      <c r="AY1095" s="91"/>
      <c r="AZ1095" s="91"/>
      <c r="BA1095" s="91"/>
      <c r="BB1095" s="91"/>
      <c r="BC1095" s="91"/>
      <c r="BD1095" s="91"/>
      <c r="BE1095" s="91"/>
      <c r="BF1095" s="91"/>
      <c r="BG1095" s="91"/>
      <c r="BH1095" s="91"/>
      <c r="BI1095" s="91"/>
    </row>
    <row r="1096" spans="1:61" ht="25.5" customHeight="1">
      <c r="A1096" s="932" t="s">
        <v>569</v>
      </c>
      <c r="B1096" s="484" t="s">
        <v>89</v>
      </c>
      <c r="C1096" s="484">
        <v>176</v>
      </c>
      <c r="D1096" s="484" t="s">
        <v>15</v>
      </c>
      <c r="E1096" s="484">
        <v>6100404</v>
      </c>
      <c r="F1096" s="484">
        <v>244</v>
      </c>
      <c r="G1096" s="81"/>
      <c r="H1096" s="81"/>
      <c r="I1096" s="81"/>
      <c r="J1096" s="81"/>
      <c r="K1096" s="81"/>
      <c r="L1096" s="81"/>
      <c r="M1096" s="580">
        <v>10</v>
      </c>
      <c r="N1096" s="484"/>
      <c r="O1096" s="933" t="s">
        <v>622</v>
      </c>
    </row>
    <row r="1097" spans="1:61" s="44" customFormat="1" ht="24.75" customHeight="1">
      <c r="A1097" s="932"/>
      <c r="B1097" s="484" t="s">
        <v>246</v>
      </c>
      <c r="C1097" s="484"/>
      <c r="D1097" s="484"/>
      <c r="E1097" s="484"/>
      <c r="F1097" s="484"/>
      <c r="G1097" s="81"/>
      <c r="H1097" s="81"/>
      <c r="I1097" s="81"/>
      <c r="J1097" s="81"/>
      <c r="K1097" s="81"/>
      <c r="L1097" s="81"/>
      <c r="M1097" s="580">
        <v>100000</v>
      </c>
      <c r="N1097" s="484"/>
      <c r="O1097" s="934"/>
      <c r="AJ1097" s="91"/>
      <c r="AK1097" s="91"/>
      <c r="AL1097" s="91"/>
      <c r="AM1097" s="91"/>
      <c r="AN1097" s="91"/>
      <c r="AO1097" s="91"/>
      <c r="AP1097" s="91"/>
      <c r="AQ1097" s="91"/>
      <c r="AR1097" s="91"/>
      <c r="AS1097" s="91"/>
      <c r="AT1097" s="91"/>
      <c r="AU1097" s="91"/>
      <c r="AV1097" s="91"/>
      <c r="AW1097" s="91"/>
      <c r="AX1097" s="91"/>
      <c r="AY1097" s="91"/>
      <c r="AZ1097" s="91"/>
      <c r="BA1097" s="91"/>
      <c r="BB1097" s="91"/>
      <c r="BC1097" s="91"/>
      <c r="BD1097" s="91"/>
      <c r="BE1097" s="91"/>
      <c r="BF1097" s="91"/>
      <c r="BG1097" s="91"/>
      <c r="BH1097" s="91"/>
      <c r="BI1097" s="91"/>
    </row>
    <row r="1098" spans="1:61" s="44" customFormat="1" ht="24.75" hidden="1" customHeight="1">
      <c r="A1098" s="926" t="s">
        <v>565</v>
      </c>
      <c r="B1098" s="484" t="s">
        <v>89</v>
      </c>
      <c r="C1098" s="484"/>
      <c r="D1098" s="484"/>
      <c r="E1098" s="484"/>
      <c r="F1098" s="484"/>
      <c r="G1098" s="81"/>
      <c r="H1098" s="81"/>
      <c r="I1098" s="81"/>
      <c r="J1098" s="81"/>
      <c r="K1098" s="81"/>
      <c r="L1098" s="81"/>
      <c r="M1098" s="580"/>
      <c r="N1098" s="484"/>
      <c r="O1098" s="933" t="s">
        <v>598</v>
      </c>
      <c r="AJ1098" s="91"/>
      <c r="AK1098" s="91"/>
      <c r="AL1098" s="91"/>
      <c r="AM1098" s="91"/>
      <c r="AN1098" s="91"/>
      <c r="AO1098" s="91"/>
      <c r="AP1098" s="91"/>
      <c r="AQ1098" s="91"/>
      <c r="AR1098" s="91"/>
      <c r="AS1098" s="91"/>
      <c r="AT1098" s="91"/>
      <c r="AU1098" s="91"/>
      <c r="AV1098" s="91"/>
      <c r="AW1098" s="91"/>
      <c r="AX1098" s="91"/>
      <c r="AY1098" s="91"/>
      <c r="AZ1098" s="91"/>
      <c r="BA1098" s="91"/>
      <c r="BB1098" s="91"/>
      <c r="BC1098" s="91"/>
      <c r="BD1098" s="91"/>
      <c r="BE1098" s="91"/>
      <c r="BF1098" s="91"/>
      <c r="BG1098" s="91"/>
      <c r="BH1098" s="91"/>
      <c r="BI1098" s="91"/>
    </row>
    <row r="1099" spans="1:61" s="44" customFormat="1" ht="25.5" hidden="1" customHeight="1">
      <c r="A1099" s="928"/>
      <c r="B1099" s="484" t="s">
        <v>246</v>
      </c>
      <c r="C1099" s="484"/>
      <c r="D1099" s="484"/>
      <c r="E1099" s="484"/>
      <c r="F1099" s="484"/>
      <c r="G1099" s="81"/>
      <c r="H1099" s="81"/>
      <c r="I1099" s="81"/>
      <c r="J1099" s="81"/>
      <c r="K1099" s="81"/>
      <c r="L1099" s="81"/>
      <c r="M1099" s="580"/>
      <c r="N1099" s="484"/>
      <c r="O1099" s="934"/>
      <c r="AJ1099" s="91"/>
      <c r="AK1099" s="91"/>
      <c r="AL1099" s="91"/>
      <c r="AM1099" s="91"/>
      <c r="AN1099" s="91"/>
      <c r="AO1099" s="91"/>
      <c r="AP1099" s="91"/>
      <c r="AQ1099" s="91"/>
      <c r="AR1099" s="91"/>
      <c r="AS1099" s="91"/>
      <c r="AT1099" s="91"/>
      <c r="AU1099" s="91"/>
      <c r="AV1099" s="91"/>
      <c r="AW1099" s="91"/>
      <c r="AX1099" s="91"/>
      <c r="AY1099" s="91"/>
      <c r="AZ1099" s="91"/>
      <c r="BA1099" s="91"/>
      <c r="BB1099" s="91"/>
      <c r="BC1099" s="91"/>
      <c r="BD1099" s="91"/>
      <c r="BE1099" s="91"/>
      <c r="BF1099" s="91"/>
      <c r="BG1099" s="91"/>
      <c r="BH1099" s="91"/>
      <c r="BI1099" s="91"/>
    </row>
    <row r="1100" spans="1:61" s="44" customFormat="1" ht="23.25" hidden="1" customHeight="1">
      <c r="A1100" s="926" t="s">
        <v>593</v>
      </c>
      <c r="B1100" s="484" t="s">
        <v>89</v>
      </c>
      <c r="C1100" s="484"/>
      <c r="D1100" s="484"/>
      <c r="E1100" s="484"/>
      <c r="F1100" s="484"/>
      <c r="G1100" s="81"/>
      <c r="H1100" s="81"/>
      <c r="I1100" s="81"/>
      <c r="J1100" s="81"/>
      <c r="K1100" s="81"/>
      <c r="L1100" s="81"/>
      <c r="M1100" s="580"/>
      <c r="N1100" s="484"/>
      <c r="O1100" s="933" t="s">
        <v>599</v>
      </c>
      <c r="AJ1100" s="91"/>
      <c r="AK1100" s="91"/>
      <c r="AL1100" s="91"/>
      <c r="AM1100" s="91"/>
      <c r="AN1100" s="91"/>
      <c r="AO1100" s="91"/>
      <c r="AP1100" s="91"/>
      <c r="AQ1100" s="91"/>
      <c r="AR1100" s="91"/>
      <c r="AS1100" s="91"/>
      <c r="AT1100" s="91"/>
      <c r="AU1100" s="91"/>
      <c r="AV1100" s="91"/>
      <c r="AW1100" s="91"/>
      <c r="AX1100" s="91"/>
      <c r="AY1100" s="91"/>
      <c r="AZ1100" s="91"/>
      <c r="BA1100" s="91"/>
      <c r="BB1100" s="91"/>
      <c r="BC1100" s="91"/>
      <c r="BD1100" s="91"/>
      <c r="BE1100" s="91"/>
      <c r="BF1100" s="91"/>
      <c r="BG1100" s="91"/>
      <c r="BH1100" s="91"/>
      <c r="BI1100" s="91"/>
    </row>
    <row r="1101" spans="1:61" s="44" customFormat="1" ht="27" hidden="1" customHeight="1">
      <c r="A1101" s="928"/>
      <c r="B1101" s="484" t="s">
        <v>246</v>
      </c>
      <c r="C1101" s="484"/>
      <c r="D1101" s="484"/>
      <c r="E1101" s="484"/>
      <c r="F1101" s="484"/>
      <c r="G1101" s="81"/>
      <c r="H1101" s="81"/>
      <c r="I1101" s="81"/>
      <c r="J1101" s="81"/>
      <c r="K1101" s="81"/>
      <c r="L1101" s="81"/>
      <c r="M1101" s="580"/>
      <c r="N1101" s="484"/>
      <c r="O1101" s="934"/>
      <c r="AJ1101" s="91"/>
      <c r="AK1101" s="91"/>
      <c r="AL1101" s="91"/>
      <c r="AM1101" s="91"/>
      <c r="AN1101" s="91"/>
      <c r="AO1101" s="91"/>
      <c r="AP1101" s="91"/>
      <c r="AQ1101" s="91"/>
      <c r="AR1101" s="91"/>
      <c r="AS1101" s="91"/>
      <c r="AT1101" s="91"/>
      <c r="AU1101" s="91"/>
      <c r="AV1101" s="91"/>
      <c r="AW1101" s="91"/>
      <c r="AX1101" s="91"/>
      <c r="AY1101" s="91"/>
      <c r="AZ1101" s="91"/>
      <c r="BA1101" s="91"/>
      <c r="BB1101" s="91"/>
      <c r="BC1101" s="91"/>
      <c r="BD1101" s="91"/>
      <c r="BE1101" s="91"/>
      <c r="BF1101" s="91"/>
      <c r="BG1101" s="91"/>
      <c r="BH1101" s="91"/>
      <c r="BI1101" s="91"/>
    </row>
    <row r="1102" spans="1:61" s="44" customFormat="1" ht="23.25" hidden="1" customHeight="1">
      <c r="A1102" s="932" t="s">
        <v>594</v>
      </c>
      <c r="B1102" s="484" t="s">
        <v>89</v>
      </c>
      <c r="C1102" s="484"/>
      <c r="D1102" s="484"/>
      <c r="E1102" s="484"/>
      <c r="F1102" s="484"/>
      <c r="G1102" s="81"/>
      <c r="H1102" s="81"/>
      <c r="I1102" s="81"/>
      <c r="J1102" s="81"/>
      <c r="K1102" s="81"/>
      <c r="L1102" s="81"/>
      <c r="M1102" s="580"/>
      <c r="N1102" s="484"/>
      <c r="O1102" s="933" t="s">
        <v>600</v>
      </c>
      <c r="AJ1102" s="91"/>
      <c r="AK1102" s="91"/>
      <c r="AL1102" s="91"/>
      <c r="AM1102" s="91"/>
      <c r="AN1102" s="91"/>
      <c r="AO1102" s="91"/>
      <c r="AP1102" s="91"/>
      <c r="AQ1102" s="91"/>
      <c r="AR1102" s="91"/>
      <c r="AS1102" s="91"/>
      <c r="AT1102" s="91"/>
      <c r="AU1102" s="91"/>
      <c r="AV1102" s="91"/>
      <c r="AW1102" s="91"/>
      <c r="AX1102" s="91"/>
      <c r="AY1102" s="91"/>
      <c r="AZ1102" s="91"/>
      <c r="BA1102" s="91"/>
      <c r="BB1102" s="91"/>
      <c r="BC1102" s="91"/>
      <c r="BD1102" s="91"/>
      <c r="BE1102" s="91"/>
      <c r="BF1102" s="91"/>
      <c r="BG1102" s="91"/>
      <c r="BH1102" s="91"/>
      <c r="BI1102" s="91"/>
    </row>
    <row r="1103" spans="1:61" s="44" customFormat="1" ht="24.75" hidden="1" customHeight="1">
      <c r="A1103" s="932"/>
      <c r="B1103" s="484" t="s">
        <v>246</v>
      </c>
      <c r="C1103" s="484"/>
      <c r="D1103" s="484"/>
      <c r="E1103" s="484"/>
      <c r="F1103" s="484"/>
      <c r="G1103" s="81"/>
      <c r="H1103" s="81"/>
      <c r="I1103" s="81"/>
      <c r="J1103" s="81"/>
      <c r="K1103" s="81"/>
      <c r="L1103" s="81"/>
      <c r="M1103" s="580"/>
      <c r="N1103" s="484"/>
      <c r="O1103" s="934"/>
      <c r="AJ1103" s="91"/>
      <c r="AK1103" s="91"/>
      <c r="AL1103" s="91"/>
      <c r="AM1103" s="91"/>
      <c r="AN1103" s="91"/>
      <c r="AO1103" s="91"/>
      <c r="AP1103" s="91"/>
      <c r="AQ1103" s="91"/>
      <c r="AR1103" s="91"/>
      <c r="AS1103" s="91"/>
      <c r="AT1103" s="91"/>
      <c r="AU1103" s="91"/>
      <c r="AV1103" s="91"/>
      <c r="AW1103" s="91"/>
      <c r="AX1103" s="91"/>
      <c r="AY1103" s="91"/>
      <c r="AZ1103" s="91"/>
      <c r="BA1103" s="91"/>
      <c r="BB1103" s="91"/>
      <c r="BC1103" s="91"/>
      <c r="BD1103" s="91"/>
      <c r="BE1103" s="91"/>
      <c r="BF1103" s="91"/>
      <c r="BG1103" s="91"/>
      <c r="BH1103" s="91"/>
      <c r="BI1103" s="91"/>
    </row>
    <row r="1104" spans="1:61" s="44" customFormat="1" ht="21.75" customHeight="1">
      <c r="A1104" s="932" t="s">
        <v>595</v>
      </c>
      <c r="B1104" s="484" t="s">
        <v>89</v>
      </c>
      <c r="C1104" s="484"/>
      <c r="D1104" s="484"/>
      <c r="E1104" s="484"/>
      <c r="F1104" s="484"/>
      <c r="G1104" s="81">
        <f>K1104</f>
        <v>0</v>
      </c>
      <c r="H1104" s="81"/>
      <c r="I1104" s="81"/>
      <c r="J1104" s="81"/>
      <c r="K1104" s="81"/>
      <c r="L1104" s="81"/>
      <c r="M1104" s="580"/>
      <c r="N1104" s="484"/>
      <c r="O1104" s="933" t="s">
        <v>601</v>
      </c>
      <c r="AJ1104" s="91"/>
      <c r="AK1104" s="91"/>
      <c r="AL1104" s="91"/>
      <c r="AM1104" s="91"/>
      <c r="AN1104" s="91"/>
      <c r="AO1104" s="91"/>
      <c r="AP1104" s="91"/>
      <c r="AQ1104" s="91"/>
      <c r="AR1104" s="91"/>
      <c r="AS1104" s="91"/>
      <c r="AT1104" s="91"/>
      <c r="AU1104" s="91"/>
      <c r="AV1104" s="91"/>
      <c r="AW1104" s="91"/>
      <c r="AX1104" s="91"/>
      <c r="AY1104" s="91"/>
      <c r="AZ1104" s="91"/>
      <c r="BA1104" s="91"/>
      <c r="BB1104" s="91"/>
      <c r="BC1104" s="91"/>
      <c r="BD1104" s="91"/>
      <c r="BE1104" s="91"/>
      <c r="BF1104" s="91"/>
      <c r="BG1104" s="91"/>
      <c r="BH1104" s="91"/>
      <c r="BI1104" s="91"/>
    </row>
    <row r="1105" spans="1:61" s="44" customFormat="1" ht="30" customHeight="1">
      <c r="A1105" s="932"/>
      <c r="B1105" s="484" t="s">
        <v>246</v>
      </c>
      <c r="C1105" s="484"/>
      <c r="D1105" s="484"/>
      <c r="E1105" s="484"/>
      <c r="F1105" s="484"/>
      <c r="G1105" s="81">
        <f>K1105</f>
        <v>1000</v>
      </c>
      <c r="H1105" s="81"/>
      <c r="I1105" s="81"/>
      <c r="J1105" s="81"/>
      <c r="K1105" s="81">
        <v>1000</v>
      </c>
      <c r="L1105" s="81"/>
      <c r="M1105" s="580"/>
      <c r="N1105" s="484"/>
      <c r="O1105" s="934"/>
      <c r="AJ1105" s="91"/>
      <c r="AK1105" s="91"/>
      <c r="AL1105" s="91"/>
      <c r="AM1105" s="91"/>
      <c r="AN1105" s="91"/>
      <c r="AO1105" s="91"/>
      <c r="AP1105" s="91"/>
      <c r="AQ1105" s="91"/>
      <c r="AR1105" s="91"/>
      <c r="AS1105" s="91"/>
      <c r="AT1105" s="91"/>
      <c r="AU1105" s="91"/>
      <c r="AV1105" s="91"/>
      <c r="AW1105" s="91"/>
      <c r="AX1105" s="91"/>
      <c r="AY1105" s="91"/>
      <c r="AZ1105" s="91"/>
      <c r="BA1105" s="91"/>
      <c r="BB1105" s="91"/>
      <c r="BC1105" s="91"/>
      <c r="BD1105" s="91"/>
      <c r="BE1105" s="91"/>
      <c r="BF1105" s="91"/>
      <c r="BG1105" s="91"/>
      <c r="BH1105" s="91"/>
      <c r="BI1105" s="91"/>
    </row>
    <row r="1106" spans="1:61" s="44" customFormat="1" ht="21" hidden="1" customHeight="1">
      <c r="A1106" s="926" t="s">
        <v>596</v>
      </c>
      <c r="B1106" s="484" t="s">
        <v>89</v>
      </c>
      <c r="C1106" s="484"/>
      <c r="D1106" s="484"/>
      <c r="E1106" s="484"/>
      <c r="F1106" s="484"/>
      <c r="G1106" s="81"/>
      <c r="H1106" s="81"/>
      <c r="I1106" s="81"/>
      <c r="J1106" s="81"/>
      <c r="K1106" s="81"/>
      <c r="L1106" s="81"/>
      <c r="M1106" s="580"/>
      <c r="N1106" s="484"/>
      <c r="O1106" s="933" t="s">
        <v>599</v>
      </c>
      <c r="AJ1106" s="91"/>
      <c r="AK1106" s="91"/>
      <c r="AL1106" s="91"/>
      <c r="AM1106" s="91"/>
      <c r="AN1106" s="91"/>
      <c r="AO1106" s="91"/>
      <c r="AP1106" s="91"/>
      <c r="AQ1106" s="91"/>
      <c r="AR1106" s="91"/>
      <c r="AS1106" s="91"/>
      <c r="AT1106" s="91"/>
      <c r="AU1106" s="91"/>
      <c r="AV1106" s="91"/>
      <c r="AW1106" s="91"/>
      <c r="AX1106" s="91"/>
      <c r="AY1106" s="91"/>
      <c r="AZ1106" s="91"/>
      <c r="BA1106" s="91"/>
      <c r="BB1106" s="91"/>
      <c r="BC1106" s="91"/>
      <c r="BD1106" s="91"/>
      <c r="BE1106" s="91"/>
      <c r="BF1106" s="91"/>
      <c r="BG1106" s="91"/>
      <c r="BH1106" s="91"/>
      <c r="BI1106" s="91"/>
    </row>
    <row r="1107" spans="1:61" s="44" customFormat="1" ht="30" hidden="1" customHeight="1">
      <c r="A1107" s="928"/>
      <c r="B1107" s="484" t="s">
        <v>246</v>
      </c>
      <c r="C1107" s="484"/>
      <c r="D1107" s="484"/>
      <c r="E1107" s="484"/>
      <c r="F1107" s="484"/>
      <c r="G1107" s="81"/>
      <c r="H1107" s="81"/>
      <c r="I1107" s="81"/>
      <c r="J1107" s="81"/>
      <c r="K1107" s="81"/>
      <c r="L1107" s="81"/>
      <c r="M1107" s="580"/>
      <c r="N1107" s="484"/>
      <c r="O1107" s="934"/>
      <c r="AJ1107" s="91"/>
      <c r="AK1107" s="91"/>
      <c r="AL1107" s="91"/>
      <c r="AM1107" s="91"/>
      <c r="AN1107" s="91"/>
      <c r="AO1107" s="91"/>
      <c r="AP1107" s="91"/>
      <c r="AQ1107" s="91"/>
      <c r="AR1107" s="91"/>
      <c r="AS1107" s="91"/>
      <c r="AT1107" s="91"/>
      <c r="AU1107" s="91"/>
      <c r="AV1107" s="91"/>
      <c r="AW1107" s="91"/>
      <c r="AX1107" s="91"/>
      <c r="AY1107" s="91"/>
      <c r="AZ1107" s="91"/>
      <c r="BA1107" s="91"/>
      <c r="BB1107" s="91"/>
      <c r="BC1107" s="91"/>
      <c r="BD1107" s="91"/>
      <c r="BE1107" s="91"/>
      <c r="BF1107" s="91"/>
      <c r="BG1107" s="91"/>
      <c r="BH1107" s="91"/>
      <c r="BI1107" s="91"/>
    </row>
    <row r="1108" spans="1:61" s="44" customFormat="1" ht="22.5" customHeight="1">
      <c r="A1108" s="926" t="s">
        <v>853</v>
      </c>
      <c r="B1108" s="484" t="s">
        <v>89</v>
      </c>
      <c r="C1108" s="484"/>
      <c r="D1108" s="484"/>
      <c r="E1108" s="484"/>
      <c r="F1108" s="484"/>
      <c r="G1108" s="81">
        <f>K1108</f>
        <v>1.2</v>
      </c>
      <c r="H1108" s="81"/>
      <c r="I1108" s="81"/>
      <c r="J1108" s="81"/>
      <c r="K1108" s="81">
        <v>1.2</v>
      </c>
      <c r="L1108" s="81"/>
      <c r="M1108" s="580">
        <v>1</v>
      </c>
      <c r="N1108" s="484"/>
      <c r="O1108" s="933" t="s">
        <v>1024</v>
      </c>
      <c r="AJ1108" s="91"/>
      <c r="AK1108" s="91"/>
      <c r="AL1108" s="91"/>
      <c r="AM1108" s="91"/>
      <c r="AN1108" s="91"/>
      <c r="AO1108" s="91"/>
      <c r="AP1108" s="91"/>
      <c r="AQ1108" s="91"/>
      <c r="AR1108" s="91"/>
      <c r="AS1108" s="91"/>
      <c r="AT1108" s="91"/>
      <c r="AU1108" s="91"/>
      <c r="AV1108" s="91"/>
      <c r="AW1108" s="91"/>
      <c r="AX1108" s="91"/>
      <c r="AY1108" s="91"/>
      <c r="AZ1108" s="91"/>
      <c r="BA1108" s="91"/>
      <c r="BB1108" s="91"/>
      <c r="BC1108" s="91"/>
      <c r="BD1108" s="91"/>
      <c r="BE1108" s="91"/>
      <c r="BF1108" s="91"/>
      <c r="BG1108" s="91"/>
      <c r="BH1108" s="91"/>
      <c r="BI1108" s="91"/>
    </row>
    <row r="1109" spans="1:61" s="44" customFormat="1" ht="30" customHeight="1">
      <c r="A1109" s="928"/>
      <c r="B1109" s="484" t="s">
        <v>246</v>
      </c>
      <c r="C1109" s="484"/>
      <c r="D1109" s="484"/>
      <c r="E1109" s="484"/>
      <c r="F1109" s="484"/>
      <c r="G1109" s="81">
        <f>K1109</f>
        <v>33160.300000000003</v>
      </c>
      <c r="H1109" s="81"/>
      <c r="I1109" s="81"/>
      <c r="J1109" s="81"/>
      <c r="K1109" s="81">
        <f>14160.3+19000</f>
        <v>33160.300000000003</v>
      </c>
      <c r="L1109" s="81">
        <f>18000+8576-18000-576</f>
        <v>8000</v>
      </c>
      <c r="M1109" s="580">
        <f>12309.1+31000</f>
        <v>43309.1</v>
      </c>
      <c r="N1109" s="484"/>
      <c r="O1109" s="934"/>
      <c r="AJ1109" s="91"/>
      <c r="AK1109" s="91"/>
      <c r="AL1109" s="91"/>
      <c r="AM1109" s="91"/>
      <c r="AN1109" s="91"/>
      <c r="AO1109" s="91"/>
      <c r="AP1109" s="91"/>
      <c r="AQ1109" s="91"/>
      <c r="AR1109" s="91"/>
      <c r="AS1109" s="91"/>
      <c r="AT1109" s="91"/>
      <c r="AU1109" s="91"/>
      <c r="AV1109" s="91"/>
      <c r="AW1109" s="91"/>
      <c r="AX1109" s="91"/>
      <c r="AY1109" s="91"/>
      <c r="AZ1109" s="91"/>
      <c r="BA1109" s="91"/>
      <c r="BB1109" s="91"/>
      <c r="BC1109" s="91"/>
      <c r="BD1109" s="91"/>
      <c r="BE1109" s="91"/>
      <c r="BF1109" s="91"/>
      <c r="BG1109" s="91"/>
      <c r="BH1109" s="91"/>
      <c r="BI1109" s="91"/>
    </row>
    <row r="1110" spans="1:61" s="44" customFormat="1" ht="30" hidden="1" customHeight="1">
      <c r="A1110" s="1014"/>
      <c r="B1110" s="484"/>
      <c r="C1110" s="484"/>
      <c r="D1110" s="484"/>
      <c r="E1110" s="484"/>
      <c r="F1110" s="484"/>
      <c r="G1110" s="81"/>
      <c r="H1110" s="81"/>
      <c r="I1110" s="81"/>
      <c r="J1110" s="81"/>
      <c r="K1110" s="81"/>
      <c r="L1110" s="81"/>
      <c r="M1110" s="580"/>
      <c r="N1110" s="484"/>
      <c r="O1110" s="933" t="s">
        <v>592</v>
      </c>
      <c r="AJ1110" s="91"/>
      <c r="AK1110" s="91"/>
      <c r="AL1110" s="91"/>
      <c r="AM1110" s="91"/>
      <c r="AN1110" s="91"/>
      <c r="AO1110" s="91"/>
      <c r="AP1110" s="91"/>
      <c r="AQ1110" s="91"/>
      <c r="AR1110" s="91"/>
      <c r="AS1110" s="91"/>
      <c r="AT1110" s="91"/>
      <c r="AU1110" s="91"/>
      <c r="AV1110" s="91"/>
      <c r="AW1110" s="91"/>
      <c r="AX1110" s="91"/>
      <c r="AY1110" s="91"/>
      <c r="AZ1110" s="91"/>
      <c r="BA1110" s="91"/>
      <c r="BB1110" s="91"/>
      <c r="BC1110" s="91"/>
      <c r="BD1110" s="91"/>
      <c r="BE1110" s="91"/>
      <c r="BF1110" s="91"/>
      <c r="BG1110" s="91"/>
      <c r="BH1110" s="91"/>
      <c r="BI1110" s="91"/>
    </row>
    <row r="1111" spans="1:61" s="44" customFormat="1" ht="30" hidden="1" customHeight="1">
      <c r="A1111" s="1016"/>
      <c r="B1111" s="484"/>
      <c r="C1111" s="484"/>
      <c r="D1111" s="484"/>
      <c r="E1111" s="484"/>
      <c r="F1111" s="484"/>
      <c r="G1111" s="81"/>
      <c r="H1111" s="81"/>
      <c r="I1111" s="81"/>
      <c r="J1111" s="81"/>
      <c r="K1111" s="81"/>
      <c r="L1111" s="81"/>
      <c r="M1111" s="580"/>
      <c r="N1111" s="484"/>
      <c r="O1111" s="934"/>
      <c r="AJ1111" s="91"/>
      <c r="AK1111" s="91"/>
      <c r="AL1111" s="91"/>
      <c r="AM1111" s="91"/>
      <c r="AN1111" s="91"/>
      <c r="AO1111" s="91"/>
      <c r="AP1111" s="91"/>
      <c r="AQ1111" s="91"/>
      <c r="AR1111" s="91"/>
      <c r="AS1111" s="91"/>
      <c r="AT1111" s="91"/>
      <c r="AU1111" s="91"/>
      <c r="AV1111" s="91"/>
      <c r="AW1111" s="91"/>
      <c r="AX1111" s="91"/>
      <c r="AY1111" s="91"/>
      <c r="AZ1111" s="91"/>
      <c r="BA1111" s="91"/>
      <c r="BB1111" s="91"/>
      <c r="BC1111" s="91"/>
      <c r="BD1111" s="91"/>
      <c r="BE1111" s="91"/>
      <c r="BF1111" s="91"/>
      <c r="BG1111" s="91"/>
      <c r="BH1111" s="91"/>
      <c r="BI1111" s="91"/>
    </row>
    <row r="1112" spans="1:61" s="44" customFormat="1" ht="21" customHeight="1">
      <c r="A1112" s="887" t="s">
        <v>129</v>
      </c>
      <c r="B1112" s="57" t="s">
        <v>89</v>
      </c>
      <c r="C1112" s="484"/>
      <c r="D1112" s="484"/>
      <c r="E1112" s="484"/>
      <c r="F1112" s="484"/>
      <c r="G1112" s="80">
        <f>G1116+G1120+G1124</f>
        <v>1.5</v>
      </c>
      <c r="H1112" s="80">
        <f t="shared" ref="H1112:M1112" si="349">H1116+H1120+H1124</f>
        <v>0</v>
      </c>
      <c r="I1112" s="80">
        <f t="shared" si="349"/>
        <v>0</v>
      </c>
      <c r="J1112" s="80">
        <f t="shared" si="349"/>
        <v>0</v>
      </c>
      <c r="K1112" s="80">
        <f t="shared" si="349"/>
        <v>1.5</v>
      </c>
      <c r="L1112" s="80">
        <f t="shared" si="349"/>
        <v>0</v>
      </c>
      <c r="M1112" s="80">
        <f t="shared" si="349"/>
        <v>12.1</v>
      </c>
      <c r="N1112" s="484"/>
      <c r="O1112" s="484"/>
      <c r="AJ1112" s="91"/>
      <c r="AK1112" s="91"/>
      <c r="AL1112" s="91"/>
      <c r="AM1112" s="91"/>
      <c r="AN1112" s="91"/>
      <c r="AO1112" s="91"/>
      <c r="AP1112" s="91"/>
      <c r="AQ1112" s="91"/>
      <c r="AR1112" s="91"/>
      <c r="AS1112" s="91"/>
      <c r="AT1112" s="91"/>
      <c r="AU1112" s="91"/>
      <c r="AV1112" s="91"/>
      <c r="AW1112" s="91"/>
      <c r="AX1112" s="91"/>
      <c r="AY1112" s="91"/>
      <c r="AZ1112" s="91"/>
      <c r="BA1112" s="91"/>
      <c r="BB1112" s="91"/>
      <c r="BC1112" s="91"/>
      <c r="BD1112" s="91"/>
      <c r="BE1112" s="91"/>
      <c r="BF1112" s="91"/>
      <c r="BG1112" s="91"/>
      <c r="BH1112" s="91"/>
      <c r="BI1112" s="91"/>
    </row>
    <row r="1113" spans="1:61" s="44" customFormat="1" ht="21" customHeight="1">
      <c r="A1113" s="888"/>
      <c r="B1113" s="57" t="s">
        <v>25</v>
      </c>
      <c r="C1113" s="484"/>
      <c r="D1113" s="484"/>
      <c r="E1113" s="484"/>
      <c r="F1113" s="484"/>
      <c r="G1113" s="80">
        <f>G1114+G1115</f>
        <v>13575.1</v>
      </c>
      <c r="H1113" s="80">
        <f t="shared" ref="H1113:K1113" si="350">H1114+H1115</f>
        <v>0</v>
      </c>
      <c r="I1113" s="80">
        <f t="shared" si="350"/>
        <v>0</v>
      </c>
      <c r="J1113" s="80">
        <f t="shared" si="350"/>
        <v>0</v>
      </c>
      <c r="K1113" s="80">
        <f t="shared" si="350"/>
        <v>13575.1</v>
      </c>
      <c r="L1113" s="80">
        <f t="shared" ref="L1113:M1113" si="351">L1121+L1125</f>
        <v>0</v>
      </c>
      <c r="M1113" s="80">
        <f t="shared" si="351"/>
        <v>234560.59999999998</v>
      </c>
      <c r="N1113" s="484"/>
      <c r="O1113" s="484"/>
      <c r="AJ1113" s="91"/>
      <c r="AK1113" s="91"/>
      <c r="AL1113" s="91"/>
      <c r="AM1113" s="91"/>
      <c r="AN1113" s="91"/>
      <c r="AO1113" s="91"/>
      <c r="AP1113" s="91"/>
      <c r="AQ1113" s="91"/>
      <c r="AR1113" s="91"/>
      <c r="AS1113" s="91"/>
      <c r="AT1113" s="91"/>
      <c r="AU1113" s="91"/>
      <c r="AV1113" s="91"/>
      <c r="AW1113" s="91"/>
      <c r="AX1113" s="91"/>
      <c r="AY1113" s="91"/>
      <c r="AZ1113" s="91"/>
      <c r="BA1113" s="91"/>
      <c r="BB1113" s="91"/>
      <c r="BC1113" s="91"/>
      <c r="BD1113" s="91"/>
      <c r="BE1113" s="91"/>
      <c r="BF1113" s="91"/>
      <c r="BG1113" s="91"/>
      <c r="BH1113" s="91"/>
      <c r="BI1113" s="91"/>
    </row>
    <row r="1114" spans="1:61" s="44" customFormat="1" ht="20.25" customHeight="1">
      <c r="A1114" s="888"/>
      <c r="B1114" s="57" t="s">
        <v>10</v>
      </c>
      <c r="C1114" s="484"/>
      <c r="D1114" s="484"/>
      <c r="E1114" s="484"/>
      <c r="F1114" s="484"/>
      <c r="G1114" s="80">
        <f>G1118+G1122+G1125</f>
        <v>13575.1</v>
      </c>
      <c r="H1114" s="80">
        <f t="shared" ref="H1114:M1114" si="352">H1118+H1122+H1125</f>
        <v>0</v>
      </c>
      <c r="I1114" s="80">
        <f t="shared" si="352"/>
        <v>0</v>
      </c>
      <c r="J1114" s="80">
        <f t="shared" si="352"/>
        <v>0</v>
      </c>
      <c r="K1114" s="80">
        <f t="shared" si="352"/>
        <v>13575.1</v>
      </c>
      <c r="L1114" s="80">
        <f t="shared" si="352"/>
        <v>0</v>
      </c>
      <c r="M1114" s="80">
        <f t="shared" si="352"/>
        <v>234560.59999999998</v>
      </c>
      <c r="N1114" s="484"/>
      <c r="O1114" s="484"/>
      <c r="AJ1114" s="91"/>
      <c r="AK1114" s="91"/>
      <c r="AL1114" s="91"/>
      <c r="AM1114" s="91"/>
      <c r="AN1114" s="91"/>
      <c r="AO1114" s="91"/>
      <c r="AP1114" s="91"/>
      <c r="AQ1114" s="91"/>
      <c r="AR1114" s="91"/>
      <c r="AS1114" s="91"/>
      <c r="AT1114" s="91"/>
      <c r="AU1114" s="91"/>
      <c r="AV1114" s="91"/>
      <c r="AW1114" s="91"/>
      <c r="AX1114" s="91"/>
      <c r="AY1114" s="91"/>
      <c r="AZ1114" s="91"/>
      <c r="BA1114" s="91"/>
      <c r="BB1114" s="91"/>
      <c r="BC1114" s="91"/>
      <c r="BD1114" s="91"/>
      <c r="BE1114" s="91"/>
      <c r="BF1114" s="91"/>
      <c r="BG1114" s="91"/>
      <c r="BH1114" s="91"/>
      <c r="BI1114" s="91"/>
    </row>
    <row r="1115" spans="1:61" s="44" customFormat="1" ht="19.5" customHeight="1">
      <c r="A1115" s="889"/>
      <c r="B1115" s="57" t="s">
        <v>495</v>
      </c>
      <c r="C1115" s="57"/>
      <c r="D1115" s="57"/>
      <c r="E1115" s="57"/>
      <c r="F1115" s="57"/>
      <c r="G1115" s="80">
        <f t="shared" ref="G1115:G1123" si="353">K1115</f>
        <v>0</v>
      </c>
      <c r="H1115" s="80">
        <f t="shared" ref="H1115:J1115" si="354">H1123</f>
        <v>0</v>
      </c>
      <c r="I1115" s="80">
        <f t="shared" si="354"/>
        <v>0</v>
      </c>
      <c r="J1115" s="80">
        <f t="shared" si="354"/>
        <v>0</v>
      </c>
      <c r="K1115" s="80">
        <f>K1123</f>
        <v>0</v>
      </c>
      <c r="L1115" s="80">
        <f>L1123</f>
        <v>0</v>
      </c>
      <c r="M1115" s="439">
        <f>M1123</f>
        <v>0</v>
      </c>
      <c r="N1115" s="484"/>
      <c r="O1115" s="57"/>
      <c r="AJ1115" s="91"/>
      <c r="AK1115" s="91"/>
      <c r="AL1115" s="91"/>
      <c r="AM1115" s="91"/>
      <c r="AN1115" s="91"/>
      <c r="AO1115" s="91"/>
      <c r="AP1115" s="91"/>
      <c r="AQ1115" s="91"/>
      <c r="AR1115" s="91"/>
      <c r="AS1115" s="91"/>
      <c r="AT1115" s="91"/>
      <c r="AU1115" s="91"/>
      <c r="AV1115" s="91"/>
      <c r="AW1115" s="91"/>
      <c r="AX1115" s="91"/>
      <c r="AY1115" s="91"/>
      <c r="AZ1115" s="91"/>
      <c r="BA1115" s="91"/>
      <c r="BB1115" s="91"/>
      <c r="BC1115" s="91"/>
      <c r="BD1115" s="91"/>
      <c r="BE1115" s="91"/>
      <c r="BF1115" s="91"/>
      <c r="BG1115" s="91"/>
      <c r="BH1115" s="91"/>
      <c r="BI1115" s="91"/>
    </row>
    <row r="1116" spans="1:61" s="44" customFormat="1" ht="26.25" customHeight="1">
      <c r="A1116" s="926" t="s">
        <v>1104</v>
      </c>
      <c r="B1116" s="661" t="s">
        <v>89</v>
      </c>
      <c r="C1116" s="662"/>
      <c r="D1116" s="662"/>
      <c r="E1116" s="662"/>
      <c r="F1116" s="662"/>
      <c r="G1116" s="81">
        <f t="shared" ref="G1116:G1119" si="355">K1116</f>
        <v>0</v>
      </c>
      <c r="H1116" s="81"/>
      <c r="I1116" s="81"/>
      <c r="J1116" s="81"/>
      <c r="K1116" s="81"/>
      <c r="L1116" s="81"/>
      <c r="M1116" s="580"/>
      <c r="N1116" s="661"/>
      <c r="O1116" s="933" t="s">
        <v>856</v>
      </c>
      <c r="AJ1116" s="91"/>
      <c r="AK1116" s="91"/>
      <c r="AL1116" s="91"/>
      <c r="AM1116" s="91"/>
      <c r="AN1116" s="91"/>
      <c r="AO1116" s="91"/>
      <c r="AP1116" s="91"/>
      <c r="AQ1116" s="91"/>
      <c r="AR1116" s="91"/>
      <c r="AS1116" s="91"/>
      <c r="AT1116" s="91"/>
      <c r="AU1116" s="91"/>
      <c r="AV1116" s="91"/>
      <c r="AW1116" s="91"/>
      <c r="AX1116" s="91"/>
      <c r="AY1116" s="91"/>
      <c r="AZ1116" s="91"/>
      <c r="BA1116" s="91"/>
      <c r="BB1116" s="91"/>
      <c r="BC1116" s="91"/>
      <c r="BD1116" s="91"/>
      <c r="BE1116" s="91"/>
      <c r="BF1116" s="91"/>
      <c r="BG1116" s="91"/>
      <c r="BH1116" s="91"/>
      <c r="BI1116" s="91"/>
    </row>
    <row r="1117" spans="1:61" s="44" customFormat="1" ht="23.25" customHeight="1">
      <c r="A1117" s="927"/>
      <c r="B1117" s="661" t="s">
        <v>25</v>
      </c>
      <c r="C1117" s="662"/>
      <c r="D1117" s="662"/>
      <c r="E1117" s="662"/>
      <c r="F1117" s="662"/>
      <c r="G1117" s="81">
        <f t="shared" si="355"/>
        <v>765.6</v>
      </c>
      <c r="H1117" s="81"/>
      <c r="I1117" s="81"/>
      <c r="J1117" s="81"/>
      <c r="K1117" s="81">
        <f>K1118+K1119</f>
        <v>765.6</v>
      </c>
      <c r="L1117" s="81">
        <f>L1118+L1119</f>
        <v>0</v>
      </c>
      <c r="M1117" s="580">
        <f>M1118+M1119</f>
        <v>0</v>
      </c>
      <c r="N1117" s="661"/>
      <c r="O1117" s="946"/>
      <c r="AJ1117" s="91"/>
      <c r="AK1117" s="91"/>
      <c r="AL1117" s="91"/>
      <c r="AM1117" s="91"/>
      <c r="AN1117" s="91"/>
      <c r="AO1117" s="91"/>
      <c r="AP1117" s="91"/>
      <c r="AQ1117" s="91"/>
      <c r="AR1117" s="91"/>
      <c r="AS1117" s="91"/>
      <c r="AT1117" s="91"/>
      <c r="AU1117" s="91"/>
      <c r="AV1117" s="91"/>
      <c r="AW1117" s="91"/>
      <c r="AX1117" s="91"/>
      <c r="AY1117" s="91"/>
      <c r="AZ1117" s="91"/>
      <c r="BA1117" s="91"/>
      <c r="BB1117" s="91"/>
      <c r="BC1117" s="91"/>
      <c r="BD1117" s="91"/>
      <c r="BE1117" s="91"/>
      <c r="BF1117" s="91"/>
      <c r="BG1117" s="91"/>
      <c r="BH1117" s="91"/>
      <c r="BI1117" s="91"/>
    </row>
    <row r="1118" spans="1:61" s="44" customFormat="1" ht="26.25" customHeight="1">
      <c r="A1118" s="927"/>
      <c r="B1118" s="661" t="s">
        <v>10</v>
      </c>
      <c r="C1118" s="662"/>
      <c r="D1118" s="662"/>
      <c r="E1118" s="662"/>
      <c r="F1118" s="662"/>
      <c r="G1118" s="81">
        <f t="shared" si="355"/>
        <v>765.6</v>
      </c>
      <c r="H1118" s="81"/>
      <c r="I1118" s="81"/>
      <c r="J1118" s="81"/>
      <c r="K1118" s="81">
        <v>765.6</v>
      </c>
      <c r="L1118" s="81"/>
      <c r="M1118" s="580"/>
      <c r="N1118" s="661"/>
      <c r="O1118" s="946"/>
      <c r="AJ1118" s="91"/>
      <c r="AK1118" s="91"/>
      <c r="AL1118" s="91"/>
      <c r="AM1118" s="91"/>
      <c r="AN1118" s="91"/>
      <c r="AO1118" s="91"/>
      <c r="AP1118" s="91"/>
      <c r="AQ1118" s="91"/>
      <c r="AR1118" s="91"/>
      <c r="AS1118" s="91"/>
      <c r="AT1118" s="91"/>
      <c r="AU1118" s="91"/>
      <c r="AV1118" s="91"/>
      <c r="AW1118" s="91"/>
      <c r="AX1118" s="91"/>
      <c r="AY1118" s="91"/>
      <c r="AZ1118" s="91"/>
      <c r="BA1118" s="91"/>
      <c r="BB1118" s="91"/>
      <c r="BC1118" s="91"/>
      <c r="BD1118" s="91"/>
      <c r="BE1118" s="91"/>
      <c r="BF1118" s="91"/>
      <c r="BG1118" s="91"/>
      <c r="BH1118" s="91"/>
      <c r="BI1118" s="91"/>
    </row>
    <row r="1119" spans="1:61" ht="26.25" hidden="1" customHeight="1">
      <c r="A1119" s="928"/>
      <c r="B1119" s="661" t="s">
        <v>495</v>
      </c>
      <c r="C1119" s="661">
        <v>176</v>
      </c>
      <c r="D1119" s="661" t="s">
        <v>15</v>
      </c>
      <c r="E1119" s="661">
        <v>6100404</v>
      </c>
      <c r="F1119" s="661">
        <v>244</v>
      </c>
      <c r="G1119" s="81">
        <f t="shared" si="355"/>
        <v>0</v>
      </c>
      <c r="H1119" s="81"/>
      <c r="I1119" s="81"/>
      <c r="J1119" s="81"/>
      <c r="K1119" s="81"/>
      <c r="L1119" s="81"/>
      <c r="M1119" s="580"/>
      <c r="N1119" s="661"/>
      <c r="O1119" s="934"/>
    </row>
    <row r="1120" spans="1:61" s="44" customFormat="1" ht="26.25" customHeight="1">
      <c r="A1120" s="926" t="s">
        <v>995</v>
      </c>
      <c r="B1120" s="661" t="s">
        <v>89</v>
      </c>
      <c r="C1120" s="662"/>
      <c r="D1120" s="662"/>
      <c r="E1120" s="662"/>
      <c r="F1120" s="662"/>
      <c r="G1120" s="81">
        <f t="shared" si="353"/>
        <v>0</v>
      </c>
      <c r="H1120" s="81"/>
      <c r="I1120" s="81"/>
      <c r="J1120" s="81"/>
      <c r="K1120" s="81">
        <v>0</v>
      </c>
      <c r="L1120" s="81"/>
      <c r="M1120" s="580">
        <v>11</v>
      </c>
      <c r="N1120" s="661"/>
      <c r="O1120" s="933" t="s">
        <v>996</v>
      </c>
      <c r="AJ1120" s="91"/>
      <c r="AK1120" s="91"/>
      <c r="AL1120" s="91"/>
      <c r="AM1120" s="91"/>
      <c r="AN1120" s="91"/>
      <c r="AO1120" s="91"/>
      <c r="AP1120" s="91"/>
      <c r="AQ1120" s="91"/>
      <c r="AR1120" s="91"/>
      <c r="AS1120" s="91"/>
      <c r="AT1120" s="91"/>
      <c r="AU1120" s="91"/>
      <c r="AV1120" s="91"/>
      <c r="AW1120" s="91"/>
      <c r="AX1120" s="91"/>
      <c r="AY1120" s="91"/>
      <c r="AZ1120" s="91"/>
      <c r="BA1120" s="91"/>
      <c r="BB1120" s="91"/>
      <c r="BC1120" s="91"/>
      <c r="BD1120" s="91"/>
      <c r="BE1120" s="91"/>
      <c r="BF1120" s="91"/>
      <c r="BG1120" s="91"/>
      <c r="BH1120" s="91"/>
      <c r="BI1120" s="91"/>
    </row>
    <row r="1121" spans="1:61" s="44" customFormat="1" ht="23.25" customHeight="1">
      <c r="A1121" s="927"/>
      <c r="B1121" s="661" t="s">
        <v>25</v>
      </c>
      <c r="C1121" s="662"/>
      <c r="D1121" s="662"/>
      <c r="E1121" s="662"/>
      <c r="F1121" s="662"/>
      <c r="G1121" s="81">
        <f t="shared" si="353"/>
        <v>0</v>
      </c>
      <c r="H1121" s="81"/>
      <c r="I1121" s="81"/>
      <c r="J1121" s="81"/>
      <c r="K1121" s="81">
        <f>K1122</f>
        <v>0</v>
      </c>
      <c r="L1121" s="81">
        <f>L1122+L1123</f>
        <v>0</v>
      </c>
      <c r="M1121" s="580">
        <f>M1122+M1123</f>
        <v>220103.8</v>
      </c>
      <c r="N1121" s="661"/>
      <c r="O1121" s="946"/>
      <c r="AJ1121" s="91"/>
      <c r="AK1121" s="91"/>
      <c r="AL1121" s="91"/>
      <c r="AM1121" s="91"/>
      <c r="AN1121" s="91"/>
      <c r="AO1121" s="91"/>
      <c r="AP1121" s="91"/>
      <c r="AQ1121" s="91"/>
      <c r="AR1121" s="91"/>
      <c r="AS1121" s="91"/>
      <c r="AT1121" s="91"/>
      <c r="AU1121" s="91"/>
      <c r="AV1121" s="91"/>
      <c r="AW1121" s="91"/>
      <c r="AX1121" s="91"/>
      <c r="AY1121" s="91"/>
      <c r="AZ1121" s="91"/>
      <c r="BA1121" s="91"/>
      <c r="BB1121" s="91"/>
      <c r="BC1121" s="91"/>
      <c r="BD1121" s="91"/>
      <c r="BE1121" s="91"/>
      <c r="BF1121" s="91"/>
      <c r="BG1121" s="91"/>
      <c r="BH1121" s="91"/>
      <c r="BI1121" s="91"/>
    </row>
    <row r="1122" spans="1:61" s="44" customFormat="1" ht="26.25" customHeight="1">
      <c r="A1122" s="927"/>
      <c r="B1122" s="661" t="s">
        <v>10</v>
      </c>
      <c r="C1122" s="662"/>
      <c r="D1122" s="662"/>
      <c r="E1122" s="662"/>
      <c r="F1122" s="662"/>
      <c r="G1122" s="81">
        <f t="shared" si="353"/>
        <v>0</v>
      </c>
      <c r="H1122" s="81"/>
      <c r="I1122" s="81"/>
      <c r="J1122" s="81"/>
      <c r="K1122" s="81">
        <v>0</v>
      </c>
      <c r="L1122" s="81"/>
      <c r="M1122" s="580">
        <v>220103.8</v>
      </c>
      <c r="N1122" s="661"/>
      <c r="O1122" s="946"/>
      <c r="AJ1122" s="91"/>
      <c r="AK1122" s="91"/>
      <c r="AL1122" s="91"/>
      <c r="AM1122" s="91"/>
      <c r="AN1122" s="91"/>
      <c r="AO1122" s="91"/>
      <c r="AP1122" s="91"/>
      <c r="AQ1122" s="91"/>
      <c r="AR1122" s="91"/>
      <c r="AS1122" s="91"/>
      <c r="AT1122" s="91"/>
      <c r="AU1122" s="91"/>
      <c r="AV1122" s="91"/>
      <c r="AW1122" s="91"/>
      <c r="AX1122" s="91"/>
      <c r="AY1122" s="91"/>
      <c r="AZ1122" s="91"/>
      <c r="BA1122" s="91"/>
      <c r="BB1122" s="91"/>
      <c r="BC1122" s="91"/>
      <c r="BD1122" s="91"/>
      <c r="BE1122" s="91"/>
      <c r="BF1122" s="91"/>
      <c r="BG1122" s="91"/>
      <c r="BH1122" s="91"/>
      <c r="BI1122" s="91"/>
    </row>
    <row r="1123" spans="1:61" ht="26.25" hidden="1" customHeight="1">
      <c r="A1123" s="928"/>
      <c r="B1123" s="661" t="s">
        <v>495</v>
      </c>
      <c r="C1123" s="661">
        <v>176</v>
      </c>
      <c r="D1123" s="661" t="s">
        <v>15</v>
      </c>
      <c r="E1123" s="661">
        <v>6100404</v>
      </c>
      <c r="F1123" s="661">
        <v>244</v>
      </c>
      <c r="G1123" s="81">
        <f t="shared" si="353"/>
        <v>0</v>
      </c>
      <c r="H1123" s="81"/>
      <c r="I1123" s="81"/>
      <c r="J1123" s="81"/>
      <c r="K1123" s="81"/>
      <c r="L1123" s="81"/>
      <c r="M1123" s="580"/>
      <c r="N1123" s="661"/>
      <c r="O1123" s="934"/>
    </row>
    <row r="1124" spans="1:61" ht="26.25" customHeight="1">
      <c r="A1124" s="926" t="s">
        <v>853</v>
      </c>
      <c r="B1124" s="611" t="s">
        <v>89</v>
      </c>
      <c r="C1124" s="611"/>
      <c r="D1124" s="611"/>
      <c r="E1124" s="611"/>
      <c r="F1124" s="611"/>
      <c r="G1124" s="81">
        <f>K1124</f>
        <v>1.5</v>
      </c>
      <c r="H1124" s="81"/>
      <c r="I1124" s="81"/>
      <c r="J1124" s="81"/>
      <c r="K1124" s="81">
        <v>1.5</v>
      </c>
      <c r="L1124" s="81"/>
      <c r="M1124" s="580">
        <v>1.1000000000000001</v>
      </c>
      <c r="N1124" s="611"/>
      <c r="O1124" s="933" t="s">
        <v>1025</v>
      </c>
    </row>
    <row r="1125" spans="1:61" ht="26.25" customHeight="1">
      <c r="A1125" s="928"/>
      <c r="B1125" s="611" t="s">
        <v>246</v>
      </c>
      <c r="C1125" s="611"/>
      <c r="D1125" s="611"/>
      <c r="E1125" s="611"/>
      <c r="F1125" s="611"/>
      <c r="G1125" s="81">
        <f>K1125</f>
        <v>12809.5</v>
      </c>
      <c r="H1125" s="81"/>
      <c r="I1125" s="81"/>
      <c r="J1125" s="81"/>
      <c r="K1125" s="81">
        <v>12809.5</v>
      </c>
      <c r="L1125" s="81"/>
      <c r="M1125" s="580">
        <v>14456.8</v>
      </c>
      <c r="N1125" s="611"/>
      <c r="O1125" s="934"/>
    </row>
    <row r="1126" spans="1:61" ht="24.75" customHeight="1">
      <c r="A1126" s="945" t="s">
        <v>102</v>
      </c>
      <c r="B1126" s="57" t="s">
        <v>89</v>
      </c>
      <c r="C1126" s="612" t="s">
        <v>89</v>
      </c>
      <c r="D1126" s="612" t="s">
        <v>89</v>
      </c>
      <c r="E1126" s="612" t="s">
        <v>89</v>
      </c>
      <c r="F1126" s="612" t="s">
        <v>89</v>
      </c>
      <c r="G1126" s="79">
        <f>G1132</f>
        <v>1.3</v>
      </c>
      <c r="H1126" s="79">
        <f t="shared" ref="H1126:L1126" si="356">H1132</f>
        <v>0</v>
      </c>
      <c r="I1126" s="79">
        <f t="shared" si="356"/>
        <v>0</v>
      </c>
      <c r="J1126" s="79">
        <f t="shared" si="356"/>
        <v>0</v>
      </c>
      <c r="K1126" s="79">
        <f t="shared" si="356"/>
        <v>1.3</v>
      </c>
      <c r="L1126" s="79">
        <f t="shared" si="356"/>
        <v>0</v>
      </c>
      <c r="M1126" s="439">
        <f>M1128+M1130+M1132</f>
        <v>6.1</v>
      </c>
      <c r="N1126" s="484"/>
      <c r="O1126" s="57"/>
    </row>
    <row r="1127" spans="1:61" ht="24.75" customHeight="1">
      <c r="A1127" s="945"/>
      <c r="B1127" s="57" t="s">
        <v>246</v>
      </c>
      <c r="C1127" s="57"/>
      <c r="D1127" s="57"/>
      <c r="E1127" s="57"/>
      <c r="F1127" s="57"/>
      <c r="G1127" s="80">
        <f>G1129+G1131+G1133</f>
        <v>17111.900000000001</v>
      </c>
      <c r="H1127" s="80">
        <f t="shared" ref="H1127:M1127" si="357">H1129+H1131+H1133</f>
        <v>0</v>
      </c>
      <c r="I1127" s="80">
        <f t="shared" si="357"/>
        <v>0</v>
      </c>
      <c r="J1127" s="80">
        <f t="shared" si="357"/>
        <v>0</v>
      </c>
      <c r="K1127" s="80">
        <f t="shared" si="357"/>
        <v>17111.900000000001</v>
      </c>
      <c r="L1127" s="80">
        <f t="shared" si="357"/>
        <v>0</v>
      </c>
      <c r="M1127" s="80">
        <f t="shared" si="357"/>
        <v>113953.4</v>
      </c>
      <c r="N1127" s="484"/>
      <c r="O1127" s="57"/>
    </row>
    <row r="1128" spans="1:61" ht="24" customHeight="1">
      <c r="A1128" s="932" t="s">
        <v>997</v>
      </c>
      <c r="B1128" s="484" t="s">
        <v>89</v>
      </c>
      <c r="C1128" s="484">
        <v>176</v>
      </c>
      <c r="D1128" s="484" t="s">
        <v>15</v>
      </c>
      <c r="E1128" s="484">
        <v>6100404</v>
      </c>
      <c r="F1128" s="484">
        <v>244</v>
      </c>
      <c r="G1128" s="81"/>
      <c r="H1128" s="81"/>
      <c r="I1128" s="81"/>
      <c r="J1128" s="81"/>
      <c r="K1128" s="81"/>
      <c r="L1128" s="81"/>
      <c r="M1128" s="580">
        <v>5</v>
      </c>
      <c r="N1128" s="484"/>
      <c r="O1128" s="944" t="s">
        <v>625</v>
      </c>
    </row>
    <row r="1129" spans="1:61" s="44" customFormat="1" ht="24" customHeight="1">
      <c r="A1129" s="932"/>
      <c r="B1129" s="484" t="s">
        <v>246</v>
      </c>
      <c r="C1129" s="484"/>
      <c r="D1129" s="484"/>
      <c r="E1129" s="484"/>
      <c r="F1129" s="484"/>
      <c r="G1129" s="81"/>
      <c r="H1129" s="81"/>
      <c r="I1129" s="81"/>
      <c r="J1129" s="81"/>
      <c r="K1129" s="81"/>
      <c r="L1129" s="81"/>
      <c r="M1129" s="580">
        <v>100000</v>
      </c>
      <c r="N1129" s="484"/>
      <c r="O1129" s="944"/>
      <c r="AJ1129" s="91"/>
      <c r="AK1129" s="91"/>
      <c r="AL1129" s="91"/>
      <c r="AM1129" s="91"/>
      <c r="AN1129" s="91"/>
      <c r="AO1129" s="91"/>
      <c r="AP1129" s="91"/>
      <c r="AQ1129" s="91"/>
      <c r="AR1129" s="91"/>
      <c r="AS1129" s="91"/>
      <c r="AT1129" s="91"/>
      <c r="AU1129" s="91"/>
      <c r="AV1129" s="91"/>
      <c r="AW1129" s="91"/>
      <c r="AX1129" s="91"/>
      <c r="AY1129" s="91"/>
      <c r="AZ1129" s="91"/>
      <c r="BA1129" s="91"/>
      <c r="BB1129" s="91"/>
      <c r="BC1129" s="91"/>
      <c r="BD1129" s="91"/>
      <c r="BE1129" s="91"/>
      <c r="BF1129" s="91"/>
      <c r="BG1129" s="91"/>
      <c r="BH1129" s="91"/>
      <c r="BI1129" s="91"/>
    </row>
    <row r="1130" spans="1:61" s="44" customFormat="1" ht="24.6" customHeight="1">
      <c r="A1130" s="926" t="s">
        <v>602</v>
      </c>
      <c r="B1130" s="484" t="s">
        <v>89</v>
      </c>
      <c r="C1130" s="484"/>
      <c r="D1130" s="484"/>
      <c r="E1130" s="484"/>
      <c r="F1130" s="484"/>
      <c r="G1130" s="81"/>
      <c r="H1130" s="81"/>
      <c r="I1130" s="81"/>
      <c r="J1130" s="81"/>
      <c r="K1130" s="81"/>
      <c r="L1130" s="81"/>
      <c r="M1130" s="580"/>
      <c r="N1130" s="484"/>
      <c r="O1130" s="944" t="s">
        <v>856</v>
      </c>
      <c r="AJ1130" s="91"/>
      <c r="AK1130" s="91"/>
      <c r="AL1130" s="91"/>
      <c r="AM1130" s="91"/>
      <c r="AN1130" s="91"/>
      <c r="AO1130" s="91"/>
      <c r="AP1130" s="91"/>
      <c r="AQ1130" s="91"/>
      <c r="AR1130" s="91"/>
      <c r="AS1130" s="91"/>
      <c r="AT1130" s="91"/>
      <c r="AU1130" s="91"/>
      <c r="AV1130" s="91"/>
      <c r="AW1130" s="91"/>
      <c r="AX1130" s="91"/>
      <c r="AY1130" s="91"/>
      <c r="AZ1130" s="91"/>
      <c r="BA1130" s="91"/>
      <c r="BB1130" s="91"/>
      <c r="BC1130" s="91"/>
      <c r="BD1130" s="91"/>
      <c r="BE1130" s="91"/>
      <c r="BF1130" s="91"/>
      <c r="BG1130" s="91"/>
      <c r="BH1130" s="91"/>
      <c r="BI1130" s="91"/>
    </row>
    <row r="1131" spans="1:61" ht="24.6" customHeight="1">
      <c r="A1131" s="928"/>
      <c r="B1131" s="484" t="s">
        <v>246</v>
      </c>
      <c r="C1131" s="484"/>
      <c r="D1131" s="484"/>
      <c r="E1131" s="484"/>
      <c r="F1131" s="484"/>
      <c r="G1131" s="81">
        <f>K1131</f>
        <v>1000</v>
      </c>
      <c r="H1131" s="81"/>
      <c r="I1131" s="81"/>
      <c r="J1131" s="81"/>
      <c r="K1131" s="81">
        <v>1000</v>
      </c>
      <c r="L1131" s="81"/>
      <c r="M1131" s="580"/>
      <c r="N1131" s="484"/>
      <c r="O1131" s="944"/>
    </row>
    <row r="1132" spans="1:61" ht="24.6" customHeight="1">
      <c r="A1132" s="926" t="s">
        <v>853</v>
      </c>
      <c r="B1132" s="484" t="s">
        <v>89</v>
      </c>
      <c r="C1132" s="484"/>
      <c r="D1132" s="484"/>
      <c r="E1132" s="484"/>
      <c r="F1132" s="484"/>
      <c r="G1132" s="81">
        <f>K1132</f>
        <v>1.3</v>
      </c>
      <c r="H1132" s="81"/>
      <c r="I1132" s="81"/>
      <c r="J1132" s="81"/>
      <c r="K1132" s="81">
        <v>1.3</v>
      </c>
      <c r="L1132" s="81"/>
      <c r="M1132" s="580">
        <v>1.1000000000000001</v>
      </c>
      <c r="N1132" s="484"/>
      <c r="O1132" s="933" t="s">
        <v>1023</v>
      </c>
    </row>
    <row r="1133" spans="1:61" ht="24.6" customHeight="1">
      <c r="A1133" s="928"/>
      <c r="B1133" s="484" t="s">
        <v>246</v>
      </c>
      <c r="C1133" s="484"/>
      <c r="D1133" s="484"/>
      <c r="E1133" s="484"/>
      <c r="F1133" s="484"/>
      <c r="G1133" s="81">
        <f>K1133</f>
        <v>16111.9</v>
      </c>
      <c r="H1133" s="81"/>
      <c r="I1133" s="81"/>
      <c r="J1133" s="81"/>
      <c r="K1133" s="81">
        <f>16111.9</f>
        <v>16111.9</v>
      </c>
      <c r="L1133" s="81"/>
      <c r="M1133" s="580">
        <v>13953.4</v>
      </c>
      <c r="N1133" s="484"/>
      <c r="O1133" s="934"/>
    </row>
    <row r="1134" spans="1:61" ht="24.6" customHeight="1">
      <c r="A1134" s="945" t="s">
        <v>132</v>
      </c>
      <c r="B1134" s="57" t="s">
        <v>89</v>
      </c>
      <c r="C1134" s="57"/>
      <c r="D1134" s="57"/>
      <c r="E1134" s="57"/>
      <c r="F1134" s="57"/>
      <c r="G1134" s="80">
        <f>G1140+G1142+G1146</f>
        <v>1</v>
      </c>
      <c r="H1134" s="80">
        <f t="shared" ref="H1134:M1134" si="358">H1140+H1142+H1146</f>
        <v>0</v>
      </c>
      <c r="I1134" s="80">
        <f t="shared" si="358"/>
        <v>0</v>
      </c>
      <c r="J1134" s="80">
        <f t="shared" si="358"/>
        <v>0</v>
      </c>
      <c r="K1134" s="80">
        <f t="shared" si="358"/>
        <v>1</v>
      </c>
      <c r="L1134" s="80">
        <f t="shared" si="358"/>
        <v>0</v>
      </c>
      <c r="M1134" s="439">
        <f t="shared" si="358"/>
        <v>1</v>
      </c>
      <c r="N1134" s="484"/>
      <c r="O1134" s="57"/>
    </row>
    <row r="1135" spans="1:61" ht="24.6" customHeight="1">
      <c r="A1135" s="945"/>
      <c r="B1135" s="57" t="s">
        <v>25</v>
      </c>
      <c r="C1135" s="57"/>
      <c r="D1135" s="57"/>
      <c r="E1135" s="57"/>
      <c r="F1135" s="57"/>
      <c r="G1135" s="80">
        <f>G1136+G1137</f>
        <v>12155.4</v>
      </c>
      <c r="H1135" s="80">
        <f t="shared" ref="H1135:M1135" si="359">H1136+H1137</f>
        <v>0</v>
      </c>
      <c r="I1135" s="80">
        <f t="shared" si="359"/>
        <v>0</v>
      </c>
      <c r="J1135" s="80">
        <f t="shared" si="359"/>
        <v>0</v>
      </c>
      <c r="K1135" s="80">
        <f t="shared" si="359"/>
        <v>12155.4</v>
      </c>
      <c r="L1135" s="80">
        <f t="shared" si="359"/>
        <v>3679.5</v>
      </c>
      <c r="M1135" s="439">
        <f t="shared" si="359"/>
        <v>51620.1</v>
      </c>
      <c r="N1135" s="484"/>
      <c r="O1135" s="57"/>
    </row>
    <row r="1136" spans="1:61" ht="24.6" customHeight="1">
      <c r="A1136" s="945"/>
      <c r="B1136" s="57" t="s">
        <v>10</v>
      </c>
      <c r="C1136" s="57"/>
      <c r="D1136" s="57"/>
      <c r="E1136" s="57"/>
      <c r="F1136" s="57"/>
      <c r="G1136" s="80">
        <f>G1141+G1144+G1147</f>
        <v>12155.4</v>
      </c>
      <c r="H1136" s="80">
        <f t="shared" ref="H1136:M1136" si="360">H1141+H1144+H1147</f>
        <v>0</v>
      </c>
      <c r="I1136" s="80">
        <f t="shared" si="360"/>
        <v>0</v>
      </c>
      <c r="J1136" s="80">
        <f t="shared" si="360"/>
        <v>0</v>
      </c>
      <c r="K1136" s="80">
        <f t="shared" si="360"/>
        <v>12155.4</v>
      </c>
      <c r="L1136" s="80">
        <f>L1141+L1144+L1147+L1139</f>
        <v>3679.5</v>
      </c>
      <c r="M1136" s="80">
        <f t="shared" si="360"/>
        <v>51620.1</v>
      </c>
      <c r="N1136" s="484"/>
      <c r="O1136" s="57"/>
    </row>
    <row r="1137" spans="1:61" s="44" customFormat="1" ht="24.6" customHeight="1">
      <c r="A1137" s="945"/>
      <c r="B1137" s="57" t="s">
        <v>495</v>
      </c>
      <c r="C1137" s="57"/>
      <c r="D1137" s="57"/>
      <c r="E1137" s="57"/>
      <c r="F1137" s="57"/>
      <c r="G1137" s="80">
        <f>G1145</f>
        <v>0</v>
      </c>
      <c r="H1137" s="80">
        <f t="shared" ref="H1137:M1137" si="361">H1145</f>
        <v>0</v>
      </c>
      <c r="I1137" s="80">
        <f t="shared" si="361"/>
        <v>0</v>
      </c>
      <c r="J1137" s="80">
        <f t="shared" si="361"/>
        <v>0</v>
      </c>
      <c r="K1137" s="80">
        <f t="shared" si="361"/>
        <v>0</v>
      </c>
      <c r="L1137" s="80">
        <f t="shared" si="361"/>
        <v>0</v>
      </c>
      <c r="M1137" s="439">
        <f t="shared" si="361"/>
        <v>0</v>
      </c>
      <c r="N1137" s="484"/>
      <c r="O1137" s="57"/>
      <c r="AJ1137" s="91"/>
      <c r="AK1137" s="91"/>
      <c r="AL1137" s="91"/>
      <c r="AM1137" s="91"/>
      <c r="AN1137" s="91"/>
      <c r="AO1137" s="91"/>
      <c r="AP1137" s="91"/>
      <c r="AQ1137" s="91"/>
      <c r="AR1137" s="91"/>
      <c r="AS1137" s="91"/>
      <c r="AT1137" s="91"/>
      <c r="AU1137" s="91"/>
      <c r="AV1137" s="91"/>
      <c r="AW1137" s="91"/>
      <c r="AX1137" s="91"/>
      <c r="AY1137" s="91"/>
      <c r="AZ1137" s="91"/>
      <c r="BA1137" s="91"/>
      <c r="BB1137" s="91"/>
      <c r="BC1137" s="91"/>
      <c r="BD1137" s="91"/>
      <c r="BE1137" s="91"/>
      <c r="BF1137" s="91"/>
      <c r="BG1137" s="91"/>
      <c r="BH1137" s="91"/>
      <c r="BI1137" s="91"/>
    </row>
    <row r="1138" spans="1:61" s="44" customFormat="1" ht="24.6" customHeight="1">
      <c r="A1138" s="932" t="s">
        <v>530</v>
      </c>
      <c r="B1138" s="661" t="s">
        <v>89</v>
      </c>
      <c r="C1138" s="661">
        <v>176</v>
      </c>
      <c r="D1138" s="661" t="s">
        <v>15</v>
      </c>
      <c r="E1138" s="661">
        <v>6100404</v>
      </c>
      <c r="F1138" s="661">
        <v>244</v>
      </c>
      <c r="G1138" s="80">
        <f t="shared" ref="G1138:G1139" si="362">K1138</f>
        <v>0</v>
      </c>
      <c r="H1138" s="81"/>
      <c r="I1138" s="81"/>
      <c r="J1138" s="81"/>
      <c r="K1138" s="81"/>
      <c r="L1138" s="81"/>
      <c r="M1138" s="580"/>
      <c r="N1138" s="661"/>
      <c r="O1138" s="944" t="s">
        <v>856</v>
      </c>
      <c r="AJ1138" s="91"/>
      <c r="AK1138" s="91"/>
      <c r="AL1138" s="91"/>
      <c r="AM1138" s="91"/>
      <c r="AN1138" s="91"/>
      <c r="AO1138" s="91"/>
      <c r="AP1138" s="91"/>
      <c r="AQ1138" s="91"/>
      <c r="AR1138" s="91"/>
      <c r="AS1138" s="91"/>
      <c r="AT1138" s="91"/>
      <c r="AU1138" s="91"/>
      <c r="AV1138" s="91"/>
      <c r="AW1138" s="91"/>
      <c r="AX1138" s="91"/>
      <c r="AY1138" s="91"/>
      <c r="AZ1138" s="91"/>
      <c r="BA1138" s="91"/>
      <c r="BB1138" s="91"/>
      <c r="BC1138" s="91"/>
      <c r="BD1138" s="91"/>
      <c r="BE1138" s="91"/>
      <c r="BF1138" s="91"/>
      <c r="BG1138" s="91"/>
      <c r="BH1138" s="91"/>
      <c r="BI1138" s="91"/>
    </row>
    <row r="1139" spans="1:61" ht="24.6" customHeight="1">
      <c r="A1139" s="932"/>
      <c r="B1139" s="661" t="s">
        <v>246</v>
      </c>
      <c r="C1139" s="661"/>
      <c r="D1139" s="661"/>
      <c r="E1139" s="661"/>
      <c r="F1139" s="661"/>
      <c r="G1139" s="80">
        <f t="shared" si="362"/>
        <v>0</v>
      </c>
      <c r="H1139" s="81"/>
      <c r="I1139" s="81"/>
      <c r="J1139" s="81"/>
      <c r="K1139" s="81"/>
      <c r="L1139" s="81">
        <f>2500-320.5</f>
        <v>2179.5</v>
      </c>
      <c r="M1139" s="580"/>
      <c r="N1139" s="661"/>
      <c r="O1139" s="944"/>
    </row>
    <row r="1140" spans="1:61" s="44" customFormat="1" ht="24.6" customHeight="1">
      <c r="A1140" s="932" t="s">
        <v>946</v>
      </c>
      <c r="B1140" s="484" t="s">
        <v>89</v>
      </c>
      <c r="C1140" s="484">
        <v>176</v>
      </c>
      <c r="D1140" s="484" t="s">
        <v>15</v>
      </c>
      <c r="E1140" s="484">
        <v>6100404</v>
      </c>
      <c r="F1140" s="484">
        <v>244</v>
      </c>
      <c r="G1140" s="80">
        <f t="shared" ref="G1140:G1147" si="363">K1140</f>
        <v>0</v>
      </c>
      <c r="H1140" s="81"/>
      <c r="I1140" s="81"/>
      <c r="J1140" s="81"/>
      <c r="K1140" s="81"/>
      <c r="L1140" s="81"/>
      <c r="M1140" s="580"/>
      <c r="N1140" s="484"/>
      <c r="O1140" s="944" t="s">
        <v>856</v>
      </c>
      <c r="AJ1140" s="91"/>
      <c r="AK1140" s="91"/>
      <c r="AL1140" s="91"/>
      <c r="AM1140" s="91"/>
      <c r="AN1140" s="91"/>
      <c r="AO1140" s="91"/>
      <c r="AP1140" s="91"/>
      <c r="AQ1140" s="91"/>
      <c r="AR1140" s="91"/>
      <c r="AS1140" s="91"/>
      <c r="AT1140" s="91"/>
      <c r="AU1140" s="91"/>
      <c r="AV1140" s="91"/>
      <c r="AW1140" s="91"/>
      <c r="AX1140" s="91"/>
      <c r="AY1140" s="91"/>
      <c r="AZ1140" s="91"/>
      <c r="BA1140" s="91"/>
      <c r="BB1140" s="91"/>
      <c r="BC1140" s="91"/>
      <c r="BD1140" s="91"/>
      <c r="BE1140" s="91"/>
      <c r="BF1140" s="91"/>
      <c r="BG1140" s="91"/>
      <c r="BH1140" s="91"/>
      <c r="BI1140" s="91"/>
    </row>
    <row r="1141" spans="1:61" ht="24.6" customHeight="1">
      <c r="A1141" s="932"/>
      <c r="B1141" s="484" t="s">
        <v>246</v>
      </c>
      <c r="C1141" s="484"/>
      <c r="D1141" s="484"/>
      <c r="E1141" s="484"/>
      <c r="F1141" s="484"/>
      <c r="G1141" s="80">
        <f t="shared" si="363"/>
        <v>0</v>
      </c>
      <c r="H1141" s="81"/>
      <c r="I1141" s="81"/>
      <c r="J1141" s="81"/>
      <c r="K1141" s="81"/>
      <c r="L1141" s="81"/>
      <c r="M1141" s="580">
        <v>20000</v>
      </c>
      <c r="N1141" s="484"/>
      <c r="O1141" s="944"/>
    </row>
    <row r="1142" spans="1:61" ht="24.6" customHeight="1">
      <c r="A1142" s="926" t="s">
        <v>604</v>
      </c>
      <c r="B1142" s="484" t="s">
        <v>89</v>
      </c>
      <c r="C1142" s="484"/>
      <c r="D1142" s="484"/>
      <c r="E1142" s="484"/>
      <c r="F1142" s="484"/>
      <c r="G1142" s="81">
        <f t="shared" si="363"/>
        <v>0</v>
      </c>
      <c r="H1142" s="81"/>
      <c r="I1142" s="81"/>
      <c r="J1142" s="81"/>
      <c r="K1142" s="81"/>
      <c r="L1142" s="81"/>
      <c r="M1142" s="580"/>
      <c r="N1142" s="484"/>
      <c r="O1142" s="933" t="s">
        <v>856</v>
      </c>
    </row>
    <row r="1143" spans="1:61" ht="24.6" customHeight="1">
      <c r="A1143" s="927"/>
      <c r="B1143" s="484" t="s">
        <v>25</v>
      </c>
      <c r="C1143" s="484"/>
      <c r="D1143" s="484"/>
      <c r="E1143" s="484"/>
      <c r="F1143" s="484"/>
      <c r="G1143" s="81">
        <f t="shared" si="363"/>
        <v>0</v>
      </c>
      <c r="H1143" s="81"/>
      <c r="I1143" s="81"/>
      <c r="J1143" s="81"/>
      <c r="K1143" s="81">
        <f>K1144+K1145</f>
        <v>0</v>
      </c>
      <c r="L1143" s="81">
        <f t="shared" ref="L1143:M1143" si="364">L1144+L1145</f>
        <v>1500</v>
      </c>
      <c r="M1143" s="580">
        <f t="shared" si="364"/>
        <v>0</v>
      </c>
      <c r="N1143" s="484"/>
      <c r="O1143" s="946"/>
    </row>
    <row r="1144" spans="1:61" ht="24.6" customHeight="1">
      <c r="A1144" s="927"/>
      <c r="B1144" s="484" t="s">
        <v>10</v>
      </c>
      <c r="C1144" s="484"/>
      <c r="D1144" s="484"/>
      <c r="E1144" s="484"/>
      <c r="F1144" s="484"/>
      <c r="G1144" s="81">
        <f t="shared" si="363"/>
        <v>0</v>
      </c>
      <c r="H1144" s="81"/>
      <c r="I1144" s="81"/>
      <c r="J1144" s="81"/>
      <c r="K1144" s="81"/>
      <c r="L1144" s="81">
        <v>1500</v>
      </c>
      <c r="M1144" s="580"/>
      <c r="N1144" s="484"/>
      <c r="O1144" s="946"/>
    </row>
    <row r="1145" spans="1:61" ht="24.6" customHeight="1">
      <c r="A1145" s="928"/>
      <c r="B1145" s="484" t="s">
        <v>495</v>
      </c>
      <c r="C1145" s="484"/>
      <c r="D1145" s="484"/>
      <c r="E1145" s="484"/>
      <c r="F1145" s="484"/>
      <c r="G1145" s="81">
        <f t="shared" si="363"/>
        <v>0</v>
      </c>
      <c r="H1145" s="81"/>
      <c r="I1145" s="81"/>
      <c r="J1145" s="81"/>
      <c r="K1145" s="81"/>
      <c r="L1145" s="81"/>
      <c r="M1145" s="580"/>
      <c r="N1145" s="484"/>
      <c r="O1145" s="934"/>
    </row>
    <row r="1146" spans="1:61" ht="24.6" customHeight="1">
      <c r="A1146" s="926" t="s">
        <v>853</v>
      </c>
      <c r="B1146" s="484" t="s">
        <v>89</v>
      </c>
      <c r="C1146" s="484"/>
      <c r="D1146" s="484"/>
      <c r="E1146" s="484"/>
      <c r="F1146" s="484"/>
      <c r="G1146" s="81">
        <f t="shared" si="363"/>
        <v>1</v>
      </c>
      <c r="H1146" s="81"/>
      <c r="I1146" s="81"/>
      <c r="J1146" s="81"/>
      <c r="K1146" s="81">
        <v>1</v>
      </c>
      <c r="L1146" s="81"/>
      <c r="M1146" s="580">
        <v>1</v>
      </c>
      <c r="N1146" s="484"/>
      <c r="O1146" s="933" t="s">
        <v>1026</v>
      </c>
    </row>
    <row r="1147" spans="1:61" ht="24.6" customHeight="1">
      <c r="A1147" s="928"/>
      <c r="B1147" s="484" t="s">
        <v>246</v>
      </c>
      <c r="C1147" s="484"/>
      <c r="D1147" s="484"/>
      <c r="E1147" s="484"/>
      <c r="F1147" s="484"/>
      <c r="G1147" s="81">
        <f t="shared" si="363"/>
        <v>12155.4</v>
      </c>
      <c r="H1147" s="81"/>
      <c r="I1147" s="81"/>
      <c r="J1147" s="81"/>
      <c r="K1147" s="81">
        <v>12155.4</v>
      </c>
      <c r="L1147" s="81"/>
      <c r="M1147" s="580">
        <f>11620.1+20000</f>
        <v>31620.1</v>
      </c>
      <c r="N1147" s="484"/>
      <c r="O1147" s="934"/>
    </row>
    <row r="1148" spans="1:61" ht="24.6" customHeight="1">
      <c r="A1148" s="945" t="s">
        <v>159</v>
      </c>
      <c r="B1148" s="57" t="s">
        <v>89</v>
      </c>
      <c r="C1148" s="57"/>
      <c r="D1148" s="57"/>
      <c r="E1148" s="57"/>
      <c r="F1148" s="57"/>
      <c r="G1148" s="80">
        <f>G1154+G1156+G1160+G1166</f>
        <v>1.4</v>
      </c>
      <c r="H1148" s="80">
        <f t="shared" ref="H1148:M1148" si="365">H1154+H1156+H1160+H1166</f>
        <v>0</v>
      </c>
      <c r="I1148" s="80">
        <f t="shared" si="365"/>
        <v>0</v>
      </c>
      <c r="J1148" s="80">
        <f t="shared" si="365"/>
        <v>0</v>
      </c>
      <c r="K1148" s="80">
        <f t="shared" si="365"/>
        <v>1.4</v>
      </c>
      <c r="L1148" s="80">
        <f t="shared" si="365"/>
        <v>0</v>
      </c>
      <c r="M1148" s="80">
        <f t="shared" si="365"/>
        <v>1.1000000000000001</v>
      </c>
      <c r="N1148" s="484"/>
      <c r="O1148" s="57"/>
    </row>
    <row r="1149" spans="1:61" ht="24.6" customHeight="1">
      <c r="A1149" s="945"/>
      <c r="B1149" s="57" t="s">
        <v>25</v>
      </c>
      <c r="C1149" s="57"/>
      <c r="D1149" s="57"/>
      <c r="E1149" s="57"/>
      <c r="F1149" s="57"/>
      <c r="G1149" s="80">
        <f>G1150+G1151</f>
        <v>22082.7</v>
      </c>
      <c r="H1149" s="80">
        <f t="shared" ref="H1149:M1149" si="366">H1150+H1151</f>
        <v>0</v>
      </c>
      <c r="I1149" s="80">
        <f t="shared" si="366"/>
        <v>0</v>
      </c>
      <c r="J1149" s="80">
        <f t="shared" si="366"/>
        <v>0</v>
      </c>
      <c r="K1149" s="80">
        <f t="shared" si="366"/>
        <v>22082.7</v>
      </c>
      <c r="L1149" s="80">
        <f t="shared" si="366"/>
        <v>0</v>
      </c>
      <c r="M1149" s="439">
        <f t="shared" si="366"/>
        <v>27053.9</v>
      </c>
      <c r="N1149" s="484"/>
      <c r="O1149" s="57"/>
    </row>
    <row r="1150" spans="1:61" ht="24.6" customHeight="1">
      <c r="A1150" s="945"/>
      <c r="B1150" s="57" t="s">
        <v>10</v>
      </c>
      <c r="C1150" s="57"/>
      <c r="D1150" s="57"/>
      <c r="E1150" s="57"/>
      <c r="F1150" s="57"/>
      <c r="G1150" s="80">
        <f>G1155+G1158+G1162+G1167</f>
        <v>22082.7</v>
      </c>
      <c r="H1150" s="80">
        <f t="shared" ref="H1150:L1150" si="367">H1155+H1158+H1162+H1167</f>
        <v>0</v>
      </c>
      <c r="I1150" s="80">
        <f t="shared" si="367"/>
        <v>0</v>
      </c>
      <c r="J1150" s="80">
        <f t="shared" si="367"/>
        <v>0</v>
      </c>
      <c r="K1150" s="80">
        <f t="shared" si="367"/>
        <v>22082.7</v>
      </c>
      <c r="L1150" s="80">
        <f t="shared" si="367"/>
        <v>0</v>
      </c>
      <c r="M1150" s="80">
        <f>M1155+M1158+M1162+M1167+M1153</f>
        <v>27053.9</v>
      </c>
      <c r="N1150" s="484"/>
      <c r="O1150" s="57"/>
    </row>
    <row r="1151" spans="1:61" s="44" customFormat="1" ht="24.95" customHeight="1">
      <c r="A1151" s="945"/>
      <c r="B1151" s="57" t="s">
        <v>495</v>
      </c>
      <c r="C1151" s="57"/>
      <c r="D1151" s="57"/>
      <c r="E1151" s="57"/>
      <c r="F1151" s="57"/>
      <c r="G1151" s="80">
        <f>G1159+G1163</f>
        <v>0</v>
      </c>
      <c r="H1151" s="80">
        <f t="shared" ref="H1151:M1151" si="368">H1159+H1163</f>
        <v>0</v>
      </c>
      <c r="I1151" s="80">
        <f t="shared" si="368"/>
        <v>0</v>
      </c>
      <c r="J1151" s="80">
        <f t="shared" si="368"/>
        <v>0</v>
      </c>
      <c r="K1151" s="80">
        <f t="shared" si="368"/>
        <v>0</v>
      </c>
      <c r="L1151" s="80">
        <f t="shared" si="368"/>
        <v>0</v>
      </c>
      <c r="M1151" s="439">
        <f t="shared" si="368"/>
        <v>0</v>
      </c>
      <c r="N1151" s="484"/>
      <c r="O1151" s="57"/>
      <c r="AJ1151" s="91"/>
      <c r="AK1151" s="91"/>
      <c r="AL1151" s="91"/>
      <c r="AM1151" s="91"/>
      <c r="AN1151" s="91"/>
      <c r="AO1151" s="91"/>
      <c r="AP1151" s="91"/>
      <c r="AQ1151" s="91"/>
      <c r="AR1151" s="91"/>
      <c r="AS1151" s="91"/>
      <c r="AT1151" s="91"/>
      <c r="AU1151" s="91"/>
      <c r="AV1151" s="91"/>
      <c r="AW1151" s="91"/>
      <c r="AX1151" s="91"/>
      <c r="AY1151" s="91"/>
      <c r="AZ1151" s="91"/>
      <c r="BA1151" s="91"/>
      <c r="BB1151" s="91"/>
      <c r="BC1151" s="91"/>
      <c r="BD1151" s="91"/>
      <c r="BE1151" s="91"/>
      <c r="BF1151" s="91"/>
      <c r="BG1151" s="91"/>
      <c r="BH1151" s="91"/>
      <c r="BI1151" s="91"/>
    </row>
    <row r="1152" spans="1:61" s="44" customFormat="1" ht="24.95" customHeight="1">
      <c r="A1152" s="932" t="s">
        <v>999</v>
      </c>
      <c r="B1152" s="661" t="s">
        <v>89</v>
      </c>
      <c r="C1152" s="661">
        <v>176</v>
      </c>
      <c r="D1152" s="661" t="s">
        <v>15</v>
      </c>
      <c r="E1152" s="661">
        <v>6100404</v>
      </c>
      <c r="F1152" s="661">
        <v>244</v>
      </c>
      <c r="G1152" s="81"/>
      <c r="H1152" s="81"/>
      <c r="I1152" s="81"/>
      <c r="J1152" s="81"/>
      <c r="K1152" s="81"/>
      <c r="L1152" s="81"/>
      <c r="M1152" s="580"/>
      <c r="N1152" s="661"/>
      <c r="O1152" s="944" t="s">
        <v>856</v>
      </c>
      <c r="AJ1152" s="91"/>
      <c r="AK1152" s="91"/>
      <c r="AL1152" s="91"/>
      <c r="AM1152" s="91"/>
      <c r="AN1152" s="91"/>
      <c r="AO1152" s="91"/>
      <c r="AP1152" s="91"/>
      <c r="AQ1152" s="91"/>
      <c r="AR1152" s="91"/>
      <c r="AS1152" s="91"/>
      <c r="AT1152" s="91"/>
      <c r="AU1152" s="91"/>
      <c r="AV1152" s="91"/>
      <c r="AW1152" s="91"/>
      <c r="AX1152" s="91"/>
      <c r="AY1152" s="91"/>
      <c r="AZ1152" s="91"/>
      <c r="BA1152" s="91"/>
      <c r="BB1152" s="91"/>
      <c r="BC1152" s="91"/>
      <c r="BD1152" s="91"/>
      <c r="BE1152" s="91"/>
      <c r="BF1152" s="91"/>
      <c r="BG1152" s="91"/>
      <c r="BH1152" s="91"/>
      <c r="BI1152" s="91"/>
    </row>
    <row r="1153" spans="1:61" ht="24.95" customHeight="1">
      <c r="A1153" s="932"/>
      <c r="B1153" s="661" t="s">
        <v>246</v>
      </c>
      <c r="C1153" s="661"/>
      <c r="D1153" s="661"/>
      <c r="E1153" s="661"/>
      <c r="F1153" s="661"/>
      <c r="G1153" s="81">
        <f>K1153</f>
        <v>0</v>
      </c>
      <c r="H1153" s="81"/>
      <c r="I1153" s="81"/>
      <c r="J1153" s="81"/>
      <c r="K1153" s="81"/>
      <c r="L1153" s="81"/>
      <c r="M1153" s="580">
        <v>13000</v>
      </c>
      <c r="N1153" s="661"/>
      <c r="O1153" s="944"/>
    </row>
    <row r="1154" spans="1:61" s="44" customFormat="1" ht="24.95" customHeight="1">
      <c r="A1154" s="932" t="s">
        <v>1105</v>
      </c>
      <c r="B1154" s="484" t="s">
        <v>89</v>
      </c>
      <c r="C1154" s="484">
        <v>176</v>
      </c>
      <c r="D1154" s="484" t="s">
        <v>15</v>
      </c>
      <c r="E1154" s="484">
        <v>6100404</v>
      </c>
      <c r="F1154" s="484">
        <v>244</v>
      </c>
      <c r="G1154" s="81"/>
      <c r="H1154" s="81"/>
      <c r="I1154" s="81"/>
      <c r="J1154" s="81"/>
      <c r="K1154" s="81"/>
      <c r="L1154" s="81"/>
      <c r="M1154" s="580"/>
      <c r="N1154" s="484"/>
      <c r="O1154" s="944" t="s">
        <v>856</v>
      </c>
      <c r="AJ1154" s="91"/>
      <c r="AK1154" s="91"/>
      <c r="AL1154" s="91"/>
      <c r="AM1154" s="91"/>
      <c r="AN1154" s="91"/>
      <c r="AO1154" s="91"/>
      <c r="AP1154" s="91"/>
      <c r="AQ1154" s="91"/>
      <c r="AR1154" s="91"/>
      <c r="AS1154" s="91"/>
      <c r="AT1154" s="91"/>
      <c r="AU1154" s="91"/>
      <c r="AV1154" s="91"/>
      <c r="AW1154" s="91"/>
      <c r="AX1154" s="91"/>
      <c r="AY1154" s="91"/>
      <c r="AZ1154" s="91"/>
      <c r="BA1154" s="91"/>
      <c r="BB1154" s="91"/>
      <c r="BC1154" s="91"/>
      <c r="BD1154" s="91"/>
      <c r="BE1154" s="91"/>
      <c r="BF1154" s="91"/>
      <c r="BG1154" s="91"/>
      <c r="BH1154" s="91"/>
      <c r="BI1154" s="91"/>
    </row>
    <row r="1155" spans="1:61" ht="24.95" customHeight="1">
      <c r="A1155" s="932"/>
      <c r="B1155" s="484" t="s">
        <v>246</v>
      </c>
      <c r="C1155" s="484"/>
      <c r="D1155" s="484"/>
      <c r="E1155" s="484"/>
      <c r="F1155" s="484"/>
      <c r="G1155" s="81">
        <f>K1155</f>
        <v>1000</v>
      </c>
      <c r="H1155" s="81"/>
      <c r="I1155" s="81"/>
      <c r="J1155" s="81"/>
      <c r="K1155" s="81">
        <v>1000</v>
      </c>
      <c r="L1155" s="81"/>
      <c r="M1155" s="580"/>
      <c r="N1155" s="484"/>
      <c r="O1155" s="944"/>
    </row>
    <row r="1156" spans="1:61" ht="24.95" customHeight="1">
      <c r="A1156" s="926" t="s">
        <v>344</v>
      </c>
      <c r="B1156" s="484" t="s">
        <v>89</v>
      </c>
      <c r="C1156" s="484"/>
      <c r="D1156" s="484"/>
      <c r="E1156" s="484"/>
      <c r="F1156" s="484"/>
      <c r="G1156" s="81">
        <f>K1156</f>
        <v>0</v>
      </c>
      <c r="H1156" s="81"/>
      <c r="I1156" s="81"/>
      <c r="J1156" s="81"/>
      <c r="K1156" s="81"/>
      <c r="L1156" s="81"/>
      <c r="M1156" s="580"/>
      <c r="N1156" s="484"/>
      <c r="O1156" s="944" t="s">
        <v>608</v>
      </c>
    </row>
    <row r="1157" spans="1:61" ht="24.95" customHeight="1">
      <c r="A1157" s="927"/>
      <c r="B1157" s="484" t="s">
        <v>25</v>
      </c>
      <c r="C1157" s="484"/>
      <c r="D1157" s="484"/>
      <c r="E1157" s="484"/>
      <c r="F1157" s="484"/>
      <c r="G1157" s="81">
        <f t="shared" ref="G1157:G1159" si="369">K1157</f>
        <v>2327.9</v>
      </c>
      <c r="H1157" s="81"/>
      <c r="I1157" s="81"/>
      <c r="J1157" s="81"/>
      <c r="K1157" s="81">
        <f>K1158+K1159</f>
        <v>2327.9</v>
      </c>
      <c r="L1157" s="81">
        <f t="shared" ref="L1157:M1157" si="370">L1158+L1159</f>
        <v>0</v>
      </c>
      <c r="M1157" s="580">
        <f t="shared" si="370"/>
        <v>0</v>
      </c>
      <c r="N1157" s="484"/>
      <c r="O1157" s="944"/>
    </row>
    <row r="1158" spans="1:61" ht="24.95" customHeight="1">
      <c r="A1158" s="927"/>
      <c r="B1158" s="484" t="s">
        <v>10</v>
      </c>
      <c r="C1158" s="484"/>
      <c r="D1158" s="484"/>
      <c r="E1158" s="484"/>
      <c r="F1158" s="484"/>
      <c r="G1158" s="81">
        <f t="shared" si="369"/>
        <v>2327.9</v>
      </c>
      <c r="H1158" s="81"/>
      <c r="I1158" s="81"/>
      <c r="J1158" s="81"/>
      <c r="K1158" s="81">
        <v>2327.9</v>
      </c>
      <c r="L1158" s="81"/>
      <c r="M1158" s="580"/>
      <c r="N1158" s="484"/>
      <c r="O1158" s="944"/>
    </row>
    <row r="1159" spans="1:61" ht="24.95" customHeight="1">
      <c r="A1159" s="928"/>
      <c r="B1159" s="484" t="s">
        <v>495</v>
      </c>
      <c r="C1159" s="484"/>
      <c r="D1159" s="484"/>
      <c r="E1159" s="484"/>
      <c r="F1159" s="484"/>
      <c r="G1159" s="81">
        <f t="shared" si="369"/>
        <v>0</v>
      </c>
      <c r="H1159" s="81"/>
      <c r="I1159" s="81"/>
      <c r="J1159" s="81"/>
      <c r="K1159" s="81"/>
      <c r="L1159" s="81"/>
      <c r="M1159" s="580"/>
      <c r="N1159" s="484"/>
      <c r="O1159" s="944"/>
    </row>
    <row r="1160" spans="1:61" ht="24.95" customHeight="1">
      <c r="A1160" s="926" t="s">
        <v>805</v>
      </c>
      <c r="B1160" s="484" t="s">
        <v>89</v>
      </c>
      <c r="C1160" s="484"/>
      <c r="D1160" s="484"/>
      <c r="E1160" s="484"/>
      <c r="F1160" s="484"/>
      <c r="G1160" s="81">
        <f>K1160</f>
        <v>0</v>
      </c>
      <c r="H1160" s="81"/>
      <c r="I1160" s="81"/>
      <c r="J1160" s="81"/>
      <c r="K1160" s="81"/>
      <c r="L1160" s="81">
        <v>0</v>
      </c>
      <c r="M1160" s="580"/>
      <c r="N1160" s="484"/>
      <c r="O1160" s="933" t="s">
        <v>856</v>
      </c>
    </row>
    <row r="1161" spans="1:61" ht="24.95" customHeight="1">
      <c r="A1161" s="927"/>
      <c r="B1161" s="484" t="s">
        <v>25</v>
      </c>
      <c r="C1161" s="484"/>
      <c r="D1161" s="484"/>
      <c r="E1161" s="484"/>
      <c r="F1161" s="484"/>
      <c r="G1161" s="81">
        <f t="shared" ref="G1161:G1163" si="371">K1161</f>
        <v>1324.8</v>
      </c>
      <c r="H1161" s="81"/>
      <c r="I1161" s="81"/>
      <c r="J1161" s="81"/>
      <c r="K1161" s="81">
        <f>K1162+K1163</f>
        <v>1324.8</v>
      </c>
      <c r="L1161" s="81">
        <f t="shared" ref="L1161:M1161" si="372">L1162+L1163</f>
        <v>0</v>
      </c>
      <c r="M1161" s="81">
        <f t="shared" si="372"/>
        <v>0</v>
      </c>
      <c r="N1161" s="484"/>
      <c r="O1161" s="946"/>
    </row>
    <row r="1162" spans="1:61" ht="24.95" customHeight="1">
      <c r="A1162" s="927"/>
      <c r="B1162" s="484" t="s">
        <v>10</v>
      </c>
      <c r="C1162" s="484"/>
      <c r="D1162" s="484"/>
      <c r="E1162" s="484"/>
      <c r="F1162" s="484"/>
      <c r="G1162" s="81">
        <f t="shared" si="371"/>
        <v>1324.8</v>
      </c>
      <c r="H1162" s="81"/>
      <c r="I1162" s="81"/>
      <c r="J1162" s="81"/>
      <c r="K1162" s="81">
        <v>1324.8</v>
      </c>
      <c r="L1162" s="81">
        <v>0</v>
      </c>
      <c r="M1162" s="580"/>
      <c r="N1162" s="484"/>
      <c r="O1162" s="946"/>
      <c r="AJ1162" s="43"/>
      <c r="AK1162" s="43"/>
      <c r="AL1162" s="43"/>
      <c r="AM1162" s="43"/>
      <c r="AN1162" s="43"/>
      <c r="AO1162" s="43"/>
      <c r="AP1162" s="43"/>
      <c r="AQ1162" s="43"/>
      <c r="AR1162" s="43"/>
      <c r="AS1162" s="43"/>
      <c r="AT1162" s="43"/>
      <c r="AU1162" s="43"/>
      <c r="AV1162" s="43"/>
      <c r="AW1162" s="43"/>
      <c r="AX1162" s="43"/>
      <c r="AY1162" s="43"/>
      <c r="AZ1162" s="43"/>
      <c r="BA1162" s="43"/>
      <c r="BB1162" s="43"/>
      <c r="BC1162" s="43"/>
      <c r="BD1162" s="43"/>
      <c r="BE1162" s="43"/>
      <c r="BF1162" s="43"/>
      <c r="BG1162" s="43"/>
      <c r="BH1162" s="43"/>
      <c r="BI1162" s="43"/>
    </row>
    <row r="1163" spans="1:61" ht="24.95" customHeight="1">
      <c r="A1163" s="928"/>
      <c r="B1163" s="484" t="s">
        <v>495</v>
      </c>
      <c r="C1163" s="484"/>
      <c r="D1163" s="484"/>
      <c r="E1163" s="484"/>
      <c r="F1163" s="484"/>
      <c r="G1163" s="81">
        <f t="shared" si="371"/>
        <v>0</v>
      </c>
      <c r="H1163" s="81"/>
      <c r="I1163" s="81"/>
      <c r="J1163" s="81"/>
      <c r="K1163" s="81"/>
      <c r="L1163" s="81"/>
      <c r="M1163" s="580"/>
      <c r="N1163" s="484"/>
      <c r="O1163" s="934"/>
      <c r="AJ1163" s="43"/>
      <c r="AK1163" s="43"/>
      <c r="AL1163" s="43"/>
      <c r="AM1163" s="43"/>
      <c r="AN1163" s="43"/>
      <c r="AO1163" s="43"/>
      <c r="AP1163" s="43"/>
      <c r="AQ1163" s="43"/>
      <c r="AR1163" s="43"/>
      <c r="AS1163" s="43"/>
      <c r="AT1163" s="43"/>
      <c r="AU1163" s="43"/>
      <c r="AV1163" s="43"/>
      <c r="AW1163" s="43"/>
      <c r="AX1163" s="43"/>
      <c r="AY1163" s="43"/>
      <c r="AZ1163" s="43"/>
      <c r="BA1163" s="43"/>
      <c r="BB1163" s="43"/>
      <c r="BC1163" s="43"/>
      <c r="BD1163" s="43"/>
      <c r="BE1163" s="43"/>
      <c r="BF1163" s="43"/>
      <c r="BG1163" s="43"/>
      <c r="BH1163" s="43"/>
      <c r="BI1163" s="43"/>
    </row>
    <row r="1164" spans="1:61" ht="24.95" hidden="1" customHeight="1">
      <c r="A1164" s="926" t="s">
        <v>606</v>
      </c>
      <c r="B1164" s="484" t="s">
        <v>89</v>
      </c>
      <c r="C1164" s="484"/>
      <c r="D1164" s="484"/>
      <c r="E1164" s="484"/>
      <c r="F1164" s="484"/>
      <c r="G1164" s="81"/>
      <c r="H1164" s="81"/>
      <c r="I1164" s="81"/>
      <c r="J1164" s="81"/>
      <c r="K1164" s="81"/>
      <c r="L1164" s="81"/>
      <c r="M1164" s="580"/>
      <c r="N1164" s="484"/>
      <c r="O1164" s="933" t="s">
        <v>600</v>
      </c>
      <c r="AJ1164" s="43"/>
      <c r="AK1164" s="43"/>
      <c r="AL1164" s="43"/>
      <c r="AM1164" s="43"/>
      <c r="AN1164" s="43"/>
      <c r="AO1164" s="43"/>
      <c r="AP1164" s="43"/>
      <c r="AQ1164" s="43"/>
      <c r="AR1164" s="43"/>
      <c r="AS1164" s="43"/>
      <c r="AT1164" s="43"/>
      <c r="AU1164" s="43"/>
      <c r="AV1164" s="43"/>
      <c r="AW1164" s="43"/>
      <c r="AX1164" s="43"/>
      <c r="AY1164" s="43"/>
      <c r="AZ1164" s="43"/>
      <c r="BA1164" s="43"/>
      <c r="BB1164" s="43"/>
      <c r="BC1164" s="43"/>
      <c r="BD1164" s="43"/>
      <c r="BE1164" s="43"/>
      <c r="BF1164" s="43"/>
      <c r="BG1164" s="43"/>
      <c r="BH1164" s="43"/>
      <c r="BI1164" s="43"/>
    </row>
    <row r="1165" spans="1:61" ht="24.95" hidden="1" customHeight="1">
      <c r="A1165" s="928"/>
      <c r="B1165" s="484" t="s">
        <v>246</v>
      </c>
      <c r="C1165" s="484"/>
      <c r="D1165" s="484"/>
      <c r="E1165" s="484"/>
      <c r="F1165" s="484"/>
      <c r="G1165" s="81"/>
      <c r="H1165" s="81"/>
      <c r="I1165" s="81"/>
      <c r="J1165" s="81"/>
      <c r="K1165" s="81"/>
      <c r="L1165" s="81"/>
      <c r="M1165" s="580"/>
      <c r="N1165" s="484"/>
      <c r="O1165" s="934"/>
      <c r="AJ1165" s="43"/>
      <c r="AK1165" s="43"/>
      <c r="AL1165" s="43"/>
      <c r="AM1165" s="43"/>
      <c r="AN1165" s="43"/>
      <c r="AO1165" s="43"/>
      <c r="AP1165" s="43"/>
      <c r="AQ1165" s="43"/>
      <c r="AR1165" s="43"/>
      <c r="AS1165" s="43"/>
      <c r="AT1165" s="43"/>
      <c r="AU1165" s="43"/>
      <c r="AV1165" s="43"/>
      <c r="AW1165" s="43"/>
      <c r="AX1165" s="43"/>
      <c r="AY1165" s="43"/>
      <c r="AZ1165" s="43"/>
      <c r="BA1165" s="43"/>
      <c r="BB1165" s="43"/>
      <c r="BC1165" s="43"/>
      <c r="BD1165" s="43"/>
      <c r="BE1165" s="43"/>
      <c r="BF1165" s="43"/>
      <c r="BG1165" s="43"/>
      <c r="BH1165" s="43"/>
      <c r="BI1165" s="43"/>
    </row>
    <row r="1166" spans="1:61" ht="24.95" customHeight="1">
      <c r="A1166" s="926" t="s">
        <v>853</v>
      </c>
      <c r="B1166" s="484" t="s">
        <v>89</v>
      </c>
      <c r="C1166" s="484"/>
      <c r="D1166" s="484"/>
      <c r="E1166" s="484"/>
      <c r="F1166" s="484"/>
      <c r="G1166" s="81">
        <f>K1166</f>
        <v>1.4</v>
      </c>
      <c r="H1166" s="81"/>
      <c r="I1166" s="81"/>
      <c r="J1166" s="81"/>
      <c r="K1166" s="81">
        <v>1.4</v>
      </c>
      <c r="L1166" s="81">
        <v>0</v>
      </c>
      <c r="M1166" s="580">
        <v>1.1000000000000001</v>
      </c>
      <c r="N1166" s="484"/>
      <c r="O1166" s="933" t="s">
        <v>998</v>
      </c>
      <c r="AJ1166" s="43"/>
      <c r="AK1166" s="43"/>
      <c r="AL1166" s="43"/>
      <c r="AM1166" s="43"/>
      <c r="AN1166" s="43"/>
      <c r="AO1166" s="43"/>
      <c r="AP1166" s="43"/>
      <c r="AQ1166" s="43"/>
      <c r="AR1166" s="43"/>
      <c r="AS1166" s="43"/>
      <c r="AT1166" s="43"/>
      <c r="AU1166" s="43"/>
      <c r="AV1166" s="43"/>
      <c r="AW1166" s="43"/>
      <c r="AX1166" s="43"/>
      <c r="AY1166" s="43"/>
      <c r="AZ1166" s="43"/>
      <c r="BA1166" s="43"/>
      <c r="BB1166" s="43"/>
      <c r="BC1166" s="43"/>
      <c r="BD1166" s="43"/>
      <c r="BE1166" s="43"/>
      <c r="BF1166" s="43"/>
      <c r="BG1166" s="43"/>
      <c r="BH1166" s="43"/>
      <c r="BI1166" s="43"/>
    </row>
    <row r="1167" spans="1:61" ht="24.95" customHeight="1">
      <c r="A1167" s="928"/>
      <c r="B1167" s="484" t="s">
        <v>246</v>
      </c>
      <c r="C1167" s="484"/>
      <c r="D1167" s="484"/>
      <c r="E1167" s="484"/>
      <c r="F1167" s="484"/>
      <c r="G1167" s="81">
        <f>K1167</f>
        <v>17430</v>
      </c>
      <c r="H1167" s="81"/>
      <c r="I1167" s="81"/>
      <c r="J1167" s="81"/>
      <c r="K1167" s="81">
        <v>17430</v>
      </c>
      <c r="L1167" s="81"/>
      <c r="M1167" s="580">
        <v>14053.9</v>
      </c>
      <c r="N1167" s="484"/>
      <c r="O1167" s="934"/>
      <c r="AJ1167" s="43"/>
      <c r="AK1167" s="43"/>
      <c r="AL1167" s="43"/>
      <c r="AM1167" s="43"/>
      <c r="AN1167" s="43"/>
      <c r="AO1167" s="43"/>
      <c r="AP1167" s="43"/>
      <c r="AQ1167" s="43"/>
      <c r="AR1167" s="43"/>
      <c r="AS1167" s="43"/>
      <c r="AT1167" s="43"/>
      <c r="AU1167" s="43"/>
      <c r="AV1167" s="43"/>
      <c r="AW1167" s="43"/>
      <c r="AX1167" s="43"/>
      <c r="AY1167" s="43"/>
      <c r="AZ1167" s="43"/>
      <c r="BA1167" s="43"/>
      <c r="BB1167" s="43"/>
      <c r="BC1167" s="43"/>
      <c r="BD1167" s="43"/>
      <c r="BE1167" s="43"/>
      <c r="BF1167" s="43"/>
      <c r="BG1167" s="43"/>
      <c r="BH1167" s="43"/>
      <c r="BI1167" s="43"/>
    </row>
    <row r="1168" spans="1:61" ht="24.95" customHeight="1">
      <c r="A1168" s="945" t="s">
        <v>103</v>
      </c>
      <c r="B1168" s="57" t="s">
        <v>89</v>
      </c>
      <c r="C1168" s="57"/>
      <c r="D1168" s="57"/>
      <c r="E1168" s="57"/>
      <c r="F1168" s="57"/>
      <c r="G1168" s="80">
        <f>G1172+G1176+G1180+G1188+G1192+G1196+G1200+G1204+G1184</f>
        <v>1</v>
      </c>
      <c r="H1168" s="80">
        <f t="shared" ref="H1168:M1168" si="373">H1172+H1176+H1180+H1188+H1192+H1196+H1200+H1204+H1184</f>
        <v>0</v>
      </c>
      <c r="I1168" s="80">
        <f t="shared" si="373"/>
        <v>0</v>
      </c>
      <c r="J1168" s="80">
        <f t="shared" si="373"/>
        <v>0</v>
      </c>
      <c r="K1168" s="80">
        <f t="shared" si="373"/>
        <v>1</v>
      </c>
      <c r="L1168" s="80">
        <f t="shared" si="373"/>
        <v>0</v>
      </c>
      <c r="M1168" s="80">
        <f t="shared" si="373"/>
        <v>2</v>
      </c>
      <c r="N1168" s="484"/>
      <c r="O1168" s="57"/>
      <c r="AJ1168" s="43"/>
      <c r="AK1168" s="43"/>
      <c r="AL1168" s="43"/>
      <c r="AM1168" s="43"/>
      <c r="AN1168" s="43"/>
      <c r="AO1168" s="43"/>
      <c r="AP1168" s="43"/>
      <c r="AQ1168" s="43"/>
      <c r="AR1168" s="43"/>
      <c r="AS1168" s="43"/>
      <c r="AT1168" s="43"/>
      <c r="AU1168" s="43"/>
      <c r="AV1168" s="43"/>
      <c r="AW1168" s="43"/>
      <c r="AX1168" s="43"/>
      <c r="AY1168" s="43"/>
      <c r="AZ1168" s="43"/>
      <c r="BA1168" s="43"/>
      <c r="BB1168" s="43"/>
      <c r="BC1168" s="43"/>
      <c r="BD1168" s="43"/>
      <c r="BE1168" s="43"/>
      <c r="BF1168" s="43"/>
      <c r="BG1168" s="43"/>
      <c r="BH1168" s="43"/>
      <c r="BI1168" s="43"/>
    </row>
    <row r="1169" spans="1:61" ht="24.95" customHeight="1">
      <c r="A1169" s="945"/>
      <c r="B1169" s="57" t="s">
        <v>25</v>
      </c>
      <c r="C1169" s="57"/>
      <c r="D1169" s="57"/>
      <c r="E1169" s="57"/>
      <c r="F1169" s="57"/>
      <c r="G1169" s="80">
        <f>G1170+G1171</f>
        <v>108708.8</v>
      </c>
      <c r="H1169" s="80">
        <f t="shared" ref="H1169:M1169" si="374">H1170+H1171</f>
        <v>0</v>
      </c>
      <c r="I1169" s="80">
        <f t="shared" si="374"/>
        <v>0</v>
      </c>
      <c r="J1169" s="80">
        <f t="shared" si="374"/>
        <v>0</v>
      </c>
      <c r="K1169" s="80">
        <f t="shared" si="374"/>
        <v>108708.8</v>
      </c>
      <c r="L1169" s="80">
        <f t="shared" si="374"/>
        <v>10000</v>
      </c>
      <c r="M1169" s="439">
        <f t="shared" si="374"/>
        <v>49851.1</v>
      </c>
      <c r="N1169" s="484"/>
      <c r="O1169" s="57"/>
      <c r="AJ1169" s="43"/>
      <c r="AK1169" s="43"/>
      <c r="AL1169" s="43"/>
      <c r="AM1169" s="43"/>
      <c r="AN1169" s="43"/>
      <c r="AO1169" s="43"/>
      <c r="AP1169" s="43"/>
      <c r="AQ1169" s="43"/>
      <c r="AR1169" s="43"/>
      <c r="AS1169" s="43"/>
      <c r="AT1169" s="43"/>
      <c r="AU1169" s="43"/>
      <c r="AV1169" s="43"/>
      <c r="AW1169" s="43"/>
      <c r="AX1169" s="43"/>
      <c r="AY1169" s="43"/>
      <c r="AZ1169" s="43"/>
      <c r="BA1169" s="43"/>
      <c r="BB1169" s="43"/>
      <c r="BC1169" s="43"/>
      <c r="BD1169" s="43"/>
      <c r="BE1169" s="43"/>
      <c r="BF1169" s="43"/>
      <c r="BG1169" s="43"/>
      <c r="BH1169" s="43"/>
      <c r="BI1169" s="43"/>
    </row>
    <row r="1170" spans="1:61" ht="24.95" customHeight="1">
      <c r="A1170" s="945"/>
      <c r="B1170" s="57" t="s">
        <v>10</v>
      </c>
      <c r="C1170" s="57"/>
      <c r="D1170" s="57"/>
      <c r="E1170" s="57"/>
      <c r="F1170" s="57"/>
      <c r="G1170" s="80">
        <f>G1174+G1178+G1182+G1186+G1190+G1194+G1198+G1202+G1206</f>
        <v>108708.8</v>
      </c>
      <c r="H1170" s="80">
        <f t="shared" ref="H1170:M1171" si="375">H1174+H1178+H1182+H1186+H1190+H1194+H1198+H1202+H1206</f>
        <v>0</v>
      </c>
      <c r="I1170" s="80">
        <f t="shared" si="375"/>
        <v>0</v>
      </c>
      <c r="J1170" s="80">
        <f t="shared" si="375"/>
        <v>0</v>
      </c>
      <c r="K1170" s="80">
        <f t="shared" si="375"/>
        <v>108708.8</v>
      </c>
      <c r="L1170" s="80">
        <f t="shared" si="375"/>
        <v>10000</v>
      </c>
      <c r="M1170" s="439">
        <f t="shared" si="375"/>
        <v>49851.1</v>
      </c>
      <c r="N1170" s="484"/>
      <c r="O1170" s="57"/>
      <c r="AJ1170" s="43"/>
      <c r="AK1170" s="43"/>
      <c r="AL1170" s="43"/>
      <c r="AM1170" s="43"/>
      <c r="AN1170" s="43"/>
      <c r="AO1170" s="43"/>
      <c r="AP1170" s="43"/>
      <c r="AQ1170" s="43"/>
      <c r="AR1170" s="43"/>
      <c r="AS1170" s="43"/>
      <c r="AT1170" s="43"/>
      <c r="AU1170" s="43"/>
      <c r="AV1170" s="43"/>
      <c r="AW1170" s="43"/>
      <c r="AX1170" s="43"/>
      <c r="AY1170" s="43"/>
      <c r="AZ1170" s="43"/>
      <c r="BA1170" s="43"/>
      <c r="BB1170" s="43"/>
      <c r="BC1170" s="43"/>
      <c r="BD1170" s="43"/>
      <c r="BE1170" s="43"/>
      <c r="BF1170" s="43"/>
      <c r="BG1170" s="43"/>
      <c r="BH1170" s="43"/>
      <c r="BI1170" s="43"/>
    </row>
    <row r="1171" spans="1:61" ht="24.95" customHeight="1">
      <c r="A1171" s="945"/>
      <c r="B1171" s="57" t="s">
        <v>495</v>
      </c>
      <c r="C1171" s="57"/>
      <c r="D1171" s="57"/>
      <c r="E1171" s="57"/>
      <c r="F1171" s="57"/>
      <c r="G1171" s="80">
        <f>G1175+G1179+G1183+G1187+G1191+G1195+G1199+G1203+G1207</f>
        <v>0</v>
      </c>
      <c r="H1171" s="80">
        <f t="shared" si="375"/>
        <v>0</v>
      </c>
      <c r="I1171" s="80">
        <f t="shared" si="375"/>
        <v>0</v>
      </c>
      <c r="J1171" s="80">
        <f t="shared" si="375"/>
        <v>0</v>
      </c>
      <c r="K1171" s="80">
        <f t="shared" si="375"/>
        <v>0</v>
      </c>
      <c r="L1171" s="80">
        <f t="shared" si="375"/>
        <v>0</v>
      </c>
      <c r="M1171" s="439">
        <f t="shared" si="375"/>
        <v>0</v>
      </c>
      <c r="N1171" s="484"/>
      <c r="O1171" s="57"/>
      <c r="AJ1171" s="43"/>
      <c r="AK1171" s="43"/>
      <c r="AL1171" s="43"/>
      <c r="AM1171" s="43"/>
      <c r="AN1171" s="43"/>
      <c r="AO1171" s="43"/>
      <c r="AP1171" s="43"/>
      <c r="AQ1171" s="43"/>
      <c r="AR1171" s="43"/>
      <c r="AS1171" s="43"/>
      <c r="AT1171" s="43"/>
      <c r="AU1171" s="43"/>
      <c r="AV1171" s="43"/>
      <c r="AW1171" s="43"/>
      <c r="AX1171" s="43"/>
      <c r="AY1171" s="43"/>
      <c r="AZ1171" s="43"/>
      <c r="BA1171" s="43"/>
      <c r="BB1171" s="43"/>
      <c r="BC1171" s="43"/>
      <c r="BD1171" s="43"/>
      <c r="BE1171" s="43"/>
      <c r="BF1171" s="43"/>
      <c r="BG1171" s="43"/>
      <c r="BH1171" s="43"/>
      <c r="BI1171" s="43"/>
    </row>
    <row r="1172" spans="1:61" ht="24.95" customHeight="1">
      <c r="A1172" s="932" t="s">
        <v>94</v>
      </c>
      <c r="B1172" s="484" t="s">
        <v>89</v>
      </c>
      <c r="C1172" s="484">
        <v>176</v>
      </c>
      <c r="D1172" s="484" t="s">
        <v>15</v>
      </c>
      <c r="E1172" s="484">
        <v>6100404</v>
      </c>
      <c r="F1172" s="484">
        <v>244</v>
      </c>
      <c r="G1172" s="81">
        <f>K1172</f>
        <v>0</v>
      </c>
      <c r="H1172" s="81"/>
      <c r="I1172" s="81"/>
      <c r="J1172" s="81"/>
      <c r="K1172" s="81">
        <v>0</v>
      </c>
      <c r="L1172" s="81"/>
      <c r="M1172" s="580"/>
      <c r="N1172" s="484"/>
      <c r="O1172" s="944" t="s">
        <v>856</v>
      </c>
      <c r="AJ1172" s="43"/>
      <c r="AK1172" s="43"/>
      <c r="AL1172" s="43"/>
      <c r="AM1172" s="43"/>
      <c r="AN1172" s="43"/>
      <c r="AO1172" s="43"/>
      <c r="AP1172" s="43"/>
      <c r="AQ1172" s="43"/>
      <c r="AR1172" s="43"/>
      <c r="AS1172" s="43"/>
      <c r="AT1172" s="43"/>
      <c r="AU1172" s="43"/>
      <c r="AV1172" s="43"/>
      <c r="AW1172" s="43"/>
      <c r="AX1172" s="43"/>
      <c r="AY1172" s="43"/>
      <c r="AZ1172" s="43"/>
      <c r="BA1172" s="43"/>
      <c r="BB1172" s="43"/>
      <c r="BC1172" s="43"/>
      <c r="BD1172" s="43"/>
      <c r="BE1172" s="43"/>
      <c r="BF1172" s="43"/>
      <c r="BG1172" s="43"/>
      <c r="BH1172" s="43"/>
      <c r="BI1172" s="43"/>
    </row>
    <row r="1173" spans="1:61" ht="24.95" customHeight="1">
      <c r="A1173" s="932"/>
      <c r="B1173" s="484" t="s">
        <v>330</v>
      </c>
      <c r="C1173" s="484"/>
      <c r="D1173" s="484"/>
      <c r="E1173" s="484"/>
      <c r="F1173" s="484"/>
      <c r="G1173" s="92">
        <f>G1174+G1175</f>
        <v>585</v>
      </c>
      <c r="H1173" s="92"/>
      <c r="I1173" s="92"/>
      <c r="J1173" s="92">
        <f>J1174</f>
        <v>0</v>
      </c>
      <c r="K1173" s="92">
        <f>K1174</f>
        <v>585</v>
      </c>
      <c r="L1173" s="92">
        <f t="shared" ref="L1173:M1173" si="376">L1174+L1175</f>
        <v>0</v>
      </c>
      <c r="M1173" s="579">
        <f t="shared" si="376"/>
        <v>0</v>
      </c>
      <c r="N1173" s="484"/>
      <c r="O1173" s="944"/>
      <c r="P1173" s="504"/>
      <c r="AJ1173" s="43"/>
      <c r="AK1173" s="43"/>
      <c r="AL1173" s="43"/>
      <c r="AM1173" s="43"/>
      <c r="AN1173" s="43"/>
      <c r="AO1173" s="43"/>
      <c r="AP1173" s="43"/>
      <c r="AQ1173" s="43"/>
      <c r="AR1173" s="43"/>
      <c r="AS1173" s="43"/>
      <c r="AT1173" s="43"/>
      <c r="AU1173" s="43"/>
      <c r="AV1173" s="43"/>
      <c r="AW1173" s="43"/>
      <c r="AX1173" s="43"/>
      <c r="AY1173" s="43"/>
      <c r="AZ1173" s="43"/>
      <c r="BA1173" s="43"/>
      <c r="BB1173" s="43"/>
      <c r="BC1173" s="43"/>
      <c r="BD1173" s="43"/>
      <c r="BE1173" s="43"/>
      <c r="BF1173" s="43"/>
      <c r="BG1173" s="43"/>
      <c r="BH1173" s="43"/>
      <c r="BI1173" s="43"/>
    </row>
    <row r="1174" spans="1:61" ht="24.95" customHeight="1">
      <c r="A1174" s="932"/>
      <c r="B1174" s="484" t="s">
        <v>327</v>
      </c>
      <c r="C1174" s="484"/>
      <c r="D1174" s="484"/>
      <c r="E1174" s="484"/>
      <c r="F1174" s="484"/>
      <c r="G1174" s="92">
        <f>K1174</f>
        <v>585</v>
      </c>
      <c r="H1174" s="92"/>
      <c r="I1174" s="92"/>
      <c r="J1174" s="92"/>
      <c r="K1174" s="92">
        <v>585</v>
      </c>
      <c r="L1174" s="92"/>
      <c r="M1174" s="580"/>
      <c r="N1174" s="484"/>
      <c r="O1174" s="944"/>
      <c r="AJ1174" s="43"/>
      <c r="AK1174" s="43"/>
      <c r="AL1174" s="43"/>
      <c r="AM1174" s="43"/>
      <c r="AN1174" s="43"/>
      <c r="AO1174" s="43"/>
      <c r="AP1174" s="43"/>
      <c r="AQ1174" s="43"/>
      <c r="AR1174" s="43"/>
      <c r="AS1174" s="43"/>
      <c r="AT1174" s="43"/>
      <c r="AU1174" s="43"/>
      <c r="AV1174" s="43"/>
      <c r="AW1174" s="43"/>
      <c r="AX1174" s="43"/>
      <c r="AY1174" s="43"/>
      <c r="AZ1174" s="43"/>
      <c r="BA1174" s="43"/>
      <c r="BB1174" s="43"/>
      <c r="BC1174" s="43"/>
      <c r="BD1174" s="43"/>
      <c r="BE1174" s="43"/>
      <c r="BF1174" s="43"/>
      <c r="BG1174" s="43"/>
      <c r="BH1174" s="43"/>
      <c r="BI1174" s="43"/>
    </row>
    <row r="1175" spans="1:61" ht="24.6" customHeight="1">
      <c r="A1175" s="932"/>
      <c r="B1175" s="484" t="s">
        <v>764</v>
      </c>
      <c r="C1175" s="484"/>
      <c r="D1175" s="484"/>
      <c r="E1175" s="484"/>
      <c r="F1175" s="484"/>
      <c r="G1175" s="81"/>
      <c r="H1175" s="81"/>
      <c r="I1175" s="81"/>
      <c r="J1175" s="81"/>
      <c r="K1175" s="81"/>
      <c r="L1175" s="81"/>
      <c r="M1175" s="580"/>
      <c r="N1175" s="484"/>
      <c r="O1175" s="944"/>
      <c r="AJ1175" s="43"/>
      <c r="AK1175" s="43"/>
      <c r="AL1175" s="43"/>
      <c r="AM1175" s="43"/>
      <c r="AN1175" s="43"/>
      <c r="AO1175" s="43"/>
      <c r="AP1175" s="43"/>
      <c r="AQ1175" s="43"/>
      <c r="AR1175" s="43"/>
      <c r="AS1175" s="43"/>
      <c r="AT1175" s="43"/>
      <c r="AU1175" s="43"/>
      <c r="AV1175" s="43"/>
      <c r="AW1175" s="43"/>
      <c r="AX1175" s="43"/>
      <c r="AY1175" s="43"/>
      <c r="AZ1175" s="43"/>
      <c r="BA1175" s="43"/>
      <c r="BB1175" s="43"/>
      <c r="BC1175" s="43"/>
      <c r="BD1175" s="43"/>
      <c r="BE1175" s="43"/>
      <c r="BF1175" s="43"/>
      <c r="BG1175" s="43"/>
      <c r="BH1175" s="43"/>
      <c r="BI1175" s="43"/>
    </row>
    <row r="1176" spans="1:61" ht="24.95" hidden="1" customHeight="1">
      <c r="A1176" s="1048" t="s">
        <v>94</v>
      </c>
      <c r="B1176" s="484" t="s">
        <v>89</v>
      </c>
      <c r="C1176" s="484">
        <v>176</v>
      </c>
      <c r="D1176" s="484" t="s">
        <v>15</v>
      </c>
      <c r="E1176" s="484">
        <v>6100404</v>
      </c>
      <c r="F1176" s="484">
        <v>244</v>
      </c>
      <c r="G1176" s="81">
        <f>K1176</f>
        <v>0</v>
      </c>
      <c r="H1176" s="81"/>
      <c r="I1176" s="81"/>
      <c r="J1176" s="81"/>
      <c r="K1176" s="81"/>
      <c r="L1176" s="81"/>
      <c r="M1176" s="580"/>
      <c r="N1176" s="484"/>
      <c r="O1176" s="944" t="s">
        <v>531</v>
      </c>
      <c r="AJ1176" s="43"/>
      <c r="AK1176" s="43"/>
      <c r="AL1176" s="43"/>
      <c r="AM1176" s="43"/>
      <c r="AN1176" s="43"/>
      <c r="AO1176" s="43"/>
      <c r="AP1176" s="43"/>
      <c r="AQ1176" s="43"/>
      <c r="AR1176" s="43"/>
      <c r="AS1176" s="43"/>
      <c r="AT1176" s="43"/>
      <c r="AU1176" s="43"/>
      <c r="AV1176" s="43"/>
      <c r="AW1176" s="43"/>
      <c r="AX1176" s="43"/>
      <c r="AY1176" s="43"/>
      <c r="AZ1176" s="43"/>
      <c r="BA1176" s="43"/>
      <c r="BB1176" s="43"/>
      <c r="BC1176" s="43"/>
      <c r="BD1176" s="43"/>
      <c r="BE1176" s="43"/>
      <c r="BF1176" s="43"/>
      <c r="BG1176" s="43"/>
      <c r="BH1176" s="43"/>
      <c r="BI1176" s="43"/>
    </row>
    <row r="1177" spans="1:61" ht="24.95" hidden="1" customHeight="1">
      <c r="A1177" s="1049"/>
      <c r="B1177" s="484" t="s">
        <v>25</v>
      </c>
      <c r="C1177" s="484"/>
      <c r="D1177" s="484"/>
      <c r="E1177" s="484"/>
      <c r="F1177" s="484"/>
      <c r="G1177" s="81">
        <f>G1178+G1179</f>
        <v>0</v>
      </c>
      <c r="H1177" s="81">
        <f t="shared" ref="H1177:M1177" si="377">H1178+H1179</f>
        <v>0</v>
      </c>
      <c r="I1177" s="81">
        <f t="shared" si="377"/>
        <v>0</v>
      </c>
      <c r="J1177" s="81">
        <f t="shared" si="377"/>
        <v>0</v>
      </c>
      <c r="K1177" s="81">
        <f t="shared" si="377"/>
        <v>0</v>
      </c>
      <c r="L1177" s="81">
        <f t="shared" si="377"/>
        <v>0</v>
      </c>
      <c r="M1177" s="580">
        <f t="shared" si="377"/>
        <v>0</v>
      </c>
      <c r="N1177" s="484"/>
      <c r="O1177" s="944"/>
      <c r="AJ1177" s="43"/>
      <c r="AK1177" s="43"/>
      <c r="AL1177" s="43"/>
      <c r="AM1177" s="43"/>
      <c r="AN1177" s="43"/>
      <c r="AO1177" s="43"/>
      <c r="AP1177" s="43"/>
      <c r="AQ1177" s="43"/>
      <c r="AR1177" s="43"/>
      <c r="AS1177" s="43"/>
      <c r="AT1177" s="43"/>
      <c r="AU1177" s="43"/>
      <c r="AV1177" s="43"/>
      <c r="AW1177" s="43"/>
      <c r="AX1177" s="43"/>
      <c r="AY1177" s="43"/>
      <c r="AZ1177" s="43"/>
      <c r="BA1177" s="43"/>
      <c r="BB1177" s="43"/>
      <c r="BC1177" s="43"/>
      <c r="BD1177" s="43"/>
      <c r="BE1177" s="43"/>
      <c r="BF1177" s="43"/>
      <c r="BG1177" s="43"/>
      <c r="BH1177" s="43"/>
      <c r="BI1177" s="43"/>
    </row>
    <row r="1178" spans="1:61" ht="24.95" hidden="1" customHeight="1">
      <c r="A1178" s="1049"/>
      <c r="B1178" s="484" t="s">
        <v>10</v>
      </c>
      <c r="C1178" s="484"/>
      <c r="D1178" s="484"/>
      <c r="E1178" s="484"/>
      <c r="F1178" s="484"/>
      <c r="G1178" s="81">
        <f>K1178</f>
        <v>0</v>
      </c>
      <c r="H1178" s="81"/>
      <c r="I1178" s="81"/>
      <c r="J1178" s="81"/>
      <c r="K1178" s="81"/>
      <c r="L1178" s="81"/>
      <c r="M1178" s="580"/>
      <c r="N1178" s="484"/>
      <c r="O1178" s="944"/>
      <c r="AJ1178" s="43"/>
      <c r="AK1178" s="43"/>
      <c r="AL1178" s="43"/>
      <c r="AM1178" s="43"/>
      <c r="AN1178" s="43"/>
      <c r="AO1178" s="43"/>
      <c r="AP1178" s="43"/>
      <c r="AQ1178" s="43"/>
      <c r="AR1178" s="43"/>
      <c r="AS1178" s="43"/>
      <c r="AT1178" s="43"/>
      <c r="AU1178" s="43"/>
      <c r="AV1178" s="43"/>
      <c r="AW1178" s="43"/>
      <c r="AX1178" s="43"/>
      <c r="AY1178" s="43"/>
      <c r="AZ1178" s="43"/>
      <c r="BA1178" s="43"/>
      <c r="BB1178" s="43"/>
      <c r="BC1178" s="43"/>
      <c r="BD1178" s="43"/>
      <c r="BE1178" s="43"/>
      <c r="BF1178" s="43"/>
      <c r="BG1178" s="43"/>
      <c r="BH1178" s="43"/>
      <c r="BI1178" s="43"/>
    </row>
    <row r="1179" spans="1:61" ht="24.95" hidden="1" customHeight="1">
      <c r="A1179" s="1050"/>
      <c r="B1179" s="484" t="s">
        <v>495</v>
      </c>
      <c r="C1179" s="484"/>
      <c r="D1179" s="484"/>
      <c r="E1179" s="484"/>
      <c r="F1179" s="484"/>
      <c r="G1179" s="81">
        <f>K1179</f>
        <v>0</v>
      </c>
      <c r="H1179" s="81"/>
      <c r="I1179" s="81"/>
      <c r="J1179" s="81"/>
      <c r="K1179" s="81"/>
      <c r="L1179" s="81"/>
      <c r="M1179" s="580"/>
      <c r="N1179" s="484"/>
      <c r="O1179" s="944"/>
      <c r="AJ1179" s="43"/>
      <c r="AK1179" s="43"/>
      <c r="AL1179" s="43"/>
      <c r="AM1179" s="43"/>
      <c r="AN1179" s="43"/>
      <c r="AO1179" s="43"/>
      <c r="AP1179" s="43"/>
      <c r="AQ1179" s="43"/>
      <c r="AR1179" s="43"/>
      <c r="AS1179" s="43"/>
      <c r="AT1179" s="43"/>
      <c r="AU1179" s="43"/>
      <c r="AV1179" s="43"/>
      <c r="AW1179" s="43"/>
      <c r="AX1179" s="43"/>
      <c r="AY1179" s="43"/>
      <c r="AZ1179" s="43"/>
      <c r="BA1179" s="43"/>
      <c r="BB1179" s="43"/>
      <c r="BC1179" s="43"/>
      <c r="BD1179" s="43"/>
      <c r="BE1179" s="43"/>
      <c r="BF1179" s="43"/>
      <c r="BG1179" s="43"/>
      <c r="BH1179" s="43"/>
      <c r="BI1179" s="43"/>
    </row>
    <row r="1180" spans="1:61" ht="24.95" hidden="1" customHeight="1">
      <c r="A1180" s="926" t="s">
        <v>610</v>
      </c>
      <c r="B1180" s="484" t="s">
        <v>89</v>
      </c>
      <c r="C1180" s="484"/>
      <c r="D1180" s="484"/>
      <c r="E1180" s="484"/>
      <c r="F1180" s="484"/>
      <c r="G1180" s="81"/>
      <c r="H1180" s="81"/>
      <c r="I1180" s="81"/>
      <c r="J1180" s="81"/>
      <c r="K1180" s="81"/>
      <c r="L1180" s="81"/>
      <c r="M1180" s="580"/>
      <c r="N1180" s="484"/>
      <c r="O1180" s="944" t="s">
        <v>535</v>
      </c>
      <c r="AJ1180" s="43"/>
      <c r="AK1180" s="43"/>
      <c r="AL1180" s="43"/>
      <c r="AM1180" s="43"/>
      <c r="AN1180" s="43"/>
      <c r="AO1180" s="43"/>
      <c r="AP1180" s="43"/>
      <c r="AQ1180" s="43"/>
      <c r="AR1180" s="43"/>
      <c r="AS1180" s="43"/>
      <c r="AT1180" s="43"/>
      <c r="AU1180" s="43"/>
      <c r="AV1180" s="43"/>
      <c r="AW1180" s="43"/>
      <c r="AX1180" s="43"/>
      <c r="AY1180" s="43"/>
      <c r="AZ1180" s="43"/>
      <c r="BA1180" s="43"/>
      <c r="BB1180" s="43"/>
      <c r="BC1180" s="43"/>
      <c r="BD1180" s="43"/>
      <c r="BE1180" s="43"/>
      <c r="BF1180" s="43"/>
      <c r="BG1180" s="43"/>
      <c r="BH1180" s="43"/>
      <c r="BI1180" s="43"/>
    </row>
    <row r="1181" spans="1:61" ht="24.95" hidden="1" customHeight="1">
      <c r="A1181" s="927"/>
      <c r="B1181" s="484" t="s">
        <v>25</v>
      </c>
      <c r="C1181" s="484"/>
      <c r="D1181" s="484"/>
      <c r="E1181" s="484"/>
      <c r="F1181" s="484"/>
      <c r="G1181" s="81">
        <f>G1182+G1183</f>
        <v>0</v>
      </c>
      <c r="H1181" s="81">
        <f t="shared" ref="H1181:K1181" si="378">H1182+H1183</f>
        <v>0</v>
      </c>
      <c r="I1181" s="81">
        <f t="shared" si="378"/>
        <v>0</v>
      </c>
      <c r="J1181" s="81">
        <f t="shared" si="378"/>
        <v>0</v>
      </c>
      <c r="K1181" s="81">
        <f t="shared" si="378"/>
        <v>0</v>
      </c>
      <c r="L1181" s="81">
        <f>L1182+L1183</f>
        <v>0</v>
      </c>
      <c r="M1181" s="580">
        <f>M1182+M1183</f>
        <v>0</v>
      </c>
      <c r="N1181" s="484"/>
      <c r="O1181" s="944"/>
      <c r="AJ1181" s="43"/>
      <c r="AK1181" s="43"/>
      <c r="AL1181" s="43"/>
      <c r="AM1181" s="43"/>
      <c r="AN1181" s="43"/>
      <c r="AO1181" s="43"/>
      <c r="AP1181" s="43"/>
      <c r="AQ1181" s="43"/>
      <c r="AR1181" s="43"/>
      <c r="AS1181" s="43"/>
      <c r="AT1181" s="43"/>
      <c r="AU1181" s="43"/>
      <c r="AV1181" s="43"/>
      <c r="AW1181" s="43"/>
      <c r="AX1181" s="43"/>
      <c r="AY1181" s="43"/>
      <c r="AZ1181" s="43"/>
      <c r="BA1181" s="43"/>
      <c r="BB1181" s="43"/>
      <c r="BC1181" s="43"/>
      <c r="BD1181" s="43"/>
      <c r="BE1181" s="43"/>
      <c r="BF1181" s="43"/>
      <c r="BG1181" s="43"/>
      <c r="BH1181" s="43"/>
      <c r="BI1181" s="43"/>
    </row>
    <row r="1182" spans="1:61" ht="24.95" hidden="1" customHeight="1">
      <c r="A1182" s="927"/>
      <c r="B1182" s="484" t="s">
        <v>10</v>
      </c>
      <c r="C1182" s="484"/>
      <c r="D1182" s="484"/>
      <c r="E1182" s="484"/>
      <c r="F1182" s="484"/>
      <c r="G1182" s="81">
        <f>J1182</f>
        <v>0</v>
      </c>
      <c r="H1182" s="81"/>
      <c r="I1182" s="81"/>
      <c r="J1182" s="81"/>
      <c r="K1182" s="81"/>
      <c r="L1182" s="81"/>
      <c r="M1182" s="580"/>
      <c r="N1182" s="484"/>
      <c r="O1182" s="944"/>
      <c r="AJ1182" s="43"/>
      <c r="AK1182" s="43"/>
      <c r="AL1182" s="43"/>
      <c r="AM1182" s="43"/>
      <c r="AN1182" s="43"/>
      <c r="AO1182" s="43"/>
      <c r="AP1182" s="43"/>
      <c r="AQ1182" s="43"/>
      <c r="AR1182" s="43"/>
      <c r="AS1182" s="43"/>
      <c r="AT1182" s="43"/>
      <c r="AU1182" s="43"/>
      <c r="AV1182" s="43"/>
      <c r="AW1182" s="43"/>
      <c r="AX1182" s="43"/>
      <c r="AY1182" s="43"/>
      <c r="AZ1182" s="43"/>
      <c r="BA1182" s="43"/>
      <c r="BB1182" s="43"/>
      <c r="BC1182" s="43"/>
      <c r="BD1182" s="43"/>
      <c r="BE1182" s="43"/>
      <c r="BF1182" s="43"/>
      <c r="BG1182" s="43"/>
      <c r="BH1182" s="43"/>
      <c r="BI1182" s="43"/>
    </row>
    <row r="1183" spans="1:61" ht="24.95" hidden="1" customHeight="1">
      <c r="A1183" s="928"/>
      <c r="B1183" s="484" t="s">
        <v>495</v>
      </c>
      <c r="C1183" s="484"/>
      <c r="D1183" s="484"/>
      <c r="E1183" s="484"/>
      <c r="F1183" s="484"/>
      <c r="G1183" s="81"/>
      <c r="H1183" s="81"/>
      <c r="I1183" s="81"/>
      <c r="J1183" s="81"/>
      <c r="K1183" s="81"/>
      <c r="L1183" s="81"/>
      <c r="M1183" s="580"/>
      <c r="N1183" s="484"/>
      <c r="O1183" s="944"/>
      <c r="AJ1183" s="43"/>
      <c r="AK1183" s="43"/>
      <c r="AL1183" s="43"/>
      <c r="AM1183" s="43"/>
      <c r="AN1183" s="43"/>
      <c r="AO1183" s="43"/>
      <c r="AP1183" s="43"/>
      <c r="AQ1183" s="43"/>
      <c r="AR1183" s="43"/>
      <c r="AS1183" s="43"/>
      <c r="AT1183" s="43"/>
      <c r="AU1183" s="43"/>
      <c r="AV1183" s="43"/>
      <c r="AW1183" s="43"/>
      <c r="AX1183" s="43"/>
      <c r="AY1183" s="43"/>
      <c r="AZ1183" s="43"/>
      <c r="BA1183" s="43"/>
      <c r="BB1183" s="43"/>
      <c r="BC1183" s="43"/>
      <c r="BD1183" s="43"/>
      <c r="BE1183" s="43"/>
      <c r="BF1183" s="43"/>
      <c r="BG1183" s="43"/>
      <c r="BH1183" s="43"/>
      <c r="BI1183" s="43"/>
    </row>
    <row r="1184" spans="1:61" ht="24.95" hidden="1" customHeight="1">
      <c r="A1184" s="932" t="s">
        <v>762</v>
      </c>
      <c r="B1184" s="484" t="s">
        <v>89</v>
      </c>
      <c r="C1184" s="484">
        <v>176</v>
      </c>
      <c r="D1184" s="484" t="s">
        <v>15</v>
      </c>
      <c r="E1184" s="484">
        <v>6100404</v>
      </c>
      <c r="F1184" s="484">
        <v>244</v>
      </c>
      <c r="G1184" s="81">
        <f>K1184</f>
        <v>0</v>
      </c>
      <c r="H1184" s="81"/>
      <c r="I1184" s="81"/>
      <c r="J1184" s="81"/>
      <c r="K1184" s="81">
        <v>0</v>
      </c>
      <c r="L1184" s="81"/>
      <c r="M1184" s="580"/>
      <c r="N1184" s="484"/>
      <c r="O1184" s="944" t="s">
        <v>763</v>
      </c>
      <c r="AJ1184" s="43"/>
      <c r="AK1184" s="43"/>
      <c r="AL1184" s="43"/>
      <c r="AM1184" s="43"/>
      <c r="AN1184" s="43"/>
      <c r="AO1184" s="43"/>
      <c r="AP1184" s="43"/>
      <c r="AQ1184" s="43"/>
      <c r="AR1184" s="43"/>
      <c r="AS1184" s="43"/>
      <c r="AT1184" s="43"/>
      <c r="AU1184" s="43"/>
      <c r="AV1184" s="43"/>
      <c r="AW1184" s="43"/>
      <c r="AX1184" s="43"/>
      <c r="AY1184" s="43"/>
      <c r="AZ1184" s="43"/>
      <c r="BA1184" s="43"/>
      <c r="BB1184" s="43"/>
      <c r="BC1184" s="43"/>
      <c r="BD1184" s="43"/>
      <c r="BE1184" s="43"/>
      <c r="BF1184" s="43"/>
      <c r="BG1184" s="43"/>
      <c r="BH1184" s="43"/>
      <c r="BI1184" s="43"/>
    </row>
    <row r="1185" spans="1:61" ht="24.95" hidden="1" customHeight="1">
      <c r="A1185" s="932"/>
      <c r="B1185" s="484" t="s">
        <v>330</v>
      </c>
      <c r="C1185" s="484"/>
      <c r="D1185" s="484"/>
      <c r="E1185" s="484"/>
      <c r="F1185" s="484"/>
      <c r="G1185" s="81">
        <f>G1186+G1187</f>
        <v>0</v>
      </c>
      <c r="H1185" s="81"/>
      <c r="I1185" s="81"/>
      <c r="J1185" s="81"/>
      <c r="K1185" s="81">
        <f>K1186</f>
        <v>0</v>
      </c>
      <c r="L1185" s="81"/>
      <c r="M1185" s="580"/>
      <c r="N1185" s="484"/>
      <c r="O1185" s="944"/>
      <c r="AJ1185" s="43"/>
      <c r="AK1185" s="43"/>
      <c r="AL1185" s="43"/>
      <c r="AM1185" s="43"/>
      <c r="AN1185" s="43"/>
      <c r="AO1185" s="43"/>
      <c r="AP1185" s="43"/>
      <c r="AQ1185" s="43"/>
      <c r="AR1185" s="43"/>
      <c r="AS1185" s="43"/>
      <c r="AT1185" s="43"/>
      <c r="AU1185" s="43"/>
      <c r="AV1185" s="43"/>
      <c r="AW1185" s="43"/>
      <c r="AX1185" s="43"/>
      <c r="AY1185" s="43"/>
      <c r="AZ1185" s="43"/>
      <c r="BA1185" s="43"/>
      <c r="BB1185" s="43"/>
      <c r="BC1185" s="43"/>
      <c r="BD1185" s="43"/>
      <c r="BE1185" s="43"/>
      <c r="BF1185" s="43"/>
      <c r="BG1185" s="43"/>
      <c r="BH1185" s="43"/>
      <c r="BI1185" s="43"/>
    </row>
    <row r="1186" spans="1:61" ht="24.95" hidden="1" customHeight="1">
      <c r="A1186" s="932"/>
      <c r="B1186" s="484" t="s">
        <v>327</v>
      </c>
      <c r="C1186" s="484"/>
      <c r="D1186" s="484"/>
      <c r="E1186" s="484"/>
      <c r="F1186" s="484"/>
      <c r="G1186" s="81">
        <f>K1186</f>
        <v>0</v>
      </c>
      <c r="H1186" s="81"/>
      <c r="I1186" s="81"/>
      <c r="J1186" s="81"/>
      <c r="K1186" s="81">
        <v>0</v>
      </c>
      <c r="L1186" s="81"/>
      <c r="M1186" s="580"/>
      <c r="N1186" s="484"/>
      <c r="O1186" s="944"/>
      <c r="AJ1186" s="43"/>
      <c r="AK1186" s="43"/>
      <c r="AL1186" s="43"/>
      <c r="AM1186" s="43"/>
      <c r="AN1186" s="43"/>
      <c r="AO1186" s="43"/>
      <c r="AP1186" s="43"/>
      <c r="AQ1186" s="43"/>
      <c r="AR1186" s="43"/>
      <c r="AS1186" s="43"/>
      <c r="AT1186" s="43"/>
      <c r="AU1186" s="43"/>
      <c r="AV1186" s="43"/>
      <c r="AW1186" s="43"/>
      <c r="AX1186" s="43"/>
      <c r="AY1186" s="43"/>
      <c r="AZ1186" s="43"/>
      <c r="BA1186" s="43"/>
      <c r="BB1186" s="43"/>
      <c r="BC1186" s="43"/>
      <c r="BD1186" s="43"/>
      <c r="BE1186" s="43"/>
      <c r="BF1186" s="43"/>
      <c r="BG1186" s="43"/>
      <c r="BH1186" s="43"/>
      <c r="BI1186" s="43"/>
    </row>
    <row r="1187" spans="1:61" ht="30" hidden="1" customHeight="1">
      <c r="A1187" s="932"/>
      <c r="B1187" s="484" t="s">
        <v>764</v>
      </c>
      <c r="C1187" s="484"/>
      <c r="D1187" s="484"/>
      <c r="E1187" s="484"/>
      <c r="F1187" s="484"/>
      <c r="G1187" s="81">
        <f>J1187</f>
        <v>0</v>
      </c>
      <c r="H1187" s="81"/>
      <c r="I1187" s="81"/>
      <c r="J1187" s="81"/>
      <c r="K1187" s="81"/>
      <c r="L1187" s="81"/>
      <c r="M1187" s="580"/>
      <c r="N1187" s="484"/>
      <c r="O1187" s="944"/>
      <c r="AJ1187" s="43"/>
      <c r="AK1187" s="43"/>
      <c r="AL1187" s="43"/>
      <c r="AM1187" s="43"/>
      <c r="AN1187" s="43"/>
      <c r="AO1187" s="43"/>
      <c r="AP1187" s="43"/>
      <c r="AQ1187" s="43"/>
      <c r="AR1187" s="43"/>
      <c r="AS1187" s="43"/>
      <c r="AT1187" s="43"/>
      <c r="AU1187" s="43"/>
      <c r="AV1187" s="43"/>
      <c r="AW1187" s="43"/>
      <c r="AX1187" s="43"/>
      <c r="AY1187" s="43"/>
      <c r="AZ1187" s="43"/>
      <c r="BA1187" s="43"/>
      <c r="BB1187" s="43"/>
      <c r="BC1187" s="43"/>
      <c r="BD1187" s="43"/>
      <c r="BE1187" s="43"/>
      <c r="BF1187" s="43"/>
      <c r="BG1187" s="43"/>
      <c r="BH1187" s="43"/>
      <c r="BI1187" s="43"/>
    </row>
    <row r="1188" spans="1:61" ht="18.75" hidden="1" customHeight="1">
      <c r="A1188" s="1047" t="s">
        <v>807</v>
      </c>
      <c r="B1188" s="484" t="s">
        <v>89</v>
      </c>
      <c r="C1188" s="484">
        <v>176</v>
      </c>
      <c r="D1188" s="484" t="s">
        <v>15</v>
      </c>
      <c r="E1188" s="484">
        <v>6100404</v>
      </c>
      <c r="F1188" s="484">
        <v>244</v>
      </c>
      <c r="G1188" s="81">
        <f>H1188</f>
        <v>0</v>
      </c>
      <c r="H1188" s="81"/>
      <c r="I1188" s="81"/>
      <c r="J1188" s="81"/>
      <c r="K1188" s="81"/>
      <c r="L1188" s="81"/>
      <c r="M1188" s="580"/>
      <c r="N1188" s="484"/>
      <c r="O1188" s="944" t="s">
        <v>763</v>
      </c>
      <c r="AJ1188" s="43"/>
      <c r="AK1188" s="43"/>
      <c r="AL1188" s="43"/>
      <c r="AM1188" s="43"/>
      <c r="AN1188" s="43"/>
      <c r="AO1188" s="43"/>
      <c r="AP1188" s="43"/>
      <c r="AQ1188" s="43"/>
      <c r="AR1188" s="43"/>
      <c r="AS1188" s="43"/>
      <c r="AT1188" s="43"/>
      <c r="AU1188" s="43"/>
      <c r="AV1188" s="43"/>
      <c r="AW1188" s="43"/>
      <c r="AX1188" s="43"/>
      <c r="AY1188" s="43"/>
      <c r="AZ1188" s="43"/>
      <c r="BA1188" s="43"/>
      <c r="BB1188" s="43"/>
      <c r="BC1188" s="43"/>
      <c r="BD1188" s="43"/>
      <c r="BE1188" s="43"/>
      <c r="BF1188" s="43"/>
      <c r="BG1188" s="43"/>
      <c r="BH1188" s="43"/>
      <c r="BI1188" s="43"/>
    </row>
    <row r="1189" spans="1:61" ht="24" hidden="1" customHeight="1">
      <c r="A1189" s="1047"/>
      <c r="B1189" s="484" t="s">
        <v>330</v>
      </c>
      <c r="C1189" s="484"/>
      <c r="D1189" s="484"/>
      <c r="E1189" s="484"/>
      <c r="F1189" s="484"/>
      <c r="G1189" s="81">
        <f>H1189</f>
        <v>0</v>
      </c>
      <c r="H1189" s="81">
        <f t="shared" ref="H1189:M1189" si="379">H1190+H1191</f>
        <v>0</v>
      </c>
      <c r="I1189" s="81">
        <f t="shared" si="379"/>
        <v>0</v>
      </c>
      <c r="J1189" s="81">
        <f t="shared" si="379"/>
        <v>0</v>
      </c>
      <c r="K1189" s="81">
        <f t="shared" si="379"/>
        <v>0</v>
      </c>
      <c r="L1189" s="81">
        <f t="shared" si="379"/>
        <v>0</v>
      </c>
      <c r="M1189" s="580">
        <f t="shared" si="379"/>
        <v>0</v>
      </c>
      <c r="N1189" s="484"/>
      <c r="O1189" s="944"/>
      <c r="AJ1189" s="43"/>
      <c r="AK1189" s="43"/>
      <c r="AL1189" s="43"/>
      <c r="AM1189" s="43"/>
      <c r="AN1189" s="43"/>
      <c r="AO1189" s="43"/>
      <c r="AP1189" s="43"/>
      <c r="AQ1189" s="43"/>
      <c r="AR1189" s="43"/>
      <c r="AS1189" s="43"/>
      <c r="AT1189" s="43"/>
      <c r="AU1189" s="43"/>
      <c r="AV1189" s="43"/>
      <c r="AW1189" s="43"/>
      <c r="AX1189" s="43"/>
      <c r="AY1189" s="43"/>
      <c r="AZ1189" s="43"/>
      <c r="BA1189" s="43"/>
      <c r="BB1189" s="43"/>
      <c r="BC1189" s="43"/>
      <c r="BD1189" s="43"/>
      <c r="BE1189" s="43"/>
      <c r="BF1189" s="43"/>
      <c r="BG1189" s="43"/>
      <c r="BH1189" s="43"/>
      <c r="BI1189" s="43"/>
    </row>
    <row r="1190" spans="1:61" ht="19.5" hidden="1" customHeight="1">
      <c r="A1190" s="1047"/>
      <c r="B1190" s="484" t="s">
        <v>327</v>
      </c>
      <c r="C1190" s="484"/>
      <c r="D1190" s="484"/>
      <c r="E1190" s="484"/>
      <c r="F1190" s="484"/>
      <c r="G1190" s="81">
        <f>H1190</f>
        <v>0</v>
      </c>
      <c r="H1190" s="81"/>
      <c r="I1190" s="81"/>
      <c r="J1190" s="81"/>
      <c r="K1190" s="81"/>
      <c r="L1190" s="81"/>
      <c r="M1190" s="580"/>
      <c r="N1190" s="484"/>
      <c r="O1190" s="944"/>
      <c r="AJ1190" s="43"/>
      <c r="AK1190" s="43"/>
      <c r="AL1190" s="43"/>
      <c r="AM1190" s="43"/>
      <c r="AN1190" s="43"/>
      <c r="AO1190" s="43"/>
      <c r="AP1190" s="43"/>
      <c r="AQ1190" s="43"/>
      <c r="AR1190" s="43"/>
      <c r="AS1190" s="43"/>
      <c r="AT1190" s="43"/>
      <c r="AU1190" s="43"/>
      <c r="AV1190" s="43"/>
      <c r="AW1190" s="43"/>
      <c r="AX1190" s="43"/>
      <c r="AY1190" s="43"/>
      <c r="AZ1190" s="43"/>
      <c r="BA1190" s="43"/>
      <c r="BB1190" s="43"/>
      <c r="BC1190" s="43"/>
      <c r="BD1190" s="43"/>
      <c r="BE1190" s="43"/>
      <c r="BF1190" s="43"/>
      <c r="BG1190" s="43"/>
      <c r="BH1190" s="43"/>
      <c r="BI1190" s="43"/>
    </row>
    <row r="1191" spans="1:61" ht="24.75" hidden="1" customHeight="1">
      <c r="A1191" s="1047"/>
      <c r="B1191" s="484" t="s">
        <v>328</v>
      </c>
      <c r="C1191" s="484"/>
      <c r="D1191" s="484"/>
      <c r="E1191" s="484"/>
      <c r="F1191" s="484"/>
      <c r="G1191" s="81"/>
      <c r="H1191" s="81"/>
      <c r="I1191" s="81"/>
      <c r="J1191" s="81"/>
      <c r="K1191" s="81"/>
      <c r="L1191" s="81"/>
      <c r="M1191" s="580"/>
      <c r="N1191" s="484"/>
      <c r="O1191" s="944"/>
      <c r="AJ1191" s="43"/>
      <c r="AK1191" s="43"/>
      <c r="AL1191" s="43"/>
      <c r="AM1191" s="43"/>
      <c r="AN1191" s="43"/>
      <c r="AO1191" s="43"/>
      <c r="AP1191" s="43"/>
      <c r="AQ1191" s="43"/>
      <c r="AR1191" s="43"/>
      <c r="AS1191" s="43"/>
      <c r="AT1191" s="43"/>
      <c r="AU1191" s="43"/>
      <c r="AV1191" s="43"/>
      <c r="AW1191" s="43"/>
      <c r="AX1191" s="43"/>
      <c r="AY1191" s="43"/>
      <c r="AZ1191" s="43"/>
      <c r="BA1191" s="43"/>
      <c r="BB1191" s="43"/>
      <c r="BC1191" s="43"/>
      <c r="BD1191" s="43"/>
      <c r="BE1191" s="43"/>
      <c r="BF1191" s="43"/>
      <c r="BG1191" s="43"/>
      <c r="BH1191" s="43"/>
      <c r="BI1191" s="43"/>
    </row>
    <row r="1192" spans="1:61" ht="27.75" customHeight="1">
      <c r="A1192" s="1047" t="s">
        <v>154</v>
      </c>
      <c r="B1192" s="484" t="s">
        <v>89</v>
      </c>
      <c r="C1192" s="484"/>
      <c r="D1192" s="484"/>
      <c r="E1192" s="484"/>
      <c r="F1192" s="484"/>
      <c r="G1192" s="81">
        <f>K1192</f>
        <v>0</v>
      </c>
      <c r="H1192" s="81"/>
      <c r="I1192" s="81"/>
      <c r="J1192" s="81"/>
      <c r="K1192" s="81"/>
      <c r="L1192" s="81"/>
      <c r="M1192" s="580"/>
      <c r="N1192" s="484"/>
      <c r="O1192" s="944" t="s">
        <v>856</v>
      </c>
      <c r="AJ1192" s="43"/>
      <c r="AK1192" s="43"/>
      <c r="AL1192" s="43"/>
      <c r="AM1192" s="43"/>
      <c r="AN1192" s="43"/>
      <c r="AO1192" s="43"/>
      <c r="AP1192" s="43"/>
      <c r="AQ1192" s="43"/>
      <c r="AR1192" s="43"/>
      <c r="AS1192" s="43"/>
      <c r="AT1192" s="43"/>
      <c r="AU1192" s="43"/>
      <c r="AV1192" s="43"/>
      <c r="AW1192" s="43"/>
      <c r="AX1192" s="43"/>
      <c r="AY1192" s="43"/>
      <c r="AZ1192" s="43"/>
      <c r="BA1192" s="43"/>
      <c r="BB1192" s="43"/>
      <c r="BC1192" s="43"/>
      <c r="BD1192" s="43"/>
      <c r="BE1192" s="43"/>
      <c r="BF1192" s="43"/>
      <c r="BG1192" s="43"/>
      <c r="BH1192" s="43"/>
      <c r="BI1192" s="43"/>
    </row>
    <row r="1193" spans="1:61" ht="26.25" customHeight="1">
      <c r="A1193" s="1047"/>
      <c r="B1193" s="484" t="s">
        <v>25</v>
      </c>
      <c r="C1193" s="484"/>
      <c r="D1193" s="484"/>
      <c r="E1193" s="484"/>
      <c r="F1193" s="484"/>
      <c r="G1193" s="81">
        <f>G1194+G1195</f>
        <v>21044</v>
      </c>
      <c r="H1193" s="81">
        <f t="shared" ref="H1193:J1193" si="380">H1194</f>
        <v>0</v>
      </c>
      <c r="I1193" s="81">
        <f t="shared" si="380"/>
        <v>0</v>
      </c>
      <c r="J1193" s="81">
        <f t="shared" si="380"/>
        <v>0</v>
      </c>
      <c r="K1193" s="81">
        <f>K1194+K1195</f>
        <v>21044</v>
      </c>
      <c r="L1193" s="92">
        <f>L1194+L1195</f>
        <v>0</v>
      </c>
      <c r="M1193" s="579">
        <f>M1194+M1195</f>
        <v>0</v>
      </c>
      <c r="N1193" s="484"/>
      <c r="O1193" s="944"/>
      <c r="AJ1193" s="43"/>
      <c r="AK1193" s="43"/>
      <c r="AL1193" s="43"/>
      <c r="AM1193" s="43"/>
      <c r="AN1193" s="43"/>
      <c r="AO1193" s="43"/>
      <c r="AP1193" s="43"/>
      <c r="AQ1193" s="43"/>
      <c r="AR1193" s="43"/>
      <c r="AS1193" s="43"/>
      <c r="AT1193" s="43"/>
      <c r="AU1193" s="43"/>
      <c r="AV1193" s="43"/>
      <c r="AW1193" s="43"/>
      <c r="AX1193" s="43"/>
      <c r="AY1193" s="43"/>
      <c r="AZ1193" s="43"/>
      <c r="BA1193" s="43"/>
      <c r="BB1193" s="43"/>
      <c r="BC1193" s="43"/>
      <c r="BD1193" s="43"/>
      <c r="BE1193" s="43"/>
      <c r="BF1193" s="43"/>
      <c r="BG1193" s="43"/>
      <c r="BH1193" s="43"/>
      <c r="BI1193" s="43"/>
    </row>
    <row r="1194" spans="1:61" ht="24.95" customHeight="1">
      <c r="A1194" s="1047"/>
      <c r="B1194" s="484" t="s">
        <v>10</v>
      </c>
      <c r="C1194" s="484"/>
      <c r="D1194" s="484"/>
      <c r="E1194" s="484"/>
      <c r="F1194" s="484"/>
      <c r="G1194" s="81">
        <f t="shared" ref="G1194:G1195" si="381">K1194</f>
        <v>21044</v>
      </c>
      <c r="H1194" s="81"/>
      <c r="I1194" s="81"/>
      <c r="J1194" s="81"/>
      <c r="K1194" s="81">
        <v>21044</v>
      </c>
      <c r="L1194" s="92"/>
      <c r="M1194" s="579"/>
      <c r="N1194" s="484"/>
      <c r="O1194" s="944"/>
    </row>
    <row r="1195" spans="1:61" s="44" customFormat="1" ht="27" customHeight="1">
      <c r="A1195" s="1047"/>
      <c r="B1195" s="484" t="s">
        <v>495</v>
      </c>
      <c r="C1195" s="484"/>
      <c r="D1195" s="484"/>
      <c r="E1195" s="484"/>
      <c r="F1195" s="484"/>
      <c r="G1195" s="81">
        <f t="shared" si="381"/>
        <v>0</v>
      </c>
      <c r="H1195" s="81"/>
      <c r="I1195" s="81"/>
      <c r="J1195" s="81"/>
      <c r="K1195" s="81"/>
      <c r="L1195" s="81"/>
      <c r="M1195" s="580"/>
      <c r="N1195" s="484"/>
      <c r="O1195" s="944"/>
      <c r="AJ1195" s="91"/>
      <c r="AK1195" s="91"/>
      <c r="AL1195" s="91"/>
      <c r="AM1195" s="91"/>
      <c r="AN1195" s="91"/>
      <c r="AO1195" s="91"/>
      <c r="AP1195" s="91"/>
      <c r="AQ1195" s="91"/>
      <c r="AR1195" s="91"/>
      <c r="AS1195" s="91"/>
      <c r="AT1195" s="91"/>
      <c r="AU1195" s="91"/>
      <c r="AV1195" s="91"/>
      <c r="AW1195" s="91"/>
      <c r="AX1195" s="91"/>
      <c r="AY1195" s="91"/>
      <c r="AZ1195" s="91"/>
      <c r="BA1195" s="91"/>
      <c r="BB1195" s="91"/>
      <c r="BC1195" s="91"/>
      <c r="BD1195" s="91"/>
      <c r="BE1195" s="91"/>
      <c r="BF1195" s="91"/>
      <c r="BG1195" s="91"/>
      <c r="BH1195" s="91"/>
      <c r="BI1195" s="91"/>
    </row>
    <row r="1196" spans="1:61" s="44" customFormat="1" ht="24.95" hidden="1" customHeight="1">
      <c r="A1196" s="926" t="s">
        <v>441</v>
      </c>
      <c r="B1196" s="484" t="s">
        <v>89</v>
      </c>
      <c r="C1196" s="484"/>
      <c r="D1196" s="484"/>
      <c r="E1196" s="484"/>
      <c r="F1196" s="484"/>
      <c r="G1196" s="81"/>
      <c r="H1196" s="81"/>
      <c r="I1196" s="81"/>
      <c r="J1196" s="81"/>
      <c r="K1196" s="81"/>
      <c r="L1196" s="81"/>
      <c r="M1196" s="580"/>
      <c r="N1196" s="484"/>
      <c r="O1196" s="944" t="s">
        <v>856</v>
      </c>
      <c r="AJ1196" s="91"/>
      <c r="AK1196" s="91"/>
      <c r="AL1196" s="91"/>
      <c r="AM1196" s="91"/>
      <c r="AN1196" s="91"/>
      <c r="AO1196" s="91"/>
      <c r="AP1196" s="91"/>
      <c r="AQ1196" s="91"/>
      <c r="AR1196" s="91"/>
      <c r="AS1196" s="91"/>
      <c r="AT1196" s="91"/>
      <c r="AU1196" s="91"/>
      <c r="AV1196" s="91"/>
      <c r="AW1196" s="91"/>
      <c r="AX1196" s="91"/>
      <c r="AY1196" s="91"/>
      <c r="AZ1196" s="91"/>
      <c r="BA1196" s="91"/>
      <c r="BB1196" s="91"/>
      <c r="BC1196" s="91"/>
      <c r="BD1196" s="91"/>
      <c r="BE1196" s="91"/>
      <c r="BF1196" s="91"/>
      <c r="BG1196" s="91"/>
      <c r="BH1196" s="91"/>
      <c r="BI1196" s="91"/>
    </row>
    <row r="1197" spans="1:61" s="44" customFormat="1" ht="24.95" hidden="1" customHeight="1">
      <c r="A1197" s="927"/>
      <c r="B1197" s="484" t="s">
        <v>246</v>
      </c>
      <c r="C1197" s="484"/>
      <c r="D1197" s="484"/>
      <c r="E1197" s="484"/>
      <c r="F1197" s="484"/>
      <c r="G1197" s="81">
        <f>G1198</f>
        <v>0</v>
      </c>
      <c r="H1197" s="81">
        <f t="shared" ref="H1197:K1197" si="382">H1198</f>
        <v>0</v>
      </c>
      <c r="I1197" s="81">
        <f t="shared" si="382"/>
        <v>0</v>
      </c>
      <c r="J1197" s="81">
        <f t="shared" si="382"/>
        <v>0</v>
      </c>
      <c r="K1197" s="81">
        <f t="shared" si="382"/>
        <v>0</v>
      </c>
      <c r="L1197" s="81">
        <f>L1198+L1199</f>
        <v>0</v>
      </c>
      <c r="M1197" s="580">
        <f>M1198</f>
        <v>0</v>
      </c>
      <c r="N1197" s="484"/>
      <c r="O1197" s="944"/>
      <c r="AJ1197" s="91"/>
      <c r="AK1197" s="91"/>
      <c r="AL1197" s="91"/>
      <c r="AM1197" s="91"/>
      <c r="AN1197" s="91"/>
      <c r="AO1197" s="91"/>
      <c r="AP1197" s="91"/>
      <c r="AQ1197" s="91"/>
      <c r="AR1197" s="91"/>
      <c r="AS1197" s="91"/>
      <c r="AT1197" s="91"/>
      <c r="AU1197" s="91"/>
      <c r="AV1197" s="91"/>
      <c r="AW1197" s="91"/>
      <c r="AX1197" s="91"/>
      <c r="AY1197" s="91"/>
      <c r="AZ1197" s="91"/>
      <c r="BA1197" s="91"/>
      <c r="BB1197" s="91"/>
      <c r="BC1197" s="91"/>
      <c r="BD1197" s="91"/>
      <c r="BE1197" s="91"/>
      <c r="BF1197" s="91"/>
      <c r="BG1197" s="91"/>
      <c r="BH1197" s="91"/>
      <c r="BI1197" s="91"/>
    </row>
    <row r="1198" spans="1:61" s="44" customFormat="1" ht="24.95" hidden="1" customHeight="1">
      <c r="A1198" s="927"/>
      <c r="B1198" s="484" t="s">
        <v>327</v>
      </c>
      <c r="C1198" s="484"/>
      <c r="D1198" s="484"/>
      <c r="E1198" s="484"/>
      <c r="F1198" s="484"/>
      <c r="G1198" s="81">
        <f>K1198</f>
        <v>0</v>
      </c>
      <c r="H1198" s="81"/>
      <c r="I1198" s="81"/>
      <c r="J1198" s="81"/>
      <c r="K1198" s="81">
        <v>0</v>
      </c>
      <c r="L1198" s="81"/>
      <c r="M1198" s="580"/>
      <c r="N1198" s="484"/>
      <c r="O1198" s="944"/>
      <c r="AJ1198" s="91"/>
      <c r="AK1198" s="91"/>
      <c r="AL1198" s="91"/>
      <c r="AM1198" s="91"/>
      <c r="AN1198" s="91"/>
      <c r="AO1198" s="91"/>
      <c r="AP1198" s="91"/>
      <c r="AQ1198" s="91"/>
      <c r="AR1198" s="91"/>
      <c r="AS1198" s="91"/>
      <c r="AT1198" s="91"/>
      <c r="AU1198" s="91"/>
      <c r="AV1198" s="91"/>
      <c r="AW1198" s="91"/>
      <c r="AX1198" s="91"/>
      <c r="AY1198" s="91"/>
      <c r="AZ1198" s="91"/>
      <c r="BA1198" s="91"/>
      <c r="BB1198" s="91"/>
      <c r="BC1198" s="91"/>
      <c r="BD1198" s="91"/>
      <c r="BE1198" s="91"/>
      <c r="BF1198" s="91"/>
      <c r="BG1198" s="91"/>
      <c r="BH1198" s="91"/>
      <c r="BI1198" s="91"/>
    </row>
    <row r="1199" spans="1:61" s="44" customFormat="1" ht="24.6" hidden="1" customHeight="1">
      <c r="A1199" s="928"/>
      <c r="B1199" s="484" t="s">
        <v>764</v>
      </c>
      <c r="C1199" s="484"/>
      <c r="D1199" s="484"/>
      <c r="E1199" s="484"/>
      <c r="F1199" s="484"/>
      <c r="G1199" s="81"/>
      <c r="H1199" s="81"/>
      <c r="I1199" s="81"/>
      <c r="J1199" s="81"/>
      <c r="K1199" s="81"/>
      <c r="L1199" s="81"/>
      <c r="M1199" s="580"/>
      <c r="N1199" s="484"/>
      <c r="O1199" s="944"/>
      <c r="AJ1199" s="91"/>
      <c r="AK1199" s="91"/>
      <c r="AL1199" s="91"/>
      <c r="AM1199" s="91"/>
      <c r="AN1199" s="91"/>
      <c r="AO1199" s="91"/>
      <c r="AP1199" s="91"/>
      <c r="AQ1199" s="91"/>
      <c r="AR1199" s="91"/>
      <c r="AS1199" s="91"/>
      <c r="AT1199" s="91"/>
      <c r="AU1199" s="91"/>
      <c r="AV1199" s="91"/>
      <c r="AW1199" s="91"/>
      <c r="AX1199" s="91"/>
      <c r="AY1199" s="91"/>
      <c r="AZ1199" s="91"/>
      <c r="BA1199" s="91"/>
      <c r="BB1199" s="91"/>
      <c r="BC1199" s="91"/>
      <c r="BD1199" s="91"/>
      <c r="BE1199" s="91"/>
      <c r="BF1199" s="91"/>
      <c r="BG1199" s="91"/>
      <c r="BH1199" s="91"/>
      <c r="BI1199" s="91"/>
    </row>
    <row r="1200" spans="1:61" s="44" customFormat="1" ht="24.95" hidden="1" customHeight="1">
      <c r="A1200" s="1048" t="s">
        <v>808</v>
      </c>
      <c r="B1200" s="484" t="s">
        <v>89</v>
      </c>
      <c r="C1200" s="484"/>
      <c r="D1200" s="484"/>
      <c r="E1200" s="484"/>
      <c r="F1200" s="484"/>
      <c r="G1200" s="81">
        <f>K1200</f>
        <v>0</v>
      </c>
      <c r="H1200" s="81"/>
      <c r="I1200" s="81"/>
      <c r="J1200" s="81"/>
      <c r="K1200" s="81"/>
      <c r="L1200" s="81"/>
      <c r="M1200" s="580"/>
      <c r="N1200" s="484"/>
      <c r="O1200" s="944" t="s">
        <v>806</v>
      </c>
      <c r="AJ1200" s="91"/>
      <c r="AK1200" s="91"/>
      <c r="AL1200" s="91"/>
      <c r="AM1200" s="91"/>
      <c r="AN1200" s="91"/>
      <c r="AO1200" s="91"/>
      <c r="AP1200" s="91"/>
      <c r="AQ1200" s="91"/>
      <c r="AR1200" s="91"/>
      <c r="AS1200" s="91"/>
      <c r="AT1200" s="91"/>
      <c r="AU1200" s="91"/>
      <c r="AV1200" s="91"/>
      <c r="AW1200" s="91"/>
      <c r="AX1200" s="91"/>
      <c r="AY1200" s="91"/>
      <c r="AZ1200" s="91"/>
      <c r="BA1200" s="91"/>
      <c r="BB1200" s="91"/>
      <c r="BC1200" s="91"/>
      <c r="BD1200" s="91"/>
      <c r="BE1200" s="91"/>
      <c r="BF1200" s="91"/>
      <c r="BG1200" s="91"/>
      <c r="BH1200" s="91"/>
      <c r="BI1200" s="91"/>
    </row>
    <row r="1201" spans="1:61" s="44" customFormat="1" ht="24.95" hidden="1" customHeight="1">
      <c r="A1201" s="1049"/>
      <c r="B1201" s="484" t="s">
        <v>25</v>
      </c>
      <c r="C1201" s="484"/>
      <c r="D1201" s="484"/>
      <c r="E1201" s="484"/>
      <c r="F1201" s="484"/>
      <c r="G1201" s="81">
        <f>G1202+G1203</f>
        <v>0</v>
      </c>
      <c r="H1201" s="81"/>
      <c r="I1201" s="81"/>
      <c r="J1201" s="81"/>
      <c r="K1201" s="81">
        <f>K1202+K1203</f>
        <v>0</v>
      </c>
      <c r="L1201" s="81">
        <f>L1202+L1203</f>
        <v>0</v>
      </c>
      <c r="M1201" s="580">
        <f>M1202</f>
        <v>0</v>
      </c>
      <c r="N1201" s="484"/>
      <c r="O1201" s="944"/>
      <c r="AJ1201" s="91"/>
      <c r="AK1201" s="91"/>
      <c r="AL1201" s="91"/>
      <c r="AM1201" s="91"/>
      <c r="AN1201" s="91"/>
      <c r="AO1201" s="91"/>
      <c r="AP1201" s="91"/>
      <c r="AQ1201" s="91"/>
      <c r="AR1201" s="91"/>
      <c r="AS1201" s="91"/>
      <c r="AT1201" s="91"/>
      <c r="AU1201" s="91"/>
      <c r="AV1201" s="91"/>
      <c r="AW1201" s="91"/>
      <c r="AX1201" s="91"/>
      <c r="AY1201" s="91"/>
      <c r="AZ1201" s="91"/>
      <c r="BA1201" s="91"/>
      <c r="BB1201" s="91"/>
      <c r="BC1201" s="91"/>
      <c r="BD1201" s="91"/>
      <c r="BE1201" s="91"/>
      <c r="BF1201" s="91"/>
      <c r="BG1201" s="91"/>
      <c r="BH1201" s="91"/>
      <c r="BI1201" s="91"/>
    </row>
    <row r="1202" spans="1:61" s="44" customFormat="1" ht="24.95" hidden="1" customHeight="1">
      <c r="A1202" s="1049"/>
      <c r="B1202" s="484" t="s">
        <v>10</v>
      </c>
      <c r="C1202" s="484"/>
      <c r="D1202" s="484"/>
      <c r="E1202" s="484"/>
      <c r="F1202" s="484"/>
      <c r="G1202" s="81">
        <f>K1202</f>
        <v>0</v>
      </c>
      <c r="H1202" s="81"/>
      <c r="I1202" s="81"/>
      <c r="J1202" s="81"/>
      <c r="K1202" s="81"/>
      <c r="L1202" s="81"/>
      <c r="M1202" s="580"/>
      <c r="N1202" s="484"/>
      <c r="O1202" s="944"/>
      <c r="AJ1202" s="91"/>
      <c r="AK1202" s="91"/>
      <c r="AL1202" s="91"/>
      <c r="AM1202" s="91"/>
      <c r="AN1202" s="91"/>
      <c r="AO1202" s="91"/>
      <c r="AP1202" s="91"/>
      <c r="AQ1202" s="91"/>
      <c r="AR1202" s="91"/>
      <c r="AS1202" s="91"/>
      <c r="AT1202" s="91"/>
      <c r="AU1202" s="91"/>
      <c r="AV1202" s="91"/>
      <c r="AW1202" s="91"/>
      <c r="AX1202" s="91"/>
      <c r="AY1202" s="91"/>
      <c r="AZ1202" s="91"/>
      <c r="BA1202" s="91"/>
      <c r="BB1202" s="91"/>
      <c r="BC1202" s="91"/>
      <c r="BD1202" s="91"/>
      <c r="BE1202" s="91"/>
      <c r="BF1202" s="91"/>
      <c r="BG1202" s="91"/>
      <c r="BH1202" s="91"/>
      <c r="BI1202" s="91"/>
    </row>
    <row r="1203" spans="1:61" s="44" customFormat="1" ht="24" hidden="1" customHeight="1">
      <c r="A1203" s="1050"/>
      <c r="B1203" s="484" t="s">
        <v>495</v>
      </c>
      <c r="C1203" s="484"/>
      <c r="D1203" s="484"/>
      <c r="E1203" s="484"/>
      <c r="F1203" s="484"/>
      <c r="G1203" s="81">
        <f>K1203</f>
        <v>0</v>
      </c>
      <c r="H1203" s="81"/>
      <c r="I1203" s="81"/>
      <c r="J1203" s="81"/>
      <c r="K1203" s="81"/>
      <c r="L1203" s="81"/>
      <c r="M1203" s="580"/>
      <c r="N1203" s="484"/>
      <c r="O1203" s="944"/>
      <c r="AJ1203" s="91"/>
      <c r="AK1203" s="91"/>
      <c r="AL1203" s="91"/>
      <c r="AM1203" s="91"/>
      <c r="AN1203" s="91"/>
      <c r="AO1203" s="91"/>
      <c r="AP1203" s="91"/>
      <c r="AQ1203" s="91"/>
      <c r="AR1203" s="91"/>
      <c r="AS1203" s="91"/>
      <c r="AT1203" s="91"/>
      <c r="AU1203" s="91"/>
      <c r="AV1203" s="91"/>
      <c r="AW1203" s="91"/>
      <c r="AX1203" s="91"/>
      <c r="AY1203" s="91"/>
      <c r="AZ1203" s="91"/>
      <c r="BA1203" s="91"/>
      <c r="BB1203" s="91"/>
      <c r="BC1203" s="91"/>
      <c r="BD1203" s="91"/>
      <c r="BE1203" s="91"/>
      <c r="BF1203" s="91"/>
      <c r="BG1203" s="91"/>
      <c r="BH1203" s="91"/>
      <c r="BI1203" s="91"/>
    </row>
    <row r="1204" spans="1:61" s="44" customFormat="1" ht="24.95" customHeight="1">
      <c r="A1204" s="1047" t="s">
        <v>853</v>
      </c>
      <c r="B1204" s="484" t="s">
        <v>89</v>
      </c>
      <c r="C1204" s="484">
        <v>176</v>
      </c>
      <c r="D1204" s="484" t="s">
        <v>15</v>
      </c>
      <c r="E1204" s="484">
        <v>6100404</v>
      </c>
      <c r="F1204" s="484">
        <v>244</v>
      </c>
      <c r="G1204" s="81">
        <f>K1204</f>
        <v>1</v>
      </c>
      <c r="H1204" s="81"/>
      <c r="I1204" s="81"/>
      <c r="J1204" s="81"/>
      <c r="K1204" s="81">
        <v>1</v>
      </c>
      <c r="L1204" s="81">
        <v>0</v>
      </c>
      <c r="M1204" s="580">
        <v>2</v>
      </c>
      <c r="N1204" s="484"/>
      <c r="O1204" s="944" t="s">
        <v>1027</v>
      </c>
      <c r="AJ1204" s="91"/>
      <c r="AK1204" s="91"/>
      <c r="AL1204" s="91"/>
      <c r="AM1204" s="91"/>
      <c r="AN1204" s="91"/>
      <c r="AO1204" s="91"/>
      <c r="AP1204" s="91"/>
      <c r="AQ1204" s="91"/>
      <c r="AR1204" s="91"/>
      <c r="AS1204" s="91"/>
      <c r="AT1204" s="91"/>
      <c r="AU1204" s="91"/>
      <c r="AV1204" s="91"/>
      <c r="AW1204" s="91"/>
      <c r="AX1204" s="91"/>
      <c r="AY1204" s="91"/>
      <c r="AZ1204" s="91"/>
      <c r="BA1204" s="91"/>
      <c r="BB1204" s="91"/>
      <c r="BC1204" s="91"/>
      <c r="BD1204" s="91"/>
      <c r="BE1204" s="91"/>
      <c r="BF1204" s="91"/>
      <c r="BG1204" s="91"/>
      <c r="BH1204" s="91"/>
      <c r="BI1204" s="91"/>
    </row>
    <row r="1205" spans="1:61" s="44" customFormat="1" ht="24.95" customHeight="1">
      <c r="A1205" s="1047"/>
      <c r="B1205" s="484" t="s">
        <v>25</v>
      </c>
      <c r="C1205" s="484"/>
      <c r="D1205" s="484"/>
      <c r="E1205" s="484"/>
      <c r="F1205" s="484"/>
      <c r="G1205" s="81">
        <f>G1206+G1207</f>
        <v>87079.8</v>
      </c>
      <c r="H1205" s="81">
        <f t="shared" ref="H1205:K1205" si="383">H1206+H1207</f>
        <v>0</v>
      </c>
      <c r="I1205" s="81">
        <f t="shared" si="383"/>
        <v>0</v>
      </c>
      <c r="J1205" s="81">
        <f t="shared" si="383"/>
        <v>0</v>
      </c>
      <c r="K1205" s="81">
        <f t="shared" si="383"/>
        <v>87079.8</v>
      </c>
      <c r="L1205" s="81">
        <f>L1206+L1207</f>
        <v>10000</v>
      </c>
      <c r="M1205" s="580">
        <f>M1206+M1207</f>
        <v>49851.1</v>
      </c>
      <c r="N1205" s="484"/>
      <c r="O1205" s="944"/>
      <c r="AJ1205" s="91"/>
      <c r="AK1205" s="91"/>
      <c r="AL1205" s="91"/>
      <c r="AM1205" s="91"/>
      <c r="AN1205" s="91"/>
      <c r="AO1205" s="91"/>
      <c r="AP1205" s="91"/>
      <c r="AQ1205" s="91"/>
      <c r="AR1205" s="91"/>
      <c r="AS1205" s="91"/>
      <c r="AT1205" s="91"/>
      <c r="AU1205" s="91"/>
      <c r="AV1205" s="91"/>
      <c r="AW1205" s="91"/>
      <c r="AX1205" s="91"/>
      <c r="AY1205" s="91"/>
      <c r="AZ1205" s="91"/>
      <c r="BA1205" s="91"/>
      <c r="BB1205" s="91"/>
      <c r="BC1205" s="91"/>
      <c r="BD1205" s="91"/>
      <c r="BE1205" s="91"/>
      <c r="BF1205" s="91"/>
      <c r="BG1205" s="91"/>
      <c r="BH1205" s="91"/>
      <c r="BI1205" s="91"/>
    </row>
    <row r="1206" spans="1:61" s="44" customFormat="1" ht="24.95" customHeight="1">
      <c r="A1206" s="1047"/>
      <c r="B1206" s="484" t="s">
        <v>10</v>
      </c>
      <c r="C1206" s="484"/>
      <c r="D1206" s="484"/>
      <c r="E1206" s="484"/>
      <c r="F1206" s="484"/>
      <c r="G1206" s="81">
        <f>K1206</f>
        <v>87079.8</v>
      </c>
      <c r="H1206" s="81"/>
      <c r="I1206" s="81"/>
      <c r="J1206" s="81"/>
      <c r="K1206" s="81">
        <f>50079.8+37000</f>
        <v>87079.8</v>
      </c>
      <c r="L1206" s="81">
        <f>19000+10000-19000</f>
        <v>10000</v>
      </c>
      <c r="M1206" s="580">
        <f>29851.1+20000</f>
        <v>49851.1</v>
      </c>
      <c r="N1206" s="484"/>
      <c r="O1206" s="944"/>
      <c r="AJ1206" s="91"/>
      <c r="AK1206" s="91"/>
      <c r="AL1206" s="91"/>
      <c r="AM1206" s="91"/>
      <c r="AN1206" s="91"/>
      <c r="AO1206" s="91"/>
      <c r="AP1206" s="91"/>
      <c r="AQ1206" s="91"/>
      <c r="AR1206" s="91"/>
      <c r="AS1206" s="91"/>
      <c r="AT1206" s="91"/>
      <c r="AU1206" s="91"/>
      <c r="AV1206" s="91"/>
      <c r="AW1206" s="91"/>
      <c r="AX1206" s="91"/>
      <c r="AY1206" s="91"/>
      <c r="AZ1206" s="91"/>
      <c r="BA1206" s="91"/>
      <c r="BB1206" s="91"/>
      <c r="BC1206" s="91"/>
      <c r="BD1206" s="91"/>
      <c r="BE1206" s="91"/>
      <c r="BF1206" s="91"/>
      <c r="BG1206" s="91"/>
      <c r="BH1206" s="91"/>
      <c r="BI1206" s="91"/>
    </row>
    <row r="1207" spans="1:61" ht="24.75" customHeight="1">
      <c r="A1207" s="1047"/>
      <c r="B1207" s="484" t="s">
        <v>495</v>
      </c>
      <c r="C1207" s="484"/>
      <c r="D1207" s="484"/>
      <c r="E1207" s="484"/>
      <c r="F1207" s="484"/>
      <c r="G1207" s="81">
        <f>K1207</f>
        <v>0</v>
      </c>
      <c r="H1207" s="81"/>
      <c r="I1207" s="81"/>
      <c r="J1207" s="81"/>
      <c r="K1207" s="81"/>
      <c r="L1207" s="81"/>
      <c r="M1207" s="580"/>
      <c r="N1207" s="484"/>
      <c r="O1207" s="944"/>
    </row>
    <row r="1208" spans="1:61" ht="24.95" customHeight="1">
      <c r="A1208" s="945" t="s">
        <v>104</v>
      </c>
      <c r="B1208" s="57" t="s">
        <v>89</v>
      </c>
      <c r="C1208" s="57"/>
      <c r="D1208" s="57"/>
      <c r="E1208" s="57"/>
      <c r="F1208" s="57"/>
      <c r="G1208" s="80">
        <f>G1212+G1216+G1218</f>
        <v>1.5</v>
      </c>
      <c r="H1208" s="80">
        <f t="shared" ref="H1208:M1208" si="384">H1212+H1216+H1218</f>
        <v>0</v>
      </c>
      <c r="I1208" s="80">
        <f t="shared" si="384"/>
        <v>0</v>
      </c>
      <c r="J1208" s="80">
        <f t="shared" si="384"/>
        <v>0</v>
      </c>
      <c r="K1208" s="80">
        <f t="shared" si="384"/>
        <v>1.5</v>
      </c>
      <c r="L1208" s="80">
        <f t="shared" si="384"/>
        <v>0</v>
      </c>
      <c r="M1208" s="439">
        <f t="shared" si="384"/>
        <v>1.1000000000000001</v>
      </c>
      <c r="N1208" s="484"/>
      <c r="O1208" s="57"/>
    </row>
    <row r="1209" spans="1:61" ht="24.95" customHeight="1">
      <c r="A1209" s="945"/>
      <c r="B1209" s="57" t="s">
        <v>25</v>
      </c>
      <c r="C1209" s="57"/>
      <c r="D1209" s="57"/>
      <c r="E1209" s="57"/>
      <c r="F1209" s="57"/>
      <c r="G1209" s="80">
        <f>G1210+G1211</f>
        <v>18294.2</v>
      </c>
      <c r="H1209" s="80">
        <f t="shared" ref="H1209:M1209" si="385">H1210+H1211</f>
        <v>0</v>
      </c>
      <c r="I1209" s="80">
        <f t="shared" si="385"/>
        <v>0</v>
      </c>
      <c r="J1209" s="80">
        <f t="shared" si="385"/>
        <v>0</v>
      </c>
      <c r="K1209" s="80">
        <f t="shared" si="385"/>
        <v>18294.2</v>
      </c>
      <c r="L1209" s="80">
        <f t="shared" si="385"/>
        <v>0</v>
      </c>
      <c r="M1209" s="439">
        <f t="shared" si="385"/>
        <v>30780.9</v>
      </c>
      <c r="N1209" s="484"/>
      <c r="O1209" s="57"/>
    </row>
    <row r="1210" spans="1:61" ht="24.95" customHeight="1">
      <c r="A1210" s="945"/>
      <c r="B1210" s="57" t="s">
        <v>10</v>
      </c>
      <c r="C1210" s="57"/>
      <c r="D1210" s="57"/>
      <c r="E1210" s="57"/>
      <c r="F1210" s="57"/>
      <c r="G1210" s="80">
        <f>G1214+G1217+G1220</f>
        <v>18294.2</v>
      </c>
      <c r="H1210" s="80">
        <f t="shared" ref="H1210:M1210" si="386">H1214+H1217+H1220</f>
        <v>0</v>
      </c>
      <c r="I1210" s="80">
        <f t="shared" si="386"/>
        <v>0</v>
      </c>
      <c r="J1210" s="80">
        <f t="shared" si="386"/>
        <v>0</v>
      </c>
      <c r="K1210" s="80">
        <f t="shared" si="386"/>
        <v>18294.2</v>
      </c>
      <c r="L1210" s="80">
        <f t="shared" si="386"/>
        <v>0</v>
      </c>
      <c r="M1210" s="439">
        <f t="shared" si="386"/>
        <v>30780.9</v>
      </c>
      <c r="N1210" s="484"/>
      <c r="O1210" s="57"/>
    </row>
    <row r="1211" spans="1:61" s="44" customFormat="1" ht="24.95" customHeight="1">
      <c r="A1211" s="945"/>
      <c r="B1211" s="57" t="s">
        <v>495</v>
      </c>
      <c r="C1211" s="57"/>
      <c r="D1211" s="57"/>
      <c r="E1211" s="57"/>
      <c r="F1211" s="57"/>
      <c r="G1211" s="80">
        <f>G1215+G1221</f>
        <v>0</v>
      </c>
      <c r="H1211" s="80">
        <f t="shared" ref="H1211:M1211" si="387">H1215+H1221</f>
        <v>0</v>
      </c>
      <c r="I1211" s="80">
        <f t="shared" si="387"/>
        <v>0</v>
      </c>
      <c r="J1211" s="80">
        <f t="shared" si="387"/>
        <v>0</v>
      </c>
      <c r="K1211" s="80">
        <f t="shared" si="387"/>
        <v>0</v>
      </c>
      <c r="L1211" s="80">
        <f t="shared" si="387"/>
        <v>0</v>
      </c>
      <c r="M1211" s="439">
        <f t="shared" si="387"/>
        <v>0</v>
      </c>
      <c r="N1211" s="484"/>
      <c r="O1211" s="57"/>
      <c r="AJ1211" s="91"/>
      <c r="AK1211" s="91"/>
      <c r="AL1211" s="91"/>
      <c r="AM1211" s="91"/>
      <c r="AN1211" s="91"/>
      <c r="AO1211" s="91"/>
      <c r="AP1211" s="91"/>
      <c r="AQ1211" s="91"/>
      <c r="AR1211" s="91"/>
      <c r="AS1211" s="91"/>
      <c r="AT1211" s="91"/>
      <c r="AU1211" s="91"/>
      <c r="AV1211" s="91"/>
      <c r="AW1211" s="91"/>
      <c r="AX1211" s="91"/>
      <c r="AY1211" s="91"/>
      <c r="AZ1211" s="91"/>
      <c r="BA1211" s="91"/>
      <c r="BB1211" s="91"/>
      <c r="BC1211" s="91"/>
      <c r="BD1211" s="91"/>
      <c r="BE1211" s="91"/>
      <c r="BF1211" s="91"/>
      <c r="BG1211" s="91"/>
      <c r="BH1211" s="91"/>
      <c r="BI1211" s="91"/>
    </row>
    <row r="1212" spans="1:61" s="44" customFormat="1" ht="24.95" customHeight="1">
      <c r="A1212" s="932" t="s">
        <v>1000</v>
      </c>
      <c r="B1212" s="484" t="s">
        <v>89</v>
      </c>
      <c r="C1212" s="484">
        <v>176</v>
      </c>
      <c r="D1212" s="484" t="s">
        <v>15</v>
      </c>
      <c r="E1212" s="484">
        <v>6100404</v>
      </c>
      <c r="F1212" s="484">
        <v>244</v>
      </c>
      <c r="G1212" s="81">
        <f>K1212</f>
        <v>0</v>
      </c>
      <c r="H1212" s="81"/>
      <c r="I1212" s="81"/>
      <c r="J1212" s="81"/>
      <c r="K1212" s="81"/>
      <c r="L1212" s="81"/>
      <c r="M1212" s="580"/>
      <c r="N1212" s="484"/>
      <c r="O1212" s="944" t="s">
        <v>856</v>
      </c>
      <c r="AJ1212" s="91"/>
      <c r="AK1212" s="91"/>
      <c r="AL1212" s="91"/>
      <c r="AM1212" s="91"/>
      <c r="AN1212" s="91"/>
      <c r="AO1212" s="91"/>
      <c r="AP1212" s="91"/>
      <c r="AQ1212" s="91"/>
      <c r="AR1212" s="91"/>
      <c r="AS1212" s="91"/>
      <c r="AT1212" s="91"/>
      <c r="AU1212" s="91"/>
      <c r="AV1212" s="91"/>
      <c r="AW1212" s="91"/>
      <c r="AX1212" s="91"/>
      <c r="AY1212" s="91"/>
      <c r="AZ1212" s="91"/>
      <c r="BA1212" s="91"/>
      <c r="BB1212" s="91"/>
      <c r="BC1212" s="91"/>
      <c r="BD1212" s="91"/>
      <c r="BE1212" s="91"/>
      <c r="BF1212" s="91"/>
      <c r="BG1212" s="91"/>
      <c r="BH1212" s="91"/>
      <c r="BI1212" s="91"/>
    </row>
    <row r="1213" spans="1:61" s="44" customFormat="1" ht="24.95" customHeight="1">
      <c r="A1213" s="932"/>
      <c r="B1213" s="484" t="s">
        <v>25</v>
      </c>
      <c r="C1213" s="484"/>
      <c r="D1213" s="484"/>
      <c r="E1213" s="484"/>
      <c r="F1213" s="484"/>
      <c r="G1213" s="81">
        <f t="shared" ref="G1213:G1215" si="388">K1213</f>
        <v>0</v>
      </c>
      <c r="H1213" s="81"/>
      <c r="I1213" s="81"/>
      <c r="J1213" s="81"/>
      <c r="K1213" s="81">
        <f>K1214+K1215</f>
        <v>0</v>
      </c>
      <c r="L1213" s="81">
        <f t="shared" ref="L1213:M1213" si="389">L1214+L1215</f>
        <v>0</v>
      </c>
      <c r="M1213" s="580">
        <f t="shared" si="389"/>
        <v>15000</v>
      </c>
      <c r="N1213" s="484"/>
      <c r="O1213" s="944"/>
      <c r="AJ1213" s="91"/>
      <c r="AK1213" s="91"/>
      <c r="AL1213" s="91"/>
      <c r="AM1213" s="91"/>
      <c r="AN1213" s="91"/>
      <c r="AO1213" s="91"/>
      <c r="AP1213" s="91"/>
      <c r="AQ1213" s="91"/>
      <c r="AR1213" s="91"/>
      <c r="AS1213" s="91"/>
      <c r="AT1213" s="91"/>
      <c r="AU1213" s="91"/>
      <c r="AV1213" s="91"/>
      <c r="AW1213" s="91"/>
      <c r="AX1213" s="91"/>
      <c r="AY1213" s="91"/>
      <c r="AZ1213" s="91"/>
      <c r="BA1213" s="91"/>
      <c r="BB1213" s="91"/>
      <c r="BC1213" s="91"/>
      <c r="BD1213" s="91"/>
      <c r="BE1213" s="91"/>
      <c r="BF1213" s="91"/>
      <c r="BG1213" s="91"/>
      <c r="BH1213" s="91"/>
      <c r="BI1213" s="91"/>
    </row>
    <row r="1214" spans="1:61" s="44" customFormat="1" ht="24.95" customHeight="1">
      <c r="A1214" s="932"/>
      <c r="B1214" s="484" t="s">
        <v>10</v>
      </c>
      <c r="C1214" s="484"/>
      <c r="D1214" s="484"/>
      <c r="E1214" s="484"/>
      <c r="F1214" s="484"/>
      <c r="G1214" s="81">
        <f t="shared" si="388"/>
        <v>0</v>
      </c>
      <c r="H1214" s="81"/>
      <c r="I1214" s="81"/>
      <c r="J1214" s="81"/>
      <c r="K1214" s="81">
        <v>0</v>
      </c>
      <c r="L1214" s="81"/>
      <c r="M1214" s="580">
        <v>15000</v>
      </c>
      <c r="N1214" s="484"/>
      <c r="O1214" s="944"/>
      <c r="AJ1214" s="91"/>
      <c r="AK1214" s="91"/>
      <c r="AL1214" s="91"/>
      <c r="AM1214" s="91"/>
      <c r="AN1214" s="91"/>
      <c r="AO1214" s="91"/>
      <c r="AP1214" s="91"/>
      <c r="AQ1214" s="91"/>
      <c r="AR1214" s="91"/>
      <c r="AS1214" s="91"/>
      <c r="AT1214" s="91"/>
      <c r="AU1214" s="91"/>
      <c r="AV1214" s="91"/>
      <c r="AW1214" s="91"/>
      <c r="AX1214" s="91"/>
      <c r="AY1214" s="91"/>
      <c r="AZ1214" s="91"/>
      <c r="BA1214" s="91"/>
      <c r="BB1214" s="91"/>
      <c r="BC1214" s="91"/>
      <c r="BD1214" s="91"/>
      <c r="BE1214" s="91"/>
      <c r="BF1214" s="91"/>
      <c r="BG1214" s="91"/>
      <c r="BH1214" s="91"/>
      <c r="BI1214" s="91"/>
    </row>
    <row r="1215" spans="1:61" ht="24.95" customHeight="1">
      <c r="A1215" s="932"/>
      <c r="B1215" s="484" t="s">
        <v>495</v>
      </c>
      <c r="C1215" s="484"/>
      <c r="D1215" s="484"/>
      <c r="E1215" s="484"/>
      <c r="F1215" s="484"/>
      <c r="G1215" s="81">
        <f t="shared" si="388"/>
        <v>0</v>
      </c>
      <c r="H1215" s="81"/>
      <c r="I1215" s="81"/>
      <c r="J1215" s="81"/>
      <c r="K1215" s="81"/>
      <c r="L1215" s="81"/>
      <c r="M1215" s="580"/>
      <c r="N1215" s="484"/>
      <c r="O1215" s="944"/>
    </row>
    <row r="1216" spans="1:61" ht="24.95" hidden="1" customHeight="1">
      <c r="A1216" s="926" t="s">
        <v>613</v>
      </c>
      <c r="B1216" s="484" t="s">
        <v>89</v>
      </c>
      <c r="C1216" s="484"/>
      <c r="D1216" s="484"/>
      <c r="E1216" s="484"/>
      <c r="F1216" s="484"/>
      <c r="G1216" s="81"/>
      <c r="H1216" s="81"/>
      <c r="I1216" s="81"/>
      <c r="J1216" s="81"/>
      <c r="K1216" s="81"/>
      <c r="L1216" s="81"/>
      <c r="M1216" s="580"/>
      <c r="N1216" s="484"/>
      <c r="O1216" s="933" t="s">
        <v>614</v>
      </c>
    </row>
    <row r="1217" spans="1:61" ht="24.95" hidden="1" customHeight="1">
      <c r="A1217" s="928"/>
      <c r="B1217" s="484" t="s">
        <v>246</v>
      </c>
      <c r="C1217" s="484"/>
      <c r="D1217" s="484"/>
      <c r="E1217" s="484"/>
      <c r="F1217" s="484"/>
      <c r="G1217" s="81"/>
      <c r="H1217" s="81"/>
      <c r="I1217" s="81"/>
      <c r="J1217" s="81"/>
      <c r="K1217" s="81"/>
      <c r="L1217" s="81"/>
      <c r="M1217" s="580"/>
      <c r="N1217" s="484"/>
      <c r="O1217" s="934"/>
    </row>
    <row r="1218" spans="1:61" ht="24.95" customHeight="1">
      <c r="A1218" s="926" t="s">
        <v>853</v>
      </c>
      <c r="B1218" s="484" t="s">
        <v>89</v>
      </c>
      <c r="C1218" s="484"/>
      <c r="D1218" s="484"/>
      <c r="E1218" s="484"/>
      <c r="F1218" s="484"/>
      <c r="G1218" s="81">
        <f>K1218</f>
        <v>1.5</v>
      </c>
      <c r="H1218" s="81"/>
      <c r="I1218" s="81"/>
      <c r="J1218" s="81"/>
      <c r="K1218" s="81">
        <v>1.5</v>
      </c>
      <c r="L1218" s="81">
        <v>0</v>
      </c>
      <c r="M1218" s="580">
        <v>1.1000000000000001</v>
      </c>
      <c r="N1218" s="484"/>
      <c r="O1218" s="933" t="s">
        <v>1028</v>
      </c>
    </row>
    <row r="1219" spans="1:61" ht="24.95" customHeight="1">
      <c r="A1219" s="927"/>
      <c r="B1219" s="484" t="s">
        <v>25</v>
      </c>
      <c r="C1219" s="484"/>
      <c r="D1219" s="484"/>
      <c r="E1219" s="484"/>
      <c r="F1219" s="484"/>
      <c r="G1219" s="81">
        <f t="shared" ref="G1219:G1221" si="390">K1219</f>
        <v>18294.2</v>
      </c>
      <c r="H1219" s="81"/>
      <c r="I1219" s="81"/>
      <c r="J1219" s="81"/>
      <c r="K1219" s="81">
        <f>K1220+K1221</f>
        <v>18294.2</v>
      </c>
      <c r="L1219" s="81">
        <f>L1220</f>
        <v>0</v>
      </c>
      <c r="M1219" s="580">
        <f>M1220+M1221</f>
        <v>15780.9</v>
      </c>
      <c r="N1219" s="484"/>
      <c r="O1219" s="946"/>
    </row>
    <row r="1220" spans="1:61" ht="24.95" customHeight="1">
      <c r="A1220" s="927"/>
      <c r="B1220" s="484" t="s">
        <v>10</v>
      </c>
      <c r="C1220" s="484"/>
      <c r="D1220" s="484"/>
      <c r="E1220" s="484"/>
      <c r="F1220" s="484"/>
      <c r="G1220" s="81">
        <f t="shared" si="390"/>
        <v>18294.2</v>
      </c>
      <c r="H1220" s="81"/>
      <c r="I1220" s="81"/>
      <c r="J1220" s="81"/>
      <c r="K1220" s="81">
        <v>18294.2</v>
      </c>
      <c r="L1220" s="81"/>
      <c r="M1220" s="580">
        <v>15780.9</v>
      </c>
      <c r="N1220" s="484"/>
      <c r="O1220" s="946"/>
    </row>
    <row r="1221" spans="1:61" ht="24.95" customHeight="1">
      <c r="A1221" s="928"/>
      <c r="B1221" s="484" t="s">
        <v>495</v>
      </c>
      <c r="C1221" s="484"/>
      <c r="D1221" s="484"/>
      <c r="E1221" s="484"/>
      <c r="F1221" s="484"/>
      <c r="G1221" s="81">
        <f t="shared" si="390"/>
        <v>0</v>
      </c>
      <c r="H1221" s="81"/>
      <c r="I1221" s="81"/>
      <c r="J1221" s="81"/>
      <c r="K1221" s="81"/>
      <c r="L1221" s="81"/>
      <c r="M1221" s="580"/>
      <c r="N1221" s="484"/>
      <c r="O1221" s="934"/>
    </row>
    <row r="1222" spans="1:61" ht="24.6" customHeight="1">
      <c r="A1222" s="887" t="s">
        <v>161</v>
      </c>
      <c r="B1222" s="57" t="s">
        <v>89</v>
      </c>
      <c r="C1222" s="57"/>
      <c r="D1222" s="57"/>
      <c r="E1222" s="57"/>
      <c r="F1222" s="57"/>
      <c r="G1222" s="80">
        <f>G1226+G1228+G1232</f>
        <v>1.1000000000000001</v>
      </c>
      <c r="H1222" s="80">
        <f t="shared" ref="H1222:M1222" si="391">H1226+H1228+H1232</f>
        <v>0</v>
      </c>
      <c r="I1222" s="80">
        <f t="shared" si="391"/>
        <v>0</v>
      </c>
      <c r="J1222" s="80">
        <f t="shared" si="391"/>
        <v>0</v>
      </c>
      <c r="K1222" s="80">
        <f t="shared" si="391"/>
        <v>1.1000000000000001</v>
      </c>
      <c r="L1222" s="80">
        <f t="shared" si="391"/>
        <v>0</v>
      </c>
      <c r="M1222" s="439">
        <f t="shared" si="391"/>
        <v>1</v>
      </c>
      <c r="N1222" s="484"/>
      <c r="O1222" s="57"/>
    </row>
    <row r="1223" spans="1:61" s="44" customFormat="1" ht="24.6" customHeight="1">
      <c r="A1223" s="888"/>
      <c r="B1223" s="57" t="s">
        <v>25</v>
      </c>
      <c r="C1223" s="57"/>
      <c r="D1223" s="57"/>
      <c r="E1223" s="57"/>
      <c r="F1223" s="57"/>
      <c r="G1223" s="80">
        <f>G1224+G1225</f>
        <v>13685.5</v>
      </c>
      <c r="H1223" s="80">
        <f t="shared" ref="H1223:M1223" si="392">H1224+H1225</f>
        <v>0</v>
      </c>
      <c r="I1223" s="80">
        <f t="shared" si="392"/>
        <v>0</v>
      </c>
      <c r="J1223" s="80">
        <f t="shared" si="392"/>
        <v>0</v>
      </c>
      <c r="K1223" s="80">
        <f t="shared" si="392"/>
        <v>13685.5</v>
      </c>
      <c r="L1223" s="80">
        <f t="shared" si="392"/>
        <v>0</v>
      </c>
      <c r="M1223" s="439">
        <f t="shared" si="392"/>
        <v>111909.2</v>
      </c>
      <c r="N1223" s="484"/>
      <c r="O1223" s="57"/>
      <c r="AJ1223" s="91"/>
      <c r="AK1223" s="91"/>
      <c r="AL1223" s="91"/>
      <c r="AM1223" s="91"/>
      <c r="AN1223" s="91"/>
      <c r="AO1223" s="91"/>
      <c r="AP1223" s="91"/>
      <c r="AQ1223" s="91"/>
      <c r="AR1223" s="91"/>
      <c r="AS1223" s="91"/>
      <c r="AT1223" s="91"/>
      <c r="AU1223" s="91"/>
      <c r="AV1223" s="91"/>
      <c r="AW1223" s="91"/>
      <c r="AX1223" s="91"/>
      <c r="AY1223" s="91"/>
      <c r="AZ1223" s="91"/>
      <c r="BA1223" s="91"/>
      <c r="BB1223" s="91"/>
      <c r="BC1223" s="91"/>
      <c r="BD1223" s="91"/>
      <c r="BE1223" s="91"/>
      <c r="BF1223" s="91"/>
      <c r="BG1223" s="91"/>
      <c r="BH1223" s="91"/>
      <c r="BI1223" s="91"/>
    </row>
    <row r="1224" spans="1:61" s="44" customFormat="1" ht="24.6" customHeight="1">
      <c r="A1224" s="888"/>
      <c r="B1224" s="57" t="s">
        <v>10</v>
      </c>
      <c r="C1224" s="57"/>
      <c r="D1224" s="57"/>
      <c r="E1224" s="57"/>
      <c r="F1224" s="57"/>
      <c r="G1224" s="80">
        <f>G1227+G1230+G1233</f>
        <v>13685.5</v>
      </c>
      <c r="H1224" s="80">
        <f t="shared" ref="H1224:M1224" si="393">H1227+H1230+H1233</f>
        <v>0</v>
      </c>
      <c r="I1224" s="80">
        <f t="shared" si="393"/>
        <v>0</v>
      </c>
      <c r="J1224" s="80">
        <f t="shared" si="393"/>
        <v>0</v>
      </c>
      <c r="K1224" s="80">
        <f t="shared" si="393"/>
        <v>13685.5</v>
      </c>
      <c r="L1224" s="80">
        <f t="shared" si="393"/>
        <v>0</v>
      </c>
      <c r="M1224" s="439">
        <f t="shared" si="393"/>
        <v>111909.2</v>
      </c>
      <c r="N1224" s="484"/>
      <c r="O1224" s="57"/>
      <c r="AJ1224" s="91"/>
      <c r="AK1224" s="91"/>
      <c r="AL1224" s="91"/>
      <c r="AM1224" s="91"/>
      <c r="AN1224" s="91"/>
      <c r="AO1224" s="91"/>
      <c r="AP1224" s="91"/>
      <c r="AQ1224" s="91"/>
      <c r="AR1224" s="91"/>
      <c r="AS1224" s="91"/>
      <c r="AT1224" s="91"/>
      <c r="AU1224" s="91"/>
      <c r="AV1224" s="91"/>
      <c r="AW1224" s="91"/>
      <c r="AX1224" s="91"/>
      <c r="AY1224" s="91"/>
      <c r="AZ1224" s="91"/>
      <c r="BA1224" s="91"/>
      <c r="BB1224" s="91"/>
      <c r="BC1224" s="91"/>
      <c r="BD1224" s="91"/>
      <c r="BE1224" s="91"/>
      <c r="BF1224" s="91"/>
      <c r="BG1224" s="91"/>
      <c r="BH1224" s="91"/>
      <c r="BI1224" s="91"/>
    </row>
    <row r="1225" spans="1:61" s="44" customFormat="1" ht="24.6" customHeight="1">
      <c r="A1225" s="889"/>
      <c r="B1225" s="57" t="s">
        <v>495</v>
      </c>
      <c r="C1225" s="57"/>
      <c r="D1225" s="57"/>
      <c r="E1225" s="57"/>
      <c r="F1225" s="57"/>
      <c r="G1225" s="80">
        <f>G1231</f>
        <v>0</v>
      </c>
      <c r="H1225" s="80">
        <f t="shared" ref="H1225:M1225" si="394">H1231</f>
        <v>0</v>
      </c>
      <c r="I1225" s="80">
        <f t="shared" si="394"/>
        <v>0</v>
      </c>
      <c r="J1225" s="80">
        <f t="shared" si="394"/>
        <v>0</v>
      </c>
      <c r="K1225" s="80">
        <f t="shared" si="394"/>
        <v>0</v>
      </c>
      <c r="L1225" s="80">
        <f t="shared" si="394"/>
        <v>0</v>
      </c>
      <c r="M1225" s="439">
        <f t="shared" si="394"/>
        <v>0</v>
      </c>
      <c r="N1225" s="484"/>
      <c r="O1225" s="57"/>
      <c r="AJ1225" s="91"/>
      <c r="AK1225" s="91"/>
      <c r="AL1225" s="91"/>
      <c r="AM1225" s="91"/>
      <c r="AN1225" s="91"/>
      <c r="AO1225" s="91"/>
      <c r="AP1225" s="91"/>
      <c r="AQ1225" s="91"/>
      <c r="AR1225" s="91"/>
      <c r="AS1225" s="91"/>
      <c r="AT1225" s="91"/>
      <c r="AU1225" s="91"/>
      <c r="AV1225" s="91"/>
      <c r="AW1225" s="91"/>
      <c r="AX1225" s="91"/>
      <c r="AY1225" s="91"/>
      <c r="AZ1225" s="91"/>
      <c r="BA1225" s="91"/>
      <c r="BB1225" s="91"/>
      <c r="BC1225" s="91"/>
      <c r="BD1225" s="91"/>
      <c r="BE1225" s="91"/>
      <c r="BF1225" s="91"/>
      <c r="BG1225" s="91"/>
      <c r="BH1225" s="91"/>
      <c r="BI1225" s="91"/>
    </row>
    <row r="1226" spans="1:61" s="44" customFormat="1" ht="24" customHeight="1">
      <c r="A1226" s="932" t="s">
        <v>156</v>
      </c>
      <c r="B1226" s="484" t="s">
        <v>89</v>
      </c>
      <c r="C1226" s="484">
        <v>176</v>
      </c>
      <c r="D1226" s="484" t="s">
        <v>15</v>
      </c>
      <c r="E1226" s="484">
        <v>6100404</v>
      </c>
      <c r="F1226" s="484">
        <v>244</v>
      </c>
      <c r="G1226" s="81">
        <f>J1226</f>
        <v>0</v>
      </c>
      <c r="H1226" s="81"/>
      <c r="I1226" s="81"/>
      <c r="J1226" s="81"/>
      <c r="K1226" s="81"/>
      <c r="L1226" s="81"/>
      <c r="M1226" s="580"/>
      <c r="N1226" s="484"/>
      <c r="O1226" s="944" t="s">
        <v>856</v>
      </c>
      <c r="AJ1226" s="91"/>
      <c r="AK1226" s="91"/>
      <c r="AL1226" s="91"/>
      <c r="AM1226" s="91"/>
      <c r="AN1226" s="91"/>
      <c r="AO1226" s="91"/>
      <c r="AP1226" s="91"/>
      <c r="AQ1226" s="91"/>
      <c r="AR1226" s="91"/>
      <c r="AS1226" s="91"/>
      <c r="AT1226" s="91"/>
      <c r="AU1226" s="91"/>
      <c r="AV1226" s="91"/>
      <c r="AW1226" s="91"/>
      <c r="AX1226" s="91"/>
      <c r="AY1226" s="91"/>
      <c r="AZ1226" s="91"/>
      <c r="BA1226" s="91"/>
      <c r="BB1226" s="91"/>
      <c r="BC1226" s="91"/>
      <c r="BD1226" s="91"/>
      <c r="BE1226" s="91"/>
      <c r="BF1226" s="91"/>
      <c r="BG1226" s="91"/>
      <c r="BH1226" s="91"/>
      <c r="BI1226" s="91"/>
    </row>
    <row r="1227" spans="1:61" ht="24.6" customHeight="1">
      <c r="A1227" s="932"/>
      <c r="B1227" s="484" t="s">
        <v>246</v>
      </c>
      <c r="C1227" s="484"/>
      <c r="D1227" s="484"/>
      <c r="E1227" s="484"/>
      <c r="F1227" s="484"/>
      <c r="G1227" s="81">
        <f>J1227</f>
        <v>0</v>
      </c>
      <c r="H1227" s="81"/>
      <c r="I1227" s="81"/>
      <c r="J1227" s="81"/>
      <c r="K1227" s="81"/>
      <c r="L1227" s="81"/>
      <c r="M1227" s="580">
        <v>30000</v>
      </c>
      <c r="N1227" s="484"/>
      <c r="O1227" s="944"/>
    </row>
    <row r="1228" spans="1:61" ht="24.6" customHeight="1">
      <c r="A1228" s="926" t="s">
        <v>616</v>
      </c>
      <c r="B1228" s="484" t="s">
        <v>89</v>
      </c>
      <c r="C1228" s="484"/>
      <c r="D1228" s="484"/>
      <c r="E1228" s="484"/>
      <c r="F1228" s="484"/>
      <c r="G1228" s="81">
        <f>K1228</f>
        <v>0</v>
      </c>
      <c r="H1228" s="81"/>
      <c r="I1228" s="81"/>
      <c r="J1228" s="81"/>
      <c r="K1228" s="81"/>
      <c r="L1228" s="81"/>
      <c r="M1228" s="580"/>
      <c r="N1228" s="484"/>
      <c r="O1228" s="933" t="s">
        <v>856</v>
      </c>
    </row>
    <row r="1229" spans="1:61" ht="24.6" customHeight="1">
      <c r="A1229" s="927"/>
      <c r="B1229" s="484" t="s">
        <v>25</v>
      </c>
      <c r="C1229" s="484"/>
      <c r="D1229" s="484"/>
      <c r="E1229" s="484"/>
      <c r="F1229" s="484"/>
      <c r="G1229" s="81">
        <f t="shared" ref="G1229:G1231" si="395">K1229</f>
        <v>0</v>
      </c>
      <c r="H1229" s="81"/>
      <c r="I1229" s="81"/>
      <c r="J1229" s="81"/>
      <c r="K1229" s="81">
        <f>K1230+K1231</f>
        <v>0</v>
      </c>
      <c r="L1229" s="81">
        <f t="shared" ref="L1229:M1229" si="396">L1230+L1231</f>
        <v>0</v>
      </c>
      <c r="M1229" s="580">
        <f t="shared" si="396"/>
        <v>70000</v>
      </c>
      <c r="N1229" s="484"/>
      <c r="O1229" s="946"/>
    </row>
    <row r="1230" spans="1:61" ht="24.6" customHeight="1">
      <c r="A1230" s="927"/>
      <c r="B1230" s="484" t="s">
        <v>10</v>
      </c>
      <c r="C1230" s="484"/>
      <c r="D1230" s="484"/>
      <c r="E1230" s="484"/>
      <c r="F1230" s="484"/>
      <c r="G1230" s="81">
        <f t="shared" si="395"/>
        <v>0</v>
      </c>
      <c r="H1230" s="81"/>
      <c r="I1230" s="81"/>
      <c r="J1230" s="81"/>
      <c r="K1230" s="81">
        <f>1523.2-1523.2</f>
        <v>0</v>
      </c>
      <c r="L1230" s="81"/>
      <c r="M1230" s="580">
        <v>70000</v>
      </c>
      <c r="N1230" s="484"/>
      <c r="O1230" s="946"/>
    </row>
    <row r="1231" spans="1:61" ht="24.6" customHeight="1">
      <c r="A1231" s="928"/>
      <c r="B1231" s="484" t="s">
        <v>495</v>
      </c>
      <c r="C1231" s="484"/>
      <c r="D1231" s="484"/>
      <c r="E1231" s="484"/>
      <c r="F1231" s="484"/>
      <c r="G1231" s="81">
        <f t="shared" si="395"/>
        <v>0</v>
      </c>
      <c r="H1231" s="81"/>
      <c r="I1231" s="81"/>
      <c r="J1231" s="81"/>
      <c r="K1231" s="81"/>
      <c r="L1231" s="81">
        <v>0</v>
      </c>
      <c r="M1231" s="580"/>
      <c r="N1231" s="484"/>
      <c r="O1231" s="934"/>
    </row>
    <row r="1232" spans="1:61" ht="24.6" customHeight="1">
      <c r="A1232" s="926" t="s">
        <v>853</v>
      </c>
      <c r="B1232" s="484" t="s">
        <v>89</v>
      </c>
      <c r="C1232" s="484"/>
      <c r="D1232" s="484"/>
      <c r="E1232" s="484"/>
      <c r="F1232" s="484"/>
      <c r="G1232" s="81">
        <f>K1232</f>
        <v>1.1000000000000001</v>
      </c>
      <c r="H1232" s="81"/>
      <c r="I1232" s="81"/>
      <c r="J1232" s="81"/>
      <c r="K1232" s="81">
        <v>1.1000000000000001</v>
      </c>
      <c r="L1232" s="81"/>
      <c r="M1232" s="580">
        <v>1</v>
      </c>
      <c r="N1232" s="484"/>
      <c r="O1232" s="933" t="s">
        <v>1029</v>
      </c>
    </row>
    <row r="1233" spans="1:61" ht="24.6" customHeight="1">
      <c r="A1233" s="928"/>
      <c r="B1233" s="484" t="s">
        <v>246</v>
      </c>
      <c r="C1233" s="484"/>
      <c r="D1233" s="484"/>
      <c r="E1233" s="484"/>
      <c r="F1233" s="484"/>
      <c r="G1233" s="81">
        <f>K1233</f>
        <v>13685.5</v>
      </c>
      <c r="H1233" s="81"/>
      <c r="I1233" s="81"/>
      <c r="J1233" s="81"/>
      <c r="K1233" s="81">
        <v>13685.5</v>
      </c>
      <c r="L1233" s="81"/>
      <c r="M1233" s="580">
        <v>11909.2</v>
      </c>
      <c r="N1233" s="484"/>
      <c r="O1233" s="934"/>
    </row>
    <row r="1234" spans="1:61" ht="24.6" customHeight="1">
      <c r="A1234" s="945" t="s">
        <v>105</v>
      </c>
      <c r="B1234" s="57" t="s">
        <v>89</v>
      </c>
      <c r="C1234" s="57"/>
      <c r="D1234" s="57"/>
      <c r="E1234" s="57"/>
      <c r="F1234" s="57"/>
      <c r="G1234" s="80">
        <f t="shared" ref="G1234:M1235" si="397">G1236+G1238</f>
        <v>1.1000000000000001</v>
      </c>
      <c r="H1234" s="80">
        <f t="shared" si="397"/>
        <v>0</v>
      </c>
      <c r="I1234" s="80">
        <f t="shared" si="397"/>
        <v>0</v>
      </c>
      <c r="J1234" s="80">
        <f t="shared" si="397"/>
        <v>0</v>
      </c>
      <c r="K1234" s="80">
        <f t="shared" si="397"/>
        <v>1.1000000000000001</v>
      </c>
      <c r="L1234" s="80">
        <f t="shared" si="397"/>
        <v>0</v>
      </c>
      <c r="M1234" s="439">
        <f t="shared" si="397"/>
        <v>1</v>
      </c>
      <c r="N1234" s="484"/>
      <c r="O1234" s="57"/>
    </row>
    <row r="1235" spans="1:61" ht="24.95" customHeight="1">
      <c r="A1235" s="945"/>
      <c r="B1235" s="57" t="s">
        <v>246</v>
      </c>
      <c r="C1235" s="57"/>
      <c r="D1235" s="57"/>
      <c r="E1235" s="57"/>
      <c r="F1235" s="57"/>
      <c r="G1235" s="80">
        <f t="shared" si="397"/>
        <v>18477.7</v>
      </c>
      <c r="H1235" s="80">
        <f t="shared" si="397"/>
        <v>0</v>
      </c>
      <c r="I1235" s="80">
        <f t="shared" si="397"/>
        <v>0</v>
      </c>
      <c r="J1235" s="80">
        <f t="shared" si="397"/>
        <v>0</v>
      </c>
      <c r="K1235" s="80">
        <f t="shared" si="397"/>
        <v>18477.7</v>
      </c>
      <c r="L1235" s="80">
        <f t="shared" si="397"/>
        <v>0</v>
      </c>
      <c r="M1235" s="439">
        <f t="shared" si="397"/>
        <v>47328</v>
      </c>
      <c r="N1235" s="484"/>
      <c r="O1235" s="57"/>
    </row>
    <row r="1236" spans="1:61" ht="24.95" customHeight="1">
      <c r="A1236" s="932" t="s">
        <v>1106</v>
      </c>
      <c r="B1236" s="484" t="s">
        <v>89</v>
      </c>
      <c r="C1236" s="484">
        <v>176</v>
      </c>
      <c r="D1236" s="484" t="s">
        <v>15</v>
      </c>
      <c r="E1236" s="484">
        <v>6100404</v>
      </c>
      <c r="F1236" s="484">
        <v>244</v>
      </c>
      <c r="G1236" s="81">
        <f>K1236</f>
        <v>0</v>
      </c>
      <c r="H1236" s="81"/>
      <c r="I1236" s="81"/>
      <c r="J1236" s="81"/>
      <c r="K1236" s="81"/>
      <c r="L1236" s="81"/>
      <c r="M1236" s="580"/>
      <c r="N1236" s="484"/>
      <c r="O1236" s="944" t="s">
        <v>856</v>
      </c>
    </row>
    <row r="1237" spans="1:61" s="44" customFormat="1" ht="24.95" customHeight="1">
      <c r="A1237" s="932"/>
      <c r="B1237" s="484" t="s">
        <v>246</v>
      </c>
      <c r="C1237" s="484"/>
      <c r="D1237" s="484"/>
      <c r="E1237" s="484"/>
      <c r="F1237" s="484"/>
      <c r="G1237" s="81">
        <f>K1237</f>
        <v>4295</v>
      </c>
      <c r="H1237" s="81"/>
      <c r="I1237" s="81"/>
      <c r="J1237" s="81"/>
      <c r="K1237" s="81">
        <v>4295</v>
      </c>
      <c r="L1237" s="81"/>
      <c r="M1237" s="580">
        <v>30000</v>
      </c>
      <c r="N1237" s="484"/>
      <c r="O1237" s="944"/>
      <c r="AJ1237" s="91"/>
      <c r="AK1237" s="91"/>
      <c r="AL1237" s="91"/>
      <c r="AM1237" s="91"/>
      <c r="AN1237" s="91"/>
      <c r="AO1237" s="91"/>
      <c r="AP1237" s="91"/>
      <c r="AQ1237" s="91"/>
      <c r="AR1237" s="91"/>
      <c r="AS1237" s="91"/>
      <c r="AT1237" s="91"/>
      <c r="AU1237" s="91"/>
      <c r="AV1237" s="91"/>
      <c r="AW1237" s="91"/>
      <c r="AX1237" s="91"/>
      <c r="AY1237" s="91"/>
      <c r="AZ1237" s="91"/>
      <c r="BA1237" s="91"/>
      <c r="BB1237" s="91"/>
      <c r="BC1237" s="91"/>
      <c r="BD1237" s="91"/>
      <c r="BE1237" s="91"/>
      <c r="BF1237" s="91"/>
      <c r="BG1237" s="91"/>
      <c r="BH1237" s="91"/>
      <c r="BI1237" s="91"/>
    </row>
    <row r="1238" spans="1:61" s="44" customFormat="1" ht="24.95" customHeight="1">
      <c r="A1238" s="932" t="s">
        <v>853</v>
      </c>
      <c r="B1238" s="484" t="s">
        <v>89</v>
      </c>
      <c r="C1238" s="484">
        <v>176</v>
      </c>
      <c r="D1238" s="484" t="s">
        <v>15</v>
      </c>
      <c r="E1238" s="484">
        <v>6100404</v>
      </c>
      <c r="F1238" s="484">
        <v>244</v>
      </c>
      <c r="G1238" s="81">
        <f>K1238</f>
        <v>1.1000000000000001</v>
      </c>
      <c r="H1238" s="81"/>
      <c r="I1238" s="81"/>
      <c r="J1238" s="81"/>
      <c r="K1238" s="81">
        <v>1.1000000000000001</v>
      </c>
      <c r="L1238" s="81">
        <v>0</v>
      </c>
      <c r="M1238" s="580">
        <v>1</v>
      </c>
      <c r="N1238" s="484"/>
      <c r="O1238" s="933" t="s">
        <v>1029</v>
      </c>
      <c r="AJ1238" s="91"/>
      <c r="AK1238" s="91"/>
      <c r="AL1238" s="91"/>
      <c r="AM1238" s="91"/>
      <c r="AN1238" s="91"/>
      <c r="AO1238" s="91"/>
      <c r="AP1238" s="91"/>
      <c r="AQ1238" s="91"/>
      <c r="AR1238" s="91"/>
      <c r="AS1238" s="91"/>
      <c r="AT1238" s="91"/>
      <c r="AU1238" s="91"/>
      <c r="AV1238" s="91"/>
      <c r="AW1238" s="91"/>
      <c r="AX1238" s="91"/>
      <c r="AY1238" s="91"/>
      <c r="AZ1238" s="91"/>
      <c r="BA1238" s="91"/>
      <c r="BB1238" s="91"/>
      <c r="BC1238" s="91"/>
      <c r="BD1238" s="91"/>
      <c r="BE1238" s="91"/>
      <c r="BF1238" s="91"/>
      <c r="BG1238" s="91"/>
      <c r="BH1238" s="91"/>
      <c r="BI1238" s="91"/>
    </row>
    <row r="1239" spans="1:61" ht="24.95" customHeight="1">
      <c r="A1239" s="932"/>
      <c r="B1239" s="484" t="s">
        <v>246</v>
      </c>
      <c r="C1239" s="484"/>
      <c r="D1239" s="484"/>
      <c r="E1239" s="484"/>
      <c r="F1239" s="484"/>
      <c r="G1239" s="81">
        <f>K1239</f>
        <v>14182.7</v>
      </c>
      <c r="H1239" s="81"/>
      <c r="I1239" s="81"/>
      <c r="J1239" s="81"/>
      <c r="K1239" s="81">
        <v>14182.7</v>
      </c>
      <c r="L1239" s="81"/>
      <c r="M1239" s="580">
        <f>12328+10000-5000</f>
        <v>17328</v>
      </c>
      <c r="N1239" s="484"/>
      <c r="O1239" s="934"/>
    </row>
    <row r="1240" spans="1:61" ht="24.95" customHeight="1">
      <c r="A1240" s="887" t="s">
        <v>106</v>
      </c>
      <c r="B1240" s="57" t="s">
        <v>89</v>
      </c>
      <c r="C1240" s="484"/>
      <c r="D1240" s="484"/>
      <c r="E1240" s="484"/>
      <c r="F1240" s="484"/>
      <c r="G1240" s="80">
        <f>G1244+G1246+G1250</f>
        <v>2</v>
      </c>
      <c r="H1240" s="80">
        <f t="shared" ref="H1240:M1240" si="398">H1244+H1246+H1250</f>
        <v>0</v>
      </c>
      <c r="I1240" s="80">
        <f t="shared" si="398"/>
        <v>0</v>
      </c>
      <c r="J1240" s="80">
        <f t="shared" si="398"/>
        <v>0</v>
      </c>
      <c r="K1240" s="80">
        <f t="shared" si="398"/>
        <v>2</v>
      </c>
      <c r="L1240" s="80">
        <f t="shared" si="398"/>
        <v>0</v>
      </c>
      <c r="M1240" s="439">
        <f t="shared" si="398"/>
        <v>1</v>
      </c>
      <c r="N1240" s="484"/>
      <c r="O1240" s="484"/>
    </row>
    <row r="1241" spans="1:61" ht="24.95" customHeight="1">
      <c r="A1241" s="888"/>
      <c r="B1241" s="57" t="s">
        <v>25</v>
      </c>
      <c r="C1241" s="484"/>
      <c r="D1241" s="484"/>
      <c r="E1241" s="484"/>
      <c r="F1241" s="484"/>
      <c r="G1241" s="80">
        <f>G1242+G1243</f>
        <v>15787.1</v>
      </c>
      <c r="H1241" s="80">
        <f t="shared" ref="H1241:M1241" si="399">H1242+H1243</f>
        <v>0</v>
      </c>
      <c r="I1241" s="80">
        <f t="shared" si="399"/>
        <v>0</v>
      </c>
      <c r="J1241" s="80">
        <f t="shared" si="399"/>
        <v>0</v>
      </c>
      <c r="K1241" s="80">
        <f t="shared" si="399"/>
        <v>15787.1</v>
      </c>
      <c r="L1241" s="80">
        <f t="shared" si="399"/>
        <v>0</v>
      </c>
      <c r="M1241" s="439">
        <f t="shared" si="399"/>
        <v>42104.2</v>
      </c>
      <c r="N1241" s="484"/>
      <c r="O1241" s="484"/>
    </row>
    <row r="1242" spans="1:61" ht="24.95" customHeight="1">
      <c r="A1242" s="888"/>
      <c r="B1242" s="57" t="s">
        <v>10</v>
      </c>
      <c r="C1242" s="484"/>
      <c r="D1242" s="484"/>
      <c r="E1242" s="484"/>
      <c r="F1242" s="484"/>
      <c r="G1242" s="80">
        <f>G1245+G1248+G1251</f>
        <v>15787.1</v>
      </c>
      <c r="H1242" s="80">
        <f t="shared" ref="H1242:M1242" si="400">H1245+H1248+H1251</f>
        <v>0</v>
      </c>
      <c r="I1242" s="80">
        <f t="shared" si="400"/>
        <v>0</v>
      </c>
      <c r="J1242" s="80">
        <f t="shared" si="400"/>
        <v>0</v>
      </c>
      <c r="K1242" s="80">
        <f t="shared" si="400"/>
        <v>15787.1</v>
      </c>
      <c r="L1242" s="80">
        <f t="shared" si="400"/>
        <v>0</v>
      </c>
      <c r="M1242" s="439">
        <f t="shared" si="400"/>
        <v>42104.2</v>
      </c>
      <c r="N1242" s="484"/>
      <c r="O1242" s="484"/>
      <c r="AJ1242" s="43"/>
      <c r="AK1242" s="43"/>
      <c r="AL1242" s="43"/>
      <c r="AM1242" s="43"/>
      <c r="AN1242" s="43"/>
      <c r="AO1242" s="43"/>
      <c r="AP1242" s="43"/>
      <c r="AQ1242" s="43"/>
      <c r="AR1242" s="43"/>
      <c r="AS1242" s="43"/>
      <c r="AT1242" s="43"/>
      <c r="AU1242" s="43"/>
      <c r="AV1242" s="43"/>
      <c r="AW1242" s="43"/>
      <c r="AX1242" s="43"/>
      <c r="AY1242" s="43"/>
      <c r="AZ1242" s="43"/>
      <c r="BA1242" s="43"/>
      <c r="BB1242" s="43"/>
      <c r="BC1242" s="43"/>
      <c r="BD1242" s="43"/>
      <c r="BE1242" s="43"/>
      <c r="BF1242" s="43"/>
      <c r="BG1242" s="43"/>
      <c r="BH1242" s="43"/>
      <c r="BI1242" s="43"/>
    </row>
    <row r="1243" spans="1:61" ht="24.95" customHeight="1">
      <c r="A1243" s="889"/>
      <c r="B1243" s="57" t="s">
        <v>495</v>
      </c>
      <c r="C1243" s="484"/>
      <c r="D1243" s="484"/>
      <c r="E1243" s="484"/>
      <c r="F1243" s="484"/>
      <c r="G1243" s="80">
        <f>G1249</f>
        <v>0</v>
      </c>
      <c r="H1243" s="80">
        <f t="shared" ref="H1243:M1243" si="401">H1249</f>
        <v>0</v>
      </c>
      <c r="I1243" s="80">
        <f t="shared" si="401"/>
        <v>0</v>
      </c>
      <c r="J1243" s="80">
        <f t="shared" si="401"/>
        <v>0</v>
      </c>
      <c r="K1243" s="80">
        <f t="shared" si="401"/>
        <v>0</v>
      </c>
      <c r="L1243" s="80">
        <f t="shared" si="401"/>
        <v>0</v>
      </c>
      <c r="M1243" s="439">
        <f t="shared" si="401"/>
        <v>0</v>
      </c>
      <c r="N1243" s="484"/>
      <c r="O1243" s="484"/>
      <c r="AJ1243" s="43"/>
      <c r="AK1243" s="43"/>
      <c r="AL1243" s="43"/>
      <c r="AM1243" s="43"/>
      <c r="AN1243" s="43"/>
      <c r="AO1243" s="43"/>
      <c r="AP1243" s="43"/>
      <c r="AQ1243" s="43"/>
      <c r="AR1243" s="43"/>
      <c r="AS1243" s="43"/>
      <c r="AT1243" s="43"/>
      <c r="AU1243" s="43"/>
      <c r="AV1243" s="43"/>
      <c r="AW1243" s="43"/>
      <c r="AX1243" s="43"/>
      <c r="AY1243" s="43"/>
      <c r="AZ1243" s="43"/>
      <c r="BA1243" s="43"/>
      <c r="BB1243" s="43"/>
      <c r="BC1243" s="43"/>
      <c r="BD1243" s="43"/>
      <c r="BE1243" s="43"/>
      <c r="BF1243" s="43"/>
      <c r="BG1243" s="43"/>
      <c r="BH1243" s="43"/>
      <c r="BI1243" s="43"/>
    </row>
    <row r="1244" spans="1:61" ht="24.95" customHeight="1">
      <c r="A1244" s="950" t="s">
        <v>1107</v>
      </c>
      <c r="B1244" s="484" t="s">
        <v>89</v>
      </c>
      <c r="C1244" s="484"/>
      <c r="D1244" s="484"/>
      <c r="E1244" s="484"/>
      <c r="F1244" s="484"/>
      <c r="G1244" s="81">
        <f>K1244</f>
        <v>0</v>
      </c>
      <c r="H1244" s="81"/>
      <c r="I1244" s="81"/>
      <c r="J1244" s="81"/>
      <c r="K1244" s="81"/>
      <c r="L1244" s="81"/>
      <c r="M1244" s="580"/>
      <c r="N1244" s="484"/>
      <c r="O1244" s="944" t="s">
        <v>856</v>
      </c>
      <c r="AJ1244" s="43"/>
      <c r="AK1244" s="43"/>
      <c r="AL1244" s="43"/>
      <c r="AM1244" s="43"/>
      <c r="AN1244" s="43"/>
      <c r="AO1244" s="43"/>
      <c r="AP1244" s="43"/>
      <c r="AQ1244" s="43"/>
      <c r="AR1244" s="43"/>
      <c r="AS1244" s="43"/>
      <c r="AT1244" s="43"/>
      <c r="AU1244" s="43"/>
      <c r="AV1244" s="43"/>
      <c r="AW1244" s="43"/>
      <c r="AX1244" s="43"/>
      <c r="AY1244" s="43"/>
      <c r="AZ1244" s="43"/>
      <c r="BA1244" s="43"/>
      <c r="BB1244" s="43"/>
      <c r="BC1244" s="43"/>
      <c r="BD1244" s="43"/>
      <c r="BE1244" s="43"/>
      <c r="BF1244" s="43"/>
      <c r="BG1244" s="43"/>
      <c r="BH1244" s="43"/>
      <c r="BI1244" s="43"/>
    </row>
    <row r="1245" spans="1:61" ht="24.95" customHeight="1">
      <c r="A1245" s="950"/>
      <c r="B1245" s="484" t="s">
        <v>246</v>
      </c>
      <c r="C1245" s="484"/>
      <c r="D1245" s="484"/>
      <c r="E1245" s="484"/>
      <c r="F1245" s="484"/>
      <c r="G1245" s="81">
        <f>K1245</f>
        <v>3000</v>
      </c>
      <c r="H1245" s="81"/>
      <c r="I1245" s="81"/>
      <c r="J1245" s="81"/>
      <c r="K1245" s="81">
        <v>3000</v>
      </c>
      <c r="L1245" s="81"/>
      <c r="M1245" s="580">
        <v>30000</v>
      </c>
      <c r="N1245" s="484"/>
      <c r="O1245" s="944"/>
      <c r="AJ1245" s="43"/>
      <c r="AK1245" s="43"/>
      <c r="AL1245" s="43"/>
      <c r="AM1245" s="43"/>
      <c r="AN1245" s="43"/>
      <c r="AO1245" s="43"/>
      <c r="AP1245" s="43"/>
      <c r="AQ1245" s="43"/>
      <c r="AR1245" s="43"/>
      <c r="AS1245" s="43"/>
      <c r="AT1245" s="43"/>
      <c r="AU1245" s="43"/>
      <c r="AV1245" s="43"/>
      <c r="AW1245" s="43"/>
      <c r="AX1245" s="43"/>
      <c r="AY1245" s="43"/>
      <c r="AZ1245" s="43"/>
      <c r="BA1245" s="43"/>
      <c r="BB1245" s="43"/>
      <c r="BC1245" s="43"/>
      <c r="BD1245" s="43"/>
      <c r="BE1245" s="43"/>
      <c r="BF1245" s="43"/>
      <c r="BG1245" s="43"/>
      <c r="BH1245" s="43"/>
      <c r="BI1245" s="43"/>
    </row>
    <row r="1246" spans="1:61" ht="24.95" hidden="1" customHeight="1">
      <c r="A1246" s="932" t="s">
        <v>620</v>
      </c>
      <c r="B1246" s="484" t="s">
        <v>89</v>
      </c>
      <c r="C1246" s="484"/>
      <c r="D1246" s="484"/>
      <c r="E1246" s="484"/>
      <c r="F1246" s="484"/>
      <c r="G1246" s="81">
        <f>K1246</f>
        <v>0</v>
      </c>
      <c r="H1246" s="81"/>
      <c r="I1246" s="81"/>
      <c r="J1246" s="81"/>
      <c r="K1246" s="81"/>
      <c r="L1246" s="81"/>
      <c r="M1246" s="580"/>
      <c r="N1246" s="484"/>
      <c r="O1246" s="933" t="s">
        <v>623</v>
      </c>
      <c r="AJ1246" s="43"/>
      <c r="AK1246" s="43"/>
      <c r="AL1246" s="43"/>
      <c r="AM1246" s="43"/>
      <c r="AN1246" s="43"/>
      <c r="AO1246" s="43"/>
      <c r="AP1246" s="43"/>
      <c r="AQ1246" s="43"/>
      <c r="AR1246" s="43"/>
      <c r="AS1246" s="43"/>
      <c r="AT1246" s="43"/>
      <c r="AU1246" s="43"/>
      <c r="AV1246" s="43"/>
      <c r="AW1246" s="43"/>
      <c r="AX1246" s="43"/>
      <c r="AY1246" s="43"/>
      <c r="AZ1246" s="43"/>
      <c r="BA1246" s="43"/>
      <c r="BB1246" s="43"/>
      <c r="BC1246" s="43"/>
      <c r="BD1246" s="43"/>
      <c r="BE1246" s="43"/>
      <c r="BF1246" s="43"/>
      <c r="BG1246" s="43"/>
      <c r="BH1246" s="43"/>
      <c r="BI1246" s="43"/>
    </row>
    <row r="1247" spans="1:61" ht="24.95" hidden="1" customHeight="1">
      <c r="A1247" s="932"/>
      <c r="B1247" s="484" t="s">
        <v>25</v>
      </c>
      <c r="C1247" s="484"/>
      <c r="D1247" s="484"/>
      <c r="E1247" s="484"/>
      <c r="F1247" s="484"/>
      <c r="G1247" s="81">
        <f t="shared" ref="G1247:G1249" si="402">K1247</f>
        <v>0</v>
      </c>
      <c r="H1247" s="81"/>
      <c r="I1247" s="81"/>
      <c r="J1247" s="81"/>
      <c r="K1247" s="81">
        <f>K1248+K1249</f>
        <v>0</v>
      </c>
      <c r="L1247" s="81"/>
      <c r="M1247" s="580"/>
      <c r="N1247" s="484"/>
      <c r="O1247" s="946"/>
      <c r="AJ1247" s="43"/>
      <c r="AK1247" s="43"/>
      <c r="AL1247" s="43"/>
      <c r="AM1247" s="43"/>
      <c r="AN1247" s="43"/>
      <c r="AO1247" s="43"/>
      <c r="AP1247" s="43"/>
      <c r="AQ1247" s="43"/>
      <c r="AR1247" s="43"/>
      <c r="AS1247" s="43"/>
      <c r="AT1247" s="43"/>
      <c r="AU1247" s="43"/>
      <c r="AV1247" s="43"/>
      <c r="AW1247" s="43"/>
      <c r="AX1247" s="43"/>
      <c r="AY1247" s="43"/>
      <c r="AZ1247" s="43"/>
      <c r="BA1247" s="43"/>
      <c r="BB1247" s="43"/>
      <c r="BC1247" s="43"/>
      <c r="BD1247" s="43"/>
      <c r="BE1247" s="43"/>
      <c r="BF1247" s="43"/>
      <c r="BG1247" s="43"/>
      <c r="BH1247" s="43"/>
      <c r="BI1247" s="43"/>
    </row>
    <row r="1248" spans="1:61" ht="24.95" hidden="1" customHeight="1">
      <c r="A1248" s="932"/>
      <c r="B1248" s="484" t="s">
        <v>10</v>
      </c>
      <c r="C1248" s="484"/>
      <c r="D1248" s="484"/>
      <c r="E1248" s="484"/>
      <c r="F1248" s="484"/>
      <c r="G1248" s="81">
        <f t="shared" si="402"/>
        <v>0</v>
      </c>
      <c r="H1248" s="81"/>
      <c r="I1248" s="81"/>
      <c r="J1248" s="81"/>
      <c r="K1248" s="81"/>
      <c r="L1248" s="81"/>
      <c r="M1248" s="580"/>
      <c r="N1248" s="484"/>
      <c r="O1248" s="946"/>
      <c r="AJ1248" s="43"/>
      <c r="AK1248" s="43"/>
      <c r="AL1248" s="43"/>
      <c r="AM1248" s="43"/>
      <c r="AN1248" s="43"/>
      <c r="AO1248" s="43"/>
      <c r="AP1248" s="43"/>
      <c r="AQ1248" s="43"/>
      <c r="AR1248" s="43"/>
      <c r="AS1248" s="43"/>
      <c r="AT1248" s="43"/>
      <c r="AU1248" s="43"/>
      <c r="AV1248" s="43"/>
      <c r="AW1248" s="43"/>
      <c r="AX1248" s="43"/>
      <c r="AY1248" s="43"/>
      <c r="AZ1248" s="43"/>
      <c r="BA1248" s="43"/>
      <c r="BB1248" s="43"/>
      <c r="BC1248" s="43"/>
      <c r="BD1248" s="43"/>
      <c r="BE1248" s="43"/>
      <c r="BF1248" s="43"/>
      <c r="BG1248" s="43"/>
      <c r="BH1248" s="43"/>
      <c r="BI1248" s="43"/>
    </row>
    <row r="1249" spans="1:61" ht="24.95" hidden="1" customHeight="1">
      <c r="A1249" s="932"/>
      <c r="B1249" s="484" t="s">
        <v>495</v>
      </c>
      <c r="C1249" s="484"/>
      <c r="D1249" s="484"/>
      <c r="E1249" s="484"/>
      <c r="F1249" s="484"/>
      <c r="G1249" s="81">
        <f t="shared" si="402"/>
        <v>0</v>
      </c>
      <c r="H1249" s="81"/>
      <c r="I1249" s="81"/>
      <c r="J1249" s="81"/>
      <c r="K1249" s="81"/>
      <c r="L1249" s="81"/>
      <c r="M1249" s="580"/>
      <c r="N1249" s="484"/>
      <c r="O1249" s="934"/>
      <c r="AJ1249" s="43"/>
      <c r="AK1249" s="43"/>
      <c r="AL1249" s="43"/>
      <c r="AM1249" s="43"/>
      <c r="AN1249" s="43"/>
      <c r="AO1249" s="43"/>
      <c r="AP1249" s="43"/>
      <c r="AQ1249" s="43"/>
      <c r="AR1249" s="43"/>
      <c r="AS1249" s="43"/>
      <c r="AT1249" s="43"/>
      <c r="AU1249" s="43"/>
      <c r="AV1249" s="43"/>
      <c r="AW1249" s="43"/>
      <c r="AX1249" s="43"/>
      <c r="AY1249" s="43"/>
      <c r="AZ1249" s="43"/>
      <c r="BA1249" s="43"/>
      <c r="BB1249" s="43"/>
      <c r="BC1249" s="43"/>
      <c r="BD1249" s="43"/>
      <c r="BE1249" s="43"/>
      <c r="BF1249" s="43"/>
      <c r="BG1249" s="43"/>
      <c r="BH1249" s="43"/>
      <c r="BI1249" s="43"/>
    </row>
    <row r="1250" spans="1:61" ht="24.95" customHeight="1">
      <c r="A1250" s="926" t="s">
        <v>853</v>
      </c>
      <c r="B1250" s="484" t="s">
        <v>89</v>
      </c>
      <c r="C1250" s="484"/>
      <c r="D1250" s="484"/>
      <c r="E1250" s="484"/>
      <c r="F1250" s="484"/>
      <c r="G1250" s="81">
        <f>K1250</f>
        <v>2</v>
      </c>
      <c r="H1250" s="81"/>
      <c r="I1250" s="81"/>
      <c r="J1250" s="81"/>
      <c r="K1250" s="81">
        <v>2</v>
      </c>
      <c r="L1250" s="81"/>
      <c r="M1250" s="580">
        <v>1</v>
      </c>
      <c r="N1250" s="484"/>
      <c r="O1250" s="933" t="s">
        <v>1027</v>
      </c>
      <c r="AJ1250" s="43"/>
      <c r="AK1250" s="43"/>
      <c r="AL1250" s="43"/>
      <c r="AM1250" s="43"/>
      <c r="AN1250" s="43"/>
      <c r="AO1250" s="43"/>
      <c r="AP1250" s="43"/>
      <c r="AQ1250" s="43"/>
      <c r="AR1250" s="43"/>
      <c r="AS1250" s="43"/>
      <c r="AT1250" s="43"/>
      <c r="AU1250" s="43"/>
      <c r="AV1250" s="43"/>
      <c r="AW1250" s="43"/>
      <c r="AX1250" s="43"/>
      <c r="AY1250" s="43"/>
      <c r="AZ1250" s="43"/>
      <c r="BA1250" s="43"/>
      <c r="BB1250" s="43"/>
      <c r="BC1250" s="43"/>
      <c r="BD1250" s="43"/>
      <c r="BE1250" s="43"/>
      <c r="BF1250" s="43"/>
      <c r="BG1250" s="43"/>
      <c r="BH1250" s="43"/>
      <c r="BI1250" s="43"/>
    </row>
    <row r="1251" spans="1:61" ht="24.95" customHeight="1">
      <c r="A1251" s="928"/>
      <c r="B1251" s="484" t="s">
        <v>246</v>
      </c>
      <c r="C1251" s="484"/>
      <c r="D1251" s="484"/>
      <c r="E1251" s="484"/>
      <c r="F1251" s="484"/>
      <c r="G1251" s="81">
        <f>K1251</f>
        <v>12787.1</v>
      </c>
      <c r="H1251" s="81"/>
      <c r="I1251" s="81"/>
      <c r="J1251" s="81"/>
      <c r="K1251" s="81">
        <v>12787.1</v>
      </c>
      <c r="L1251" s="81"/>
      <c r="M1251" s="580">
        <v>12104.2</v>
      </c>
      <c r="N1251" s="484"/>
      <c r="O1251" s="934"/>
      <c r="AJ1251" s="43"/>
      <c r="AK1251" s="43"/>
      <c r="AL1251" s="43"/>
      <c r="AM1251" s="43"/>
      <c r="AN1251" s="43"/>
      <c r="AO1251" s="43"/>
      <c r="AP1251" s="43"/>
      <c r="AQ1251" s="43"/>
      <c r="AR1251" s="43"/>
      <c r="AS1251" s="43"/>
      <c r="AT1251" s="43"/>
      <c r="AU1251" s="43"/>
      <c r="AV1251" s="43"/>
      <c r="AW1251" s="43"/>
      <c r="AX1251" s="43"/>
      <c r="AY1251" s="43"/>
      <c r="AZ1251" s="43"/>
      <c r="BA1251" s="43"/>
      <c r="BB1251" s="43"/>
      <c r="BC1251" s="43"/>
      <c r="BD1251" s="43"/>
      <c r="BE1251" s="43"/>
      <c r="BF1251" s="43"/>
      <c r="BG1251" s="43"/>
      <c r="BH1251" s="43"/>
      <c r="BI1251" s="43"/>
    </row>
    <row r="1252" spans="1:61" ht="24.95" customHeight="1">
      <c r="A1252" s="887" t="s">
        <v>137</v>
      </c>
      <c r="B1252" s="57" t="s">
        <v>89</v>
      </c>
      <c r="C1252" s="57"/>
      <c r="D1252" s="57"/>
      <c r="E1252" s="57"/>
      <c r="F1252" s="57"/>
      <c r="G1252" s="80">
        <f>G1256+G1260+G1264+G1266</f>
        <v>5.8000000000000007</v>
      </c>
      <c r="H1252" s="80">
        <f t="shared" ref="H1252:M1252" si="403">H1256+H1260+H1264+H1266</f>
        <v>0</v>
      </c>
      <c r="I1252" s="80">
        <f t="shared" si="403"/>
        <v>0</v>
      </c>
      <c r="J1252" s="80">
        <f t="shared" si="403"/>
        <v>0</v>
      </c>
      <c r="K1252" s="80">
        <f t="shared" si="403"/>
        <v>5.8000000000000007</v>
      </c>
      <c r="L1252" s="80">
        <f t="shared" si="403"/>
        <v>0</v>
      </c>
      <c r="M1252" s="439">
        <f t="shared" si="403"/>
        <v>1</v>
      </c>
      <c r="N1252" s="484"/>
      <c r="O1252" s="57"/>
      <c r="AJ1252" s="43"/>
      <c r="AK1252" s="43"/>
      <c r="AL1252" s="43"/>
      <c r="AM1252" s="43"/>
      <c r="AN1252" s="43"/>
      <c r="AO1252" s="43"/>
      <c r="AP1252" s="43"/>
      <c r="AQ1252" s="43"/>
      <c r="AR1252" s="43"/>
      <c r="AS1252" s="43"/>
      <c r="AT1252" s="43"/>
      <c r="AU1252" s="43"/>
      <c r="AV1252" s="43"/>
      <c r="AW1252" s="43"/>
      <c r="AX1252" s="43"/>
      <c r="AY1252" s="43"/>
      <c r="AZ1252" s="43"/>
      <c r="BA1252" s="43"/>
      <c r="BB1252" s="43"/>
      <c r="BC1252" s="43"/>
      <c r="BD1252" s="43"/>
      <c r="BE1252" s="43"/>
      <c r="BF1252" s="43"/>
      <c r="BG1252" s="43"/>
      <c r="BH1252" s="43"/>
      <c r="BI1252" s="43"/>
    </row>
    <row r="1253" spans="1:61" ht="24.95" customHeight="1">
      <c r="A1253" s="888"/>
      <c r="B1253" s="57" t="s">
        <v>25</v>
      </c>
      <c r="C1253" s="57"/>
      <c r="D1253" s="57"/>
      <c r="E1253" s="57"/>
      <c r="F1253" s="57"/>
      <c r="G1253" s="80">
        <f>G1254+G1255</f>
        <v>77917.399999999994</v>
      </c>
      <c r="H1253" s="80">
        <f t="shared" ref="H1253:M1253" si="404">H1254+H1255</f>
        <v>0</v>
      </c>
      <c r="I1253" s="80">
        <f t="shared" si="404"/>
        <v>0</v>
      </c>
      <c r="J1253" s="80">
        <f t="shared" si="404"/>
        <v>0</v>
      </c>
      <c r="K1253" s="80">
        <f t="shared" si="404"/>
        <v>77917.399999999994</v>
      </c>
      <c r="L1253" s="80">
        <f t="shared" si="404"/>
        <v>0</v>
      </c>
      <c r="M1253" s="439">
        <f t="shared" si="404"/>
        <v>59310.2</v>
      </c>
      <c r="N1253" s="484"/>
      <c r="O1253" s="57"/>
      <c r="AJ1253" s="43"/>
      <c r="AK1253" s="43"/>
      <c r="AL1253" s="43"/>
      <c r="AM1253" s="43"/>
      <c r="AN1253" s="43"/>
      <c r="AO1253" s="43"/>
      <c r="AP1253" s="43"/>
      <c r="AQ1253" s="43"/>
      <c r="AR1253" s="43"/>
      <c r="AS1253" s="43"/>
      <c r="AT1253" s="43"/>
      <c r="AU1253" s="43"/>
      <c r="AV1253" s="43"/>
      <c r="AW1253" s="43"/>
      <c r="AX1253" s="43"/>
      <c r="AY1253" s="43"/>
      <c r="AZ1253" s="43"/>
      <c r="BA1253" s="43"/>
      <c r="BB1253" s="43"/>
      <c r="BC1253" s="43"/>
      <c r="BD1253" s="43"/>
      <c r="BE1253" s="43"/>
      <c r="BF1253" s="43"/>
      <c r="BG1253" s="43"/>
      <c r="BH1253" s="43"/>
      <c r="BI1253" s="43"/>
    </row>
    <row r="1254" spans="1:61" ht="24.95" customHeight="1">
      <c r="A1254" s="888"/>
      <c r="B1254" s="57" t="s">
        <v>10</v>
      </c>
      <c r="C1254" s="57"/>
      <c r="D1254" s="57"/>
      <c r="E1254" s="57"/>
      <c r="F1254" s="57"/>
      <c r="G1254" s="80">
        <f>G1258+G1262+G1265+G1267</f>
        <v>77917.399999999994</v>
      </c>
      <c r="H1254" s="80">
        <f t="shared" ref="H1254:M1254" si="405">H1258+H1262+H1265+H1267</f>
        <v>0</v>
      </c>
      <c r="I1254" s="80">
        <f t="shared" si="405"/>
        <v>0</v>
      </c>
      <c r="J1254" s="80">
        <f t="shared" si="405"/>
        <v>0</v>
      </c>
      <c r="K1254" s="80">
        <f t="shared" si="405"/>
        <v>77917.399999999994</v>
      </c>
      <c r="L1254" s="80">
        <f t="shared" si="405"/>
        <v>0</v>
      </c>
      <c r="M1254" s="439">
        <f t="shared" si="405"/>
        <v>59310.2</v>
      </c>
      <c r="N1254" s="484"/>
      <c r="O1254" s="57"/>
      <c r="AJ1254" s="43"/>
      <c r="AK1254" s="43"/>
      <c r="AL1254" s="43"/>
      <c r="AM1254" s="43"/>
      <c r="AN1254" s="43"/>
      <c r="AO1254" s="43"/>
      <c r="AP1254" s="43"/>
      <c r="AQ1254" s="43"/>
      <c r="AR1254" s="43"/>
      <c r="AS1254" s="43"/>
      <c r="AT1254" s="43"/>
      <c r="AU1254" s="43"/>
      <c r="AV1254" s="43"/>
      <c r="AW1254" s="43"/>
      <c r="AX1254" s="43"/>
      <c r="AY1254" s="43"/>
      <c r="AZ1254" s="43"/>
      <c r="BA1254" s="43"/>
      <c r="BB1254" s="43"/>
      <c r="BC1254" s="43"/>
      <c r="BD1254" s="43"/>
      <c r="BE1254" s="43"/>
      <c r="BF1254" s="43"/>
      <c r="BG1254" s="43"/>
      <c r="BH1254" s="43"/>
      <c r="BI1254" s="43"/>
    </row>
    <row r="1255" spans="1:61" ht="24.95" customHeight="1">
      <c r="A1255" s="889"/>
      <c r="B1255" s="57" t="s">
        <v>495</v>
      </c>
      <c r="C1255" s="57"/>
      <c r="D1255" s="57"/>
      <c r="E1255" s="57"/>
      <c r="F1255" s="57"/>
      <c r="G1255" s="80">
        <f>G1259+G1263</f>
        <v>0</v>
      </c>
      <c r="H1255" s="80">
        <f t="shared" ref="H1255:M1255" si="406">H1259+H1263</f>
        <v>0</v>
      </c>
      <c r="I1255" s="80">
        <f t="shared" si="406"/>
        <v>0</v>
      </c>
      <c r="J1255" s="80">
        <f t="shared" si="406"/>
        <v>0</v>
      </c>
      <c r="K1255" s="80">
        <f t="shared" si="406"/>
        <v>0</v>
      </c>
      <c r="L1255" s="80">
        <f t="shared" si="406"/>
        <v>0</v>
      </c>
      <c r="M1255" s="439">
        <f t="shared" si="406"/>
        <v>0</v>
      </c>
      <c r="N1255" s="484"/>
      <c r="O1255" s="57"/>
      <c r="AJ1255" s="43"/>
      <c r="AK1255" s="43"/>
      <c r="AL1255" s="43"/>
      <c r="AM1255" s="43"/>
      <c r="AN1255" s="43"/>
      <c r="AO1255" s="43"/>
      <c r="AP1255" s="43"/>
      <c r="AQ1255" s="43"/>
      <c r="AR1255" s="43"/>
      <c r="AS1255" s="43"/>
      <c r="AT1255" s="43"/>
      <c r="AU1255" s="43"/>
      <c r="AV1255" s="43"/>
      <c r="AW1255" s="43"/>
      <c r="AX1255" s="43"/>
      <c r="AY1255" s="43"/>
      <c r="AZ1255" s="43"/>
      <c r="BA1255" s="43"/>
      <c r="BB1255" s="43"/>
      <c r="BC1255" s="43"/>
      <c r="BD1255" s="43"/>
      <c r="BE1255" s="43"/>
      <c r="BF1255" s="43"/>
      <c r="BG1255" s="43"/>
      <c r="BH1255" s="43"/>
      <c r="BI1255" s="43"/>
    </row>
    <row r="1256" spans="1:61" ht="24.95" customHeight="1">
      <c r="A1256" s="926" t="s">
        <v>624</v>
      </c>
      <c r="B1256" s="484" t="s">
        <v>89</v>
      </c>
      <c r="C1256" s="57"/>
      <c r="D1256" s="57"/>
      <c r="E1256" s="57"/>
      <c r="F1256" s="57"/>
      <c r="G1256" s="81">
        <f>K1256</f>
        <v>0</v>
      </c>
      <c r="H1256" s="81"/>
      <c r="I1256" s="81"/>
      <c r="J1256" s="81"/>
      <c r="K1256" s="81"/>
      <c r="L1256" s="81"/>
      <c r="M1256" s="580"/>
      <c r="N1256" s="484"/>
      <c r="O1256" s="933" t="s">
        <v>856</v>
      </c>
      <c r="AJ1256" s="43"/>
      <c r="AK1256" s="43"/>
      <c r="AL1256" s="43"/>
      <c r="AM1256" s="43"/>
      <c r="AN1256" s="43"/>
      <c r="AO1256" s="43"/>
      <c r="AP1256" s="43"/>
      <c r="AQ1256" s="43"/>
      <c r="AR1256" s="43"/>
      <c r="AS1256" s="43"/>
      <c r="AT1256" s="43"/>
      <c r="AU1256" s="43"/>
      <c r="AV1256" s="43"/>
      <c r="AW1256" s="43"/>
      <c r="AX1256" s="43"/>
      <c r="AY1256" s="43"/>
      <c r="AZ1256" s="43"/>
      <c r="BA1256" s="43"/>
      <c r="BB1256" s="43"/>
      <c r="BC1256" s="43"/>
      <c r="BD1256" s="43"/>
      <c r="BE1256" s="43"/>
      <c r="BF1256" s="43"/>
      <c r="BG1256" s="43"/>
      <c r="BH1256" s="43"/>
      <c r="BI1256" s="43"/>
    </row>
    <row r="1257" spans="1:61" ht="24.95" customHeight="1">
      <c r="A1257" s="927"/>
      <c r="B1257" s="484" t="s">
        <v>25</v>
      </c>
      <c r="C1257" s="57"/>
      <c r="D1257" s="57"/>
      <c r="E1257" s="57"/>
      <c r="F1257" s="57"/>
      <c r="G1257" s="81">
        <f t="shared" ref="G1257:G1259" si="407">K1257</f>
        <v>3707.2</v>
      </c>
      <c r="H1257" s="81"/>
      <c r="I1257" s="81"/>
      <c r="J1257" s="81"/>
      <c r="K1257" s="81">
        <f>K1258+K1259</f>
        <v>3707.2</v>
      </c>
      <c r="L1257" s="81">
        <f t="shared" ref="L1257:M1257" si="408">L1258+L1259</f>
        <v>0</v>
      </c>
      <c r="M1257" s="580">
        <f t="shared" si="408"/>
        <v>30000</v>
      </c>
      <c r="N1257" s="484"/>
      <c r="O1257" s="946"/>
      <c r="AJ1257" s="43"/>
      <c r="AK1257" s="43"/>
      <c r="AL1257" s="43"/>
      <c r="AM1257" s="43"/>
      <c r="AN1257" s="43"/>
      <c r="AO1257" s="43"/>
      <c r="AP1257" s="43"/>
      <c r="AQ1257" s="43"/>
      <c r="AR1257" s="43"/>
      <c r="AS1257" s="43"/>
      <c r="AT1257" s="43"/>
      <c r="AU1257" s="43"/>
      <c r="AV1257" s="43"/>
      <c r="AW1257" s="43"/>
      <c r="AX1257" s="43"/>
      <c r="AY1257" s="43"/>
      <c r="AZ1257" s="43"/>
      <c r="BA1257" s="43"/>
      <c r="BB1257" s="43"/>
      <c r="BC1257" s="43"/>
      <c r="BD1257" s="43"/>
      <c r="BE1257" s="43"/>
      <c r="BF1257" s="43"/>
      <c r="BG1257" s="43"/>
      <c r="BH1257" s="43"/>
      <c r="BI1257" s="43"/>
    </row>
    <row r="1258" spans="1:61" ht="24.95" customHeight="1">
      <c r="A1258" s="927"/>
      <c r="B1258" s="484" t="s">
        <v>10</v>
      </c>
      <c r="C1258" s="57"/>
      <c r="D1258" s="57"/>
      <c r="E1258" s="57"/>
      <c r="F1258" s="57"/>
      <c r="G1258" s="81">
        <f t="shared" si="407"/>
        <v>3707.2</v>
      </c>
      <c r="H1258" s="81"/>
      <c r="I1258" s="81"/>
      <c r="J1258" s="81"/>
      <c r="K1258" s="81">
        <v>3707.2</v>
      </c>
      <c r="L1258" s="81"/>
      <c r="M1258" s="580">
        <v>30000</v>
      </c>
      <c r="N1258" s="484"/>
      <c r="O1258" s="946"/>
      <c r="AZ1258" s="43"/>
      <c r="BA1258" s="43"/>
      <c r="BB1258" s="43"/>
      <c r="BC1258" s="43"/>
      <c r="BD1258" s="43"/>
      <c r="BE1258" s="43"/>
      <c r="BF1258" s="43"/>
      <c r="BG1258" s="43"/>
      <c r="BH1258" s="43"/>
      <c r="BI1258" s="43"/>
    </row>
    <row r="1259" spans="1:61" ht="24.95" customHeight="1">
      <c r="A1259" s="928"/>
      <c r="B1259" s="484" t="s">
        <v>495</v>
      </c>
      <c r="C1259" s="57"/>
      <c r="D1259" s="57"/>
      <c r="E1259" s="57"/>
      <c r="F1259" s="57"/>
      <c r="G1259" s="81">
        <f t="shared" si="407"/>
        <v>0</v>
      </c>
      <c r="H1259" s="81"/>
      <c r="I1259" s="81"/>
      <c r="J1259" s="81"/>
      <c r="K1259" s="81"/>
      <c r="L1259" s="81"/>
      <c r="M1259" s="580"/>
      <c r="N1259" s="484"/>
      <c r="O1259" s="934"/>
      <c r="AZ1259" s="43"/>
      <c r="BA1259" s="43"/>
      <c r="BB1259" s="43"/>
      <c r="BC1259" s="43"/>
      <c r="BD1259" s="43"/>
      <c r="BE1259" s="43"/>
      <c r="BF1259" s="43"/>
      <c r="BG1259" s="43"/>
      <c r="BH1259" s="43"/>
      <c r="BI1259" s="43"/>
    </row>
    <row r="1260" spans="1:61" ht="24.95" customHeight="1">
      <c r="A1260" s="926" t="s">
        <v>1108</v>
      </c>
      <c r="B1260" s="484" t="s">
        <v>89</v>
      </c>
      <c r="C1260" s="57"/>
      <c r="D1260" s="57"/>
      <c r="E1260" s="57"/>
      <c r="F1260" s="57"/>
      <c r="G1260" s="81">
        <f>K1260</f>
        <v>1.8</v>
      </c>
      <c r="H1260" s="81"/>
      <c r="I1260" s="81"/>
      <c r="J1260" s="81"/>
      <c r="K1260" s="81">
        <v>1.8</v>
      </c>
      <c r="L1260" s="81"/>
      <c r="M1260" s="580"/>
      <c r="N1260" s="484"/>
      <c r="O1260" s="933" t="s">
        <v>1065</v>
      </c>
      <c r="AZ1260" s="43"/>
      <c r="BA1260" s="43"/>
      <c r="BB1260" s="43"/>
      <c r="BC1260" s="43"/>
      <c r="BD1260" s="43"/>
      <c r="BE1260" s="43"/>
      <c r="BF1260" s="43"/>
      <c r="BG1260" s="43"/>
      <c r="BH1260" s="43"/>
      <c r="BI1260" s="43"/>
    </row>
    <row r="1261" spans="1:61" ht="24.95" customHeight="1">
      <c r="A1261" s="927"/>
      <c r="B1261" s="484" t="s">
        <v>25</v>
      </c>
      <c r="C1261" s="57"/>
      <c r="D1261" s="57"/>
      <c r="E1261" s="57"/>
      <c r="F1261" s="57"/>
      <c r="G1261" s="81">
        <f t="shared" ref="G1261:G1263" si="409">K1261</f>
        <v>20868.8</v>
      </c>
      <c r="H1261" s="81"/>
      <c r="I1261" s="81"/>
      <c r="J1261" s="81"/>
      <c r="K1261" s="81">
        <f>K1262+K1263</f>
        <v>20868.8</v>
      </c>
      <c r="L1261" s="81">
        <f t="shared" ref="L1261:M1261" si="410">L1262+L1263</f>
        <v>0</v>
      </c>
      <c r="M1261" s="580">
        <f t="shared" si="410"/>
        <v>0</v>
      </c>
      <c r="N1261" s="484"/>
      <c r="O1261" s="946"/>
      <c r="AZ1261" s="43"/>
      <c r="BA1261" s="43"/>
      <c r="BB1261" s="43"/>
      <c r="BC1261" s="43"/>
      <c r="BD1261" s="43"/>
      <c r="BE1261" s="43"/>
      <c r="BF1261" s="43"/>
      <c r="BG1261" s="43"/>
      <c r="BH1261" s="43"/>
      <c r="BI1261" s="43"/>
    </row>
    <row r="1262" spans="1:61" ht="24.95" customHeight="1">
      <c r="A1262" s="927"/>
      <c r="B1262" s="484" t="s">
        <v>10</v>
      </c>
      <c r="C1262" s="57"/>
      <c r="D1262" s="57"/>
      <c r="E1262" s="57"/>
      <c r="F1262" s="57"/>
      <c r="G1262" s="81">
        <f t="shared" si="409"/>
        <v>20868.8</v>
      </c>
      <c r="H1262" s="81"/>
      <c r="I1262" s="81"/>
      <c r="J1262" s="81"/>
      <c r="K1262" s="81">
        <v>20868.8</v>
      </c>
      <c r="L1262" s="81"/>
      <c r="M1262" s="580"/>
      <c r="N1262" s="484"/>
      <c r="O1262" s="946"/>
      <c r="AZ1262" s="43"/>
      <c r="BA1262" s="43"/>
      <c r="BB1262" s="43"/>
      <c r="BC1262" s="43"/>
      <c r="BD1262" s="43"/>
      <c r="BE1262" s="43"/>
      <c r="BF1262" s="43"/>
      <c r="BG1262" s="43"/>
      <c r="BH1262" s="43"/>
      <c r="BI1262" s="43"/>
    </row>
    <row r="1263" spans="1:61" ht="24.95" customHeight="1">
      <c r="A1263" s="928"/>
      <c r="B1263" s="484" t="s">
        <v>495</v>
      </c>
      <c r="C1263" s="57"/>
      <c r="D1263" s="57"/>
      <c r="E1263" s="57"/>
      <c r="F1263" s="57"/>
      <c r="G1263" s="81">
        <f t="shared" si="409"/>
        <v>0</v>
      </c>
      <c r="H1263" s="81"/>
      <c r="I1263" s="81"/>
      <c r="J1263" s="81"/>
      <c r="K1263" s="81"/>
      <c r="L1263" s="81"/>
      <c r="M1263" s="580"/>
      <c r="N1263" s="484"/>
      <c r="O1263" s="934"/>
      <c r="AZ1263" s="43"/>
      <c r="BA1263" s="43"/>
      <c r="BB1263" s="43"/>
      <c r="BC1263" s="43"/>
      <c r="BD1263" s="43"/>
      <c r="BE1263" s="43"/>
      <c r="BF1263" s="43"/>
      <c r="BG1263" s="43"/>
      <c r="BH1263" s="43"/>
      <c r="BI1263" s="43"/>
    </row>
    <row r="1264" spans="1:61" ht="20.25" customHeight="1">
      <c r="A1264" s="949" t="s">
        <v>1109</v>
      </c>
      <c r="B1264" s="484" t="s">
        <v>89</v>
      </c>
      <c r="C1264" s="484">
        <v>176</v>
      </c>
      <c r="D1264" s="484" t="s">
        <v>15</v>
      </c>
      <c r="E1264" s="484">
        <v>6100404</v>
      </c>
      <c r="F1264" s="484">
        <v>244</v>
      </c>
      <c r="G1264" s="81">
        <f>K1264</f>
        <v>2.6</v>
      </c>
      <c r="H1264" s="81"/>
      <c r="I1264" s="81"/>
      <c r="J1264" s="81"/>
      <c r="K1264" s="81">
        <v>2.6</v>
      </c>
      <c r="L1264" s="81"/>
      <c r="M1264" s="580"/>
      <c r="N1264" s="484"/>
      <c r="O1264" s="944" t="s">
        <v>1123</v>
      </c>
      <c r="AZ1264" s="43"/>
      <c r="BA1264" s="43"/>
      <c r="BB1264" s="43"/>
      <c r="BC1264" s="43"/>
      <c r="BD1264" s="43"/>
      <c r="BE1264" s="43"/>
      <c r="BF1264" s="43"/>
      <c r="BG1264" s="43"/>
      <c r="BH1264" s="43"/>
      <c r="BI1264" s="43"/>
    </row>
    <row r="1265" spans="1:61" ht="27" customHeight="1">
      <c r="A1265" s="949"/>
      <c r="B1265" s="484" t="s">
        <v>246</v>
      </c>
      <c r="C1265" s="484"/>
      <c r="D1265" s="484"/>
      <c r="E1265" s="484"/>
      <c r="F1265" s="484"/>
      <c r="G1265" s="81">
        <f>K1265</f>
        <v>36800</v>
      </c>
      <c r="H1265" s="81"/>
      <c r="I1265" s="81"/>
      <c r="J1265" s="81"/>
      <c r="K1265" s="81">
        <v>36800</v>
      </c>
      <c r="L1265" s="81"/>
      <c r="M1265" s="580">
        <v>15000</v>
      </c>
      <c r="N1265" s="484"/>
      <c r="O1265" s="944"/>
      <c r="AZ1265" s="43"/>
      <c r="BA1265" s="43"/>
      <c r="BB1265" s="43"/>
      <c r="BC1265" s="43"/>
      <c r="BD1265" s="43"/>
      <c r="BE1265" s="43"/>
      <c r="BF1265" s="43"/>
      <c r="BG1265" s="43"/>
      <c r="BH1265" s="43"/>
      <c r="BI1265" s="43"/>
    </row>
    <row r="1266" spans="1:61" ht="22.9" customHeight="1">
      <c r="A1266" s="949" t="s">
        <v>853</v>
      </c>
      <c r="B1266" s="484" t="s">
        <v>89</v>
      </c>
      <c r="C1266" s="484">
        <v>176</v>
      </c>
      <c r="D1266" s="484" t="s">
        <v>15</v>
      </c>
      <c r="E1266" s="484">
        <v>6100404</v>
      </c>
      <c r="F1266" s="484">
        <v>244</v>
      </c>
      <c r="G1266" s="81">
        <f>K1266</f>
        <v>1.4</v>
      </c>
      <c r="H1266" s="81"/>
      <c r="I1266" s="81"/>
      <c r="J1266" s="81"/>
      <c r="K1266" s="81">
        <v>1.4</v>
      </c>
      <c r="L1266" s="81"/>
      <c r="M1266" s="580">
        <v>1</v>
      </c>
      <c r="N1266" s="484"/>
      <c r="O1266" s="944" t="s">
        <v>1030</v>
      </c>
      <c r="AZ1266" s="43"/>
      <c r="BA1266" s="43"/>
      <c r="BB1266" s="43"/>
      <c r="BC1266" s="43"/>
      <c r="BD1266" s="43"/>
      <c r="BE1266" s="43"/>
      <c r="BF1266" s="43"/>
      <c r="BG1266" s="43"/>
      <c r="BH1266" s="43"/>
      <c r="BI1266" s="43"/>
    </row>
    <row r="1267" spans="1:61" ht="24.6" customHeight="1">
      <c r="A1267" s="949"/>
      <c r="B1267" s="484" t="s">
        <v>246</v>
      </c>
      <c r="C1267" s="484"/>
      <c r="D1267" s="484"/>
      <c r="E1267" s="484"/>
      <c r="F1267" s="484"/>
      <c r="G1267" s="81">
        <f>K1267</f>
        <v>16541.400000000001</v>
      </c>
      <c r="H1267" s="81"/>
      <c r="I1267" s="81"/>
      <c r="J1267" s="81"/>
      <c r="K1267" s="81">
        <v>16541.400000000001</v>
      </c>
      <c r="L1267" s="81"/>
      <c r="M1267" s="580">
        <v>14310.2</v>
      </c>
      <c r="N1267" s="484"/>
      <c r="O1267" s="944"/>
      <c r="AZ1267" s="43"/>
      <c r="BA1267" s="43"/>
      <c r="BB1267" s="43"/>
      <c r="BC1267" s="43"/>
      <c r="BD1267" s="43"/>
      <c r="BE1267" s="43"/>
      <c r="BF1267" s="43"/>
      <c r="BG1267" s="43"/>
      <c r="BH1267" s="43"/>
      <c r="BI1267" s="43"/>
    </row>
    <row r="1268" spans="1:61" ht="24.6" customHeight="1">
      <c r="A1268" s="1025" t="s">
        <v>138</v>
      </c>
      <c r="B1268" s="57" t="s">
        <v>89</v>
      </c>
      <c r="C1268" s="484"/>
      <c r="D1268" s="484"/>
      <c r="E1268" s="484"/>
      <c r="F1268" s="484"/>
      <c r="G1268" s="80">
        <f>G1274+G1276</f>
        <v>1.9</v>
      </c>
      <c r="H1268" s="80">
        <f t="shared" ref="H1268:M1268" si="411">H1274+H1276</f>
        <v>0</v>
      </c>
      <c r="I1268" s="80">
        <f t="shared" si="411"/>
        <v>0</v>
      </c>
      <c r="J1268" s="80">
        <f t="shared" si="411"/>
        <v>0</v>
      </c>
      <c r="K1268" s="80">
        <f t="shared" si="411"/>
        <v>1.9</v>
      </c>
      <c r="L1268" s="80">
        <f t="shared" si="411"/>
        <v>0</v>
      </c>
      <c r="M1268" s="439">
        <f t="shared" si="411"/>
        <v>1.2</v>
      </c>
      <c r="N1268" s="484"/>
      <c r="O1268" s="484"/>
      <c r="AZ1268" s="43"/>
      <c r="BA1268" s="43"/>
      <c r="BB1268" s="43"/>
      <c r="BC1268" s="43"/>
      <c r="BD1268" s="43"/>
      <c r="BE1268" s="43"/>
      <c r="BF1268" s="43"/>
      <c r="BG1268" s="43"/>
      <c r="BH1268" s="43"/>
      <c r="BI1268" s="43"/>
    </row>
    <row r="1269" spans="1:61" ht="24.6" customHeight="1">
      <c r="A1269" s="1026"/>
      <c r="B1269" s="320" t="s">
        <v>246</v>
      </c>
      <c r="C1269" s="481"/>
      <c r="D1269" s="481"/>
      <c r="E1269" s="481"/>
      <c r="F1269" s="481"/>
      <c r="G1269" s="263">
        <f>G1271+G1273+G1275+G1277</f>
        <v>32747.599999999999</v>
      </c>
      <c r="H1269" s="263">
        <f t="shared" ref="H1269:M1269" si="412">H1271+H1273+H1275+H1277</f>
        <v>0</v>
      </c>
      <c r="I1269" s="263">
        <f t="shared" si="412"/>
        <v>0</v>
      </c>
      <c r="J1269" s="263">
        <f t="shared" si="412"/>
        <v>0</v>
      </c>
      <c r="K1269" s="263">
        <f t="shared" si="412"/>
        <v>32747.599999999999</v>
      </c>
      <c r="L1269" s="263">
        <f t="shared" si="412"/>
        <v>5027</v>
      </c>
      <c r="M1269" s="263">
        <f t="shared" si="412"/>
        <v>102435.3</v>
      </c>
      <c r="N1269" s="481"/>
      <c r="O1269" s="484"/>
      <c r="P1269" s="267"/>
      <c r="Q1269" s="267"/>
      <c r="R1269" s="267"/>
      <c r="S1269" s="267"/>
      <c r="T1269" s="267"/>
      <c r="U1269" s="267"/>
      <c r="V1269" s="267"/>
      <c r="W1269" s="267"/>
      <c r="X1269" s="267"/>
      <c r="Y1269" s="267"/>
      <c r="Z1269" s="267"/>
      <c r="AA1269" s="267"/>
      <c r="AB1269" s="267"/>
      <c r="AC1269" s="267"/>
      <c r="AD1269" s="267"/>
      <c r="AE1269" s="267"/>
      <c r="AF1269" s="267"/>
      <c r="AG1269" s="267"/>
      <c r="AH1269" s="267"/>
      <c r="AI1269" s="267"/>
      <c r="AZ1269" s="43"/>
      <c r="BA1269" s="43"/>
      <c r="BB1269" s="43"/>
      <c r="BC1269" s="43"/>
      <c r="BD1269" s="43"/>
      <c r="BE1269" s="43"/>
      <c r="BF1269" s="43"/>
      <c r="BG1269" s="43"/>
      <c r="BH1269" s="43"/>
      <c r="BI1269" s="43"/>
    </row>
    <row r="1270" spans="1:61" s="50" customFormat="1" ht="24.6" customHeight="1">
      <c r="A1270" s="1028" t="s">
        <v>1116</v>
      </c>
      <c r="B1270" s="667" t="s">
        <v>89</v>
      </c>
      <c r="C1270" s="667"/>
      <c r="D1270" s="667"/>
      <c r="E1270" s="667"/>
      <c r="F1270" s="667"/>
      <c r="G1270" s="81">
        <f t="shared" ref="G1270:G1277" si="413">K1270</f>
        <v>0</v>
      </c>
      <c r="H1270" s="81"/>
      <c r="I1270" s="81"/>
      <c r="J1270" s="81"/>
      <c r="K1270" s="81">
        <v>0</v>
      </c>
      <c r="L1270" s="81"/>
      <c r="M1270" s="580"/>
      <c r="N1270" s="667"/>
      <c r="O1270" s="933" t="s">
        <v>856</v>
      </c>
      <c r="P1270" s="267"/>
      <c r="Q1270" s="267"/>
      <c r="R1270" s="267"/>
      <c r="S1270" s="267"/>
      <c r="T1270" s="267"/>
      <c r="U1270" s="267"/>
      <c r="V1270" s="267"/>
      <c r="W1270" s="267"/>
      <c r="X1270" s="267"/>
      <c r="Y1270" s="267"/>
      <c r="Z1270" s="267"/>
      <c r="AA1270" s="267"/>
      <c r="AB1270" s="267"/>
      <c r="AC1270" s="267"/>
      <c r="AD1270" s="267"/>
      <c r="AE1270" s="267"/>
      <c r="AF1270" s="267"/>
      <c r="AG1270" s="267"/>
      <c r="AH1270" s="267"/>
      <c r="AI1270" s="267"/>
      <c r="AJ1270" s="267"/>
      <c r="AK1270" s="267"/>
      <c r="AL1270" s="267"/>
      <c r="AM1270" s="267"/>
      <c r="AN1270" s="267"/>
      <c r="AO1270" s="267"/>
      <c r="AP1270" s="267"/>
      <c r="AQ1270" s="267"/>
      <c r="AR1270" s="267"/>
      <c r="AS1270" s="267"/>
      <c r="AT1270" s="267"/>
      <c r="AU1270" s="267"/>
      <c r="AV1270" s="267"/>
      <c r="AW1270" s="267"/>
      <c r="AX1270" s="267"/>
      <c r="AY1270" s="266"/>
    </row>
    <row r="1271" spans="1:61" s="50" customFormat="1" ht="24.6" customHeight="1">
      <c r="A1271" s="1029"/>
      <c r="B1271" s="667" t="s">
        <v>246</v>
      </c>
      <c r="C1271" s="667"/>
      <c r="D1271" s="667"/>
      <c r="E1271" s="667"/>
      <c r="F1271" s="667"/>
      <c r="G1271" s="81">
        <f t="shared" si="413"/>
        <v>4485</v>
      </c>
      <c r="H1271" s="81"/>
      <c r="I1271" s="81"/>
      <c r="J1271" s="81"/>
      <c r="K1271" s="81">
        <v>4485</v>
      </c>
      <c r="L1271" s="81"/>
      <c r="M1271" s="580">
        <f>90000-5000</f>
        <v>85000</v>
      </c>
      <c r="N1271" s="667"/>
      <c r="O1271" s="934"/>
      <c r="P1271" s="267"/>
      <c r="Q1271" s="267"/>
      <c r="R1271" s="267"/>
      <c r="S1271" s="267"/>
      <c r="T1271" s="267"/>
      <c r="U1271" s="267"/>
      <c r="V1271" s="267"/>
      <c r="W1271" s="267"/>
      <c r="X1271" s="267"/>
      <c r="Y1271" s="267"/>
      <c r="Z1271" s="267"/>
      <c r="AA1271" s="267"/>
      <c r="AB1271" s="267"/>
      <c r="AC1271" s="267"/>
      <c r="AD1271" s="267"/>
      <c r="AE1271" s="267"/>
      <c r="AF1271" s="267"/>
      <c r="AG1271" s="267"/>
      <c r="AH1271" s="267"/>
      <c r="AI1271" s="267"/>
      <c r="AJ1271" s="267"/>
      <c r="AK1271" s="267"/>
      <c r="AL1271" s="267"/>
      <c r="AM1271" s="267"/>
      <c r="AN1271" s="267"/>
      <c r="AO1271" s="267"/>
      <c r="AP1271" s="267"/>
      <c r="AQ1271" s="267"/>
      <c r="AR1271" s="267"/>
      <c r="AS1271" s="267"/>
      <c r="AT1271" s="267"/>
      <c r="AU1271" s="267"/>
      <c r="AV1271" s="267"/>
      <c r="AW1271" s="267"/>
      <c r="AX1271" s="267"/>
      <c r="AY1271" s="266"/>
    </row>
    <row r="1272" spans="1:61" s="50" customFormat="1" ht="24.6" customHeight="1">
      <c r="A1272" s="1028" t="s">
        <v>1110</v>
      </c>
      <c r="B1272" s="802" t="s">
        <v>89</v>
      </c>
      <c r="C1272" s="802"/>
      <c r="D1272" s="802"/>
      <c r="E1272" s="802"/>
      <c r="F1272" s="802"/>
      <c r="G1272" s="81">
        <f t="shared" ref="G1272:G1273" si="414">K1272</f>
        <v>0</v>
      </c>
      <c r="H1272" s="81"/>
      <c r="I1272" s="81"/>
      <c r="J1272" s="81"/>
      <c r="K1272" s="81"/>
      <c r="L1272" s="81"/>
      <c r="M1272" s="580"/>
      <c r="N1272" s="802"/>
      <c r="O1272" s="933" t="s">
        <v>856</v>
      </c>
      <c r="P1272" s="267"/>
      <c r="Q1272" s="267"/>
      <c r="R1272" s="267"/>
      <c r="S1272" s="267"/>
      <c r="T1272" s="267"/>
      <c r="U1272" s="267"/>
      <c r="V1272" s="267"/>
      <c r="W1272" s="267"/>
      <c r="X1272" s="267"/>
      <c r="Y1272" s="267"/>
      <c r="Z1272" s="267"/>
      <c r="AA1272" s="267"/>
      <c r="AB1272" s="267"/>
      <c r="AC1272" s="267"/>
      <c r="AD1272" s="267"/>
      <c r="AE1272" s="267"/>
      <c r="AF1272" s="267"/>
      <c r="AG1272" s="267"/>
      <c r="AH1272" s="267"/>
      <c r="AI1272" s="267"/>
      <c r="AJ1272" s="267"/>
      <c r="AK1272" s="267"/>
      <c r="AL1272" s="267"/>
      <c r="AM1272" s="267"/>
      <c r="AN1272" s="267"/>
      <c r="AO1272" s="267"/>
      <c r="AP1272" s="267"/>
      <c r="AQ1272" s="267"/>
      <c r="AR1272" s="267"/>
      <c r="AS1272" s="267"/>
      <c r="AT1272" s="267"/>
      <c r="AU1272" s="267"/>
      <c r="AV1272" s="267"/>
      <c r="AW1272" s="267"/>
      <c r="AX1272" s="267"/>
      <c r="AY1272" s="266"/>
    </row>
    <row r="1273" spans="1:61" s="50" customFormat="1" ht="24.6" customHeight="1">
      <c r="A1273" s="1029"/>
      <c r="B1273" s="802" t="s">
        <v>246</v>
      </c>
      <c r="C1273" s="802"/>
      <c r="D1273" s="802"/>
      <c r="E1273" s="802"/>
      <c r="F1273" s="802"/>
      <c r="G1273" s="81">
        <f t="shared" si="414"/>
        <v>1000</v>
      </c>
      <c r="H1273" s="81"/>
      <c r="I1273" s="81"/>
      <c r="J1273" s="81"/>
      <c r="K1273" s="81">
        <v>1000</v>
      </c>
      <c r="L1273" s="81"/>
      <c r="M1273" s="580"/>
      <c r="N1273" s="802"/>
      <c r="O1273" s="934"/>
      <c r="P1273" s="267"/>
      <c r="Q1273" s="267"/>
      <c r="R1273" s="267"/>
      <c r="S1273" s="267"/>
      <c r="T1273" s="267"/>
      <c r="U1273" s="267"/>
      <c r="V1273" s="267"/>
      <c r="W1273" s="267"/>
      <c r="X1273" s="267"/>
      <c r="Y1273" s="267"/>
      <c r="Z1273" s="267"/>
      <c r="AA1273" s="267"/>
      <c r="AB1273" s="267"/>
      <c r="AC1273" s="267"/>
      <c r="AD1273" s="267"/>
      <c r="AE1273" s="267"/>
      <c r="AF1273" s="267"/>
      <c r="AG1273" s="267"/>
      <c r="AH1273" s="267"/>
      <c r="AI1273" s="267"/>
      <c r="AJ1273" s="267"/>
      <c r="AK1273" s="267"/>
      <c r="AL1273" s="267"/>
      <c r="AM1273" s="267"/>
      <c r="AN1273" s="267"/>
      <c r="AO1273" s="267"/>
      <c r="AP1273" s="267"/>
      <c r="AQ1273" s="267"/>
      <c r="AR1273" s="267"/>
      <c r="AS1273" s="267"/>
      <c r="AT1273" s="267"/>
      <c r="AU1273" s="267"/>
      <c r="AV1273" s="267"/>
      <c r="AW1273" s="267"/>
      <c r="AX1273" s="267"/>
      <c r="AY1273" s="266"/>
    </row>
    <row r="1274" spans="1:61" s="50" customFormat="1" ht="24.6" customHeight="1">
      <c r="A1274" s="1028" t="s">
        <v>1124</v>
      </c>
      <c r="B1274" s="667" t="s">
        <v>89</v>
      </c>
      <c r="C1274" s="667"/>
      <c r="D1274" s="667"/>
      <c r="E1274" s="667"/>
      <c r="F1274" s="667"/>
      <c r="G1274" s="81">
        <f t="shared" si="413"/>
        <v>0.2</v>
      </c>
      <c r="H1274" s="81"/>
      <c r="I1274" s="81"/>
      <c r="J1274" s="81"/>
      <c r="K1274" s="81">
        <v>0.2</v>
      </c>
      <c r="L1274" s="81"/>
      <c r="M1274" s="580"/>
      <c r="N1274" s="667"/>
      <c r="O1274" s="933" t="s">
        <v>1125</v>
      </c>
      <c r="P1274" s="267"/>
      <c r="Q1274" s="267"/>
      <c r="R1274" s="267"/>
      <c r="S1274" s="267"/>
      <c r="T1274" s="267"/>
      <c r="U1274" s="267"/>
      <c r="V1274" s="267"/>
      <c r="W1274" s="267"/>
      <c r="X1274" s="267"/>
      <c r="Y1274" s="267"/>
      <c r="Z1274" s="267"/>
      <c r="AA1274" s="267"/>
      <c r="AB1274" s="267"/>
      <c r="AC1274" s="267"/>
      <c r="AD1274" s="267"/>
      <c r="AE1274" s="267"/>
      <c r="AF1274" s="267"/>
      <c r="AG1274" s="267"/>
      <c r="AH1274" s="267"/>
      <c r="AI1274" s="267"/>
      <c r="AJ1274" s="267"/>
      <c r="AK1274" s="267"/>
      <c r="AL1274" s="267"/>
      <c r="AM1274" s="267"/>
      <c r="AN1274" s="267"/>
      <c r="AO1274" s="267"/>
      <c r="AP1274" s="267"/>
      <c r="AQ1274" s="267"/>
      <c r="AR1274" s="267"/>
      <c r="AS1274" s="267"/>
      <c r="AT1274" s="267"/>
      <c r="AU1274" s="267"/>
      <c r="AV1274" s="267"/>
      <c r="AW1274" s="267"/>
      <c r="AX1274" s="267"/>
      <c r="AY1274" s="266"/>
    </row>
    <row r="1275" spans="1:61" s="50" customFormat="1" ht="24.6" customHeight="1">
      <c r="A1275" s="1029"/>
      <c r="B1275" s="667" t="s">
        <v>246</v>
      </c>
      <c r="C1275" s="667"/>
      <c r="D1275" s="667"/>
      <c r="E1275" s="667"/>
      <c r="F1275" s="667"/>
      <c r="G1275" s="81">
        <f t="shared" si="413"/>
        <v>7000</v>
      </c>
      <c r="H1275" s="81"/>
      <c r="I1275" s="81"/>
      <c r="J1275" s="81"/>
      <c r="K1275" s="81">
        <v>7000</v>
      </c>
      <c r="L1275" s="81"/>
      <c r="M1275" s="580"/>
      <c r="N1275" s="667"/>
      <c r="O1275" s="934"/>
      <c r="P1275" s="267"/>
      <c r="Q1275" s="267"/>
      <c r="R1275" s="267"/>
      <c r="S1275" s="267"/>
      <c r="T1275" s="267"/>
      <c r="U1275" s="267"/>
      <c r="V1275" s="267"/>
      <c r="W1275" s="267"/>
      <c r="X1275" s="267"/>
      <c r="Y1275" s="267"/>
      <c r="Z1275" s="267"/>
      <c r="AA1275" s="267"/>
      <c r="AB1275" s="267"/>
      <c r="AC1275" s="267"/>
      <c r="AD1275" s="267"/>
      <c r="AE1275" s="267"/>
      <c r="AF1275" s="267"/>
      <c r="AG1275" s="267"/>
      <c r="AH1275" s="267"/>
      <c r="AI1275" s="267"/>
      <c r="AJ1275" s="267"/>
      <c r="AK1275" s="267"/>
      <c r="AL1275" s="267"/>
      <c r="AM1275" s="267"/>
      <c r="AN1275" s="267"/>
      <c r="AO1275" s="267"/>
      <c r="AP1275" s="267"/>
      <c r="AQ1275" s="267"/>
      <c r="AR1275" s="267"/>
      <c r="AS1275" s="267"/>
      <c r="AT1275" s="267"/>
      <c r="AU1275" s="267"/>
      <c r="AV1275" s="267"/>
      <c r="AW1275" s="267"/>
      <c r="AX1275" s="267"/>
      <c r="AY1275" s="266"/>
    </row>
    <row r="1276" spans="1:61" s="50" customFormat="1" ht="24.6" customHeight="1">
      <c r="A1276" s="1028" t="s">
        <v>853</v>
      </c>
      <c r="B1276" s="484" t="s">
        <v>89</v>
      </c>
      <c r="C1276" s="484"/>
      <c r="D1276" s="484"/>
      <c r="E1276" s="484"/>
      <c r="F1276" s="484"/>
      <c r="G1276" s="81">
        <f t="shared" si="413"/>
        <v>1.7</v>
      </c>
      <c r="H1276" s="81"/>
      <c r="I1276" s="81"/>
      <c r="J1276" s="81"/>
      <c r="K1276" s="81">
        <v>1.7</v>
      </c>
      <c r="L1276" s="81"/>
      <c r="M1276" s="580">
        <v>1.2</v>
      </c>
      <c r="N1276" s="484"/>
      <c r="O1276" s="944" t="s">
        <v>1031</v>
      </c>
      <c r="P1276" s="267"/>
      <c r="Q1276" s="267"/>
      <c r="R1276" s="267"/>
      <c r="S1276" s="267"/>
      <c r="T1276" s="267"/>
      <c r="U1276" s="267"/>
      <c r="V1276" s="267"/>
      <c r="W1276" s="267"/>
      <c r="X1276" s="267"/>
      <c r="Y1276" s="267"/>
      <c r="Z1276" s="267"/>
      <c r="AA1276" s="267"/>
      <c r="AB1276" s="267"/>
      <c r="AC1276" s="267"/>
      <c r="AD1276" s="267"/>
      <c r="AE1276" s="267"/>
      <c r="AF1276" s="267"/>
      <c r="AG1276" s="267"/>
      <c r="AH1276" s="267"/>
      <c r="AI1276" s="267"/>
      <c r="AJ1276" s="267"/>
      <c r="AK1276" s="267"/>
      <c r="AL1276" s="267"/>
      <c r="AM1276" s="267"/>
      <c r="AN1276" s="267"/>
      <c r="AO1276" s="267"/>
      <c r="AP1276" s="267"/>
      <c r="AQ1276" s="267"/>
      <c r="AR1276" s="267"/>
      <c r="AS1276" s="267"/>
      <c r="AT1276" s="267"/>
      <c r="AU1276" s="267"/>
      <c r="AV1276" s="267"/>
      <c r="AW1276" s="267"/>
      <c r="AX1276" s="267"/>
      <c r="AY1276" s="266"/>
    </row>
    <row r="1277" spans="1:61" s="50" customFormat="1" ht="27.75" customHeight="1">
      <c r="A1277" s="1029"/>
      <c r="B1277" s="484" t="s">
        <v>246</v>
      </c>
      <c r="C1277" s="57"/>
      <c r="D1277" s="57"/>
      <c r="E1277" s="57"/>
      <c r="F1277" s="57"/>
      <c r="G1277" s="81">
        <f t="shared" si="413"/>
        <v>20262.599999999999</v>
      </c>
      <c r="H1277" s="81"/>
      <c r="I1277" s="81"/>
      <c r="J1277" s="81"/>
      <c r="K1277" s="81">
        <v>20262.599999999999</v>
      </c>
      <c r="L1277" s="81">
        <f>21000+3024-21000+2003</f>
        <v>5027</v>
      </c>
      <c r="M1277" s="580">
        <v>17435.3</v>
      </c>
      <c r="N1277" s="484"/>
      <c r="O1277" s="944"/>
      <c r="P1277" s="267"/>
      <c r="Q1277" s="267"/>
      <c r="R1277" s="267"/>
      <c r="S1277" s="267"/>
      <c r="T1277" s="267"/>
      <c r="U1277" s="267"/>
      <c r="V1277" s="267"/>
      <c r="W1277" s="267"/>
      <c r="X1277" s="267"/>
      <c r="Y1277" s="267"/>
      <c r="Z1277" s="267"/>
      <c r="AA1277" s="267"/>
      <c r="AB1277" s="267"/>
      <c r="AC1277" s="267"/>
      <c r="AD1277" s="267"/>
      <c r="AE1277" s="267"/>
      <c r="AF1277" s="267"/>
      <c r="AG1277" s="267"/>
      <c r="AH1277" s="267"/>
      <c r="AI1277" s="267"/>
      <c r="AJ1277" s="267"/>
      <c r="AK1277" s="267"/>
      <c r="AL1277" s="267"/>
      <c r="AM1277" s="267"/>
      <c r="AN1277" s="267"/>
      <c r="AO1277" s="267"/>
      <c r="AP1277" s="267"/>
      <c r="AQ1277" s="267"/>
      <c r="AR1277" s="267"/>
      <c r="AS1277" s="267"/>
      <c r="AT1277" s="267"/>
      <c r="AU1277" s="267"/>
      <c r="AV1277" s="267"/>
      <c r="AW1277" s="267"/>
      <c r="AX1277" s="267"/>
      <c r="AY1277" s="266"/>
    </row>
    <row r="1278" spans="1:61" ht="27" customHeight="1">
      <c r="A1278" s="1025" t="s">
        <v>794</v>
      </c>
      <c r="B1278" s="57" t="s">
        <v>89</v>
      </c>
      <c r="C1278" s="78"/>
      <c r="D1278" s="78"/>
      <c r="E1278" s="78"/>
      <c r="F1278" s="78"/>
      <c r="G1278" s="86">
        <f>G1282+G1286</f>
        <v>1.3</v>
      </c>
      <c r="H1278" s="86">
        <f t="shared" ref="H1278:M1278" si="415">H1282+H1286</f>
        <v>0</v>
      </c>
      <c r="I1278" s="86">
        <f t="shared" si="415"/>
        <v>0</v>
      </c>
      <c r="J1278" s="86">
        <f t="shared" si="415"/>
        <v>0</v>
      </c>
      <c r="K1278" s="86">
        <f t="shared" si="415"/>
        <v>1.3</v>
      </c>
      <c r="L1278" s="86">
        <f t="shared" si="415"/>
        <v>0</v>
      </c>
      <c r="M1278" s="86">
        <f t="shared" si="415"/>
        <v>1</v>
      </c>
      <c r="N1278" s="482"/>
      <c r="O1278" s="78"/>
    </row>
    <row r="1279" spans="1:61" ht="27" customHeight="1">
      <c r="A1279" s="1026"/>
      <c r="B1279" s="57" t="s">
        <v>25</v>
      </c>
      <c r="C1279" s="78"/>
      <c r="D1279" s="78"/>
      <c r="E1279" s="78"/>
      <c r="F1279" s="78"/>
      <c r="G1279" s="86">
        <f>G1280+G1281</f>
        <v>15681</v>
      </c>
      <c r="H1279" s="86">
        <f t="shared" ref="H1279:M1279" si="416">H1280+H1281</f>
        <v>0</v>
      </c>
      <c r="I1279" s="86">
        <f t="shared" si="416"/>
        <v>0</v>
      </c>
      <c r="J1279" s="86">
        <f t="shared" si="416"/>
        <v>0</v>
      </c>
      <c r="K1279" s="86">
        <f t="shared" si="416"/>
        <v>15681</v>
      </c>
      <c r="L1279" s="86">
        <f t="shared" si="416"/>
        <v>0</v>
      </c>
      <c r="M1279" s="584">
        <f t="shared" si="416"/>
        <v>43588.3</v>
      </c>
      <c r="N1279" s="482"/>
      <c r="O1279" s="78"/>
    </row>
    <row r="1280" spans="1:61" ht="27" customHeight="1">
      <c r="A1280" s="1026"/>
      <c r="B1280" s="57" t="s">
        <v>10</v>
      </c>
      <c r="C1280" s="78"/>
      <c r="D1280" s="78"/>
      <c r="E1280" s="78"/>
      <c r="F1280" s="78"/>
      <c r="G1280" s="86">
        <f>G1284+G1287</f>
        <v>15681</v>
      </c>
      <c r="H1280" s="86">
        <f t="shared" ref="H1280:M1280" si="417">H1284+H1287</f>
        <v>0</v>
      </c>
      <c r="I1280" s="86">
        <f t="shared" si="417"/>
        <v>0</v>
      </c>
      <c r="J1280" s="86">
        <f t="shared" si="417"/>
        <v>0</v>
      </c>
      <c r="K1280" s="86">
        <f t="shared" si="417"/>
        <v>15681</v>
      </c>
      <c r="L1280" s="86">
        <f t="shared" si="417"/>
        <v>0</v>
      </c>
      <c r="M1280" s="86">
        <f t="shared" si="417"/>
        <v>43588.3</v>
      </c>
      <c r="N1280" s="482"/>
      <c r="O1280" s="78"/>
    </row>
    <row r="1281" spans="1:61" s="44" customFormat="1" ht="27.6" hidden="1" customHeight="1">
      <c r="A1281" s="1027"/>
      <c r="B1281" s="57" t="s">
        <v>495</v>
      </c>
      <c r="C1281" s="57"/>
      <c r="D1281" s="57"/>
      <c r="E1281" s="57"/>
      <c r="F1281" s="57"/>
      <c r="G1281" s="80">
        <f>G1285</f>
        <v>0</v>
      </c>
      <c r="H1281" s="80">
        <f t="shared" ref="H1281:M1281" si="418">H1285</f>
        <v>0</v>
      </c>
      <c r="I1281" s="80">
        <f t="shared" si="418"/>
        <v>0</v>
      </c>
      <c r="J1281" s="80">
        <f t="shared" si="418"/>
        <v>0</v>
      </c>
      <c r="K1281" s="80">
        <f t="shared" si="418"/>
        <v>0</v>
      </c>
      <c r="L1281" s="80">
        <f t="shared" si="418"/>
        <v>0</v>
      </c>
      <c r="M1281" s="439">
        <f t="shared" si="418"/>
        <v>0</v>
      </c>
      <c r="N1281" s="484"/>
      <c r="O1281" s="57"/>
      <c r="AJ1281" s="91"/>
      <c r="AK1281" s="91"/>
      <c r="AL1281" s="91"/>
      <c r="AM1281" s="91"/>
      <c r="AN1281" s="91"/>
      <c r="AO1281" s="91"/>
      <c r="AP1281" s="91"/>
      <c r="AQ1281" s="91"/>
      <c r="AR1281" s="91"/>
      <c r="AS1281" s="91"/>
      <c r="AT1281" s="91"/>
      <c r="AU1281" s="91"/>
      <c r="AV1281" s="91"/>
      <c r="AW1281" s="91"/>
      <c r="AX1281" s="91"/>
      <c r="AY1281" s="91"/>
      <c r="AZ1281" s="91"/>
      <c r="BA1281" s="91"/>
      <c r="BB1281" s="91"/>
      <c r="BC1281" s="91"/>
      <c r="BD1281" s="91"/>
      <c r="BE1281" s="91"/>
      <c r="BF1281" s="91"/>
      <c r="BG1281" s="91"/>
      <c r="BH1281" s="91"/>
      <c r="BI1281" s="91"/>
    </row>
    <row r="1282" spans="1:61" s="44" customFormat="1" ht="24.6" customHeight="1">
      <c r="A1282" s="932" t="s">
        <v>225</v>
      </c>
      <c r="B1282" s="484" t="s">
        <v>89</v>
      </c>
      <c r="C1282" s="484">
        <v>176</v>
      </c>
      <c r="D1282" s="484" t="s">
        <v>15</v>
      </c>
      <c r="E1282" s="484">
        <v>6100404</v>
      </c>
      <c r="F1282" s="484">
        <v>244</v>
      </c>
      <c r="G1282" s="81">
        <f>K1282</f>
        <v>0</v>
      </c>
      <c r="H1282" s="81"/>
      <c r="I1282" s="81"/>
      <c r="J1282" s="81"/>
      <c r="K1282" s="81"/>
      <c r="L1282" s="81"/>
      <c r="M1282" s="580"/>
      <c r="N1282" s="484"/>
      <c r="O1282" s="944" t="s">
        <v>855</v>
      </c>
      <c r="AJ1282" s="91"/>
      <c r="AK1282" s="91"/>
      <c r="AL1282" s="91"/>
      <c r="AM1282" s="91"/>
      <c r="AN1282" s="91"/>
      <c r="AO1282" s="91"/>
      <c r="AP1282" s="91"/>
      <c r="AQ1282" s="91"/>
      <c r="AR1282" s="91"/>
      <c r="AS1282" s="91"/>
      <c r="AT1282" s="91"/>
      <c r="AU1282" s="91"/>
      <c r="AV1282" s="91"/>
      <c r="AW1282" s="91"/>
      <c r="AX1282" s="91"/>
      <c r="AY1282" s="91"/>
      <c r="AZ1282" s="91"/>
      <c r="BA1282" s="91"/>
      <c r="BB1282" s="91"/>
      <c r="BC1282" s="91"/>
      <c r="BD1282" s="91"/>
      <c r="BE1282" s="91"/>
      <c r="BF1282" s="91"/>
      <c r="BG1282" s="91"/>
      <c r="BH1282" s="91"/>
      <c r="BI1282" s="91"/>
    </row>
    <row r="1283" spans="1:61" s="44" customFormat="1" ht="24.6" customHeight="1">
      <c r="A1283" s="932"/>
      <c r="B1283" s="484" t="s">
        <v>25</v>
      </c>
      <c r="C1283" s="484"/>
      <c r="D1283" s="484"/>
      <c r="E1283" s="484"/>
      <c r="F1283" s="484"/>
      <c r="G1283" s="81">
        <f t="shared" ref="G1283:G1285" si="419">K1283</f>
        <v>0</v>
      </c>
      <c r="H1283" s="81"/>
      <c r="I1283" s="81"/>
      <c r="J1283" s="81"/>
      <c r="K1283" s="81">
        <f>K1284+K1285</f>
        <v>0</v>
      </c>
      <c r="L1283" s="81">
        <f t="shared" ref="L1283:M1283" si="420">L1284+L1285</f>
        <v>0</v>
      </c>
      <c r="M1283" s="580">
        <f t="shared" si="420"/>
        <v>30000</v>
      </c>
      <c r="N1283" s="484"/>
      <c r="O1283" s="944"/>
      <c r="AJ1283" s="91"/>
      <c r="AK1283" s="91"/>
      <c r="AL1283" s="91"/>
      <c r="AM1283" s="91"/>
      <c r="AN1283" s="91"/>
      <c r="AO1283" s="91"/>
      <c r="AP1283" s="91"/>
      <c r="AQ1283" s="91"/>
      <c r="AR1283" s="91"/>
      <c r="AS1283" s="91"/>
      <c r="AT1283" s="91"/>
      <c r="AU1283" s="91"/>
      <c r="AV1283" s="91"/>
      <c r="AW1283" s="91"/>
      <c r="AX1283" s="91"/>
      <c r="AY1283" s="91"/>
      <c r="AZ1283" s="91"/>
      <c r="BA1283" s="91"/>
      <c r="BB1283" s="91"/>
      <c r="BC1283" s="91"/>
      <c r="BD1283" s="91"/>
      <c r="BE1283" s="91"/>
      <c r="BF1283" s="91"/>
      <c r="BG1283" s="91"/>
      <c r="BH1283" s="91"/>
      <c r="BI1283" s="91"/>
    </row>
    <row r="1284" spans="1:61" s="44" customFormat="1" ht="24.6" customHeight="1">
      <c r="A1284" s="932"/>
      <c r="B1284" s="484" t="s">
        <v>10</v>
      </c>
      <c r="C1284" s="484"/>
      <c r="D1284" s="484"/>
      <c r="E1284" s="484"/>
      <c r="F1284" s="484"/>
      <c r="G1284" s="81">
        <f t="shared" si="419"/>
        <v>0</v>
      </c>
      <c r="H1284" s="81"/>
      <c r="I1284" s="81"/>
      <c r="J1284" s="81"/>
      <c r="K1284" s="81">
        <v>0</v>
      </c>
      <c r="L1284" s="81"/>
      <c r="M1284" s="580">
        <v>30000</v>
      </c>
      <c r="N1284" s="484"/>
      <c r="O1284" s="944"/>
      <c r="AJ1284" s="91"/>
      <c r="AK1284" s="91"/>
      <c r="AL1284" s="91"/>
      <c r="AM1284" s="91"/>
      <c r="AN1284" s="91"/>
      <c r="AO1284" s="91"/>
      <c r="AP1284" s="91"/>
      <c r="AQ1284" s="91"/>
      <c r="AR1284" s="91"/>
      <c r="AS1284" s="91"/>
      <c r="AT1284" s="91"/>
      <c r="AU1284" s="91"/>
      <c r="AV1284" s="91"/>
      <c r="AW1284" s="91"/>
      <c r="AX1284" s="91"/>
      <c r="AY1284" s="91"/>
      <c r="AZ1284" s="91"/>
      <c r="BA1284" s="91"/>
      <c r="BB1284" s="91"/>
      <c r="BC1284" s="91"/>
      <c r="BD1284" s="91"/>
      <c r="BE1284" s="91"/>
      <c r="BF1284" s="91"/>
      <c r="BG1284" s="91"/>
      <c r="BH1284" s="91"/>
      <c r="BI1284" s="91"/>
    </row>
    <row r="1285" spans="1:61" ht="24.6" hidden="1" customHeight="1">
      <c r="A1285" s="932"/>
      <c r="B1285" s="484" t="s">
        <v>495</v>
      </c>
      <c r="C1285" s="484"/>
      <c r="D1285" s="484"/>
      <c r="E1285" s="484"/>
      <c r="F1285" s="484"/>
      <c r="G1285" s="81">
        <f t="shared" si="419"/>
        <v>0</v>
      </c>
      <c r="H1285" s="81"/>
      <c r="I1285" s="81"/>
      <c r="J1285" s="81"/>
      <c r="K1285" s="81"/>
      <c r="L1285" s="81"/>
      <c r="M1285" s="580"/>
      <c r="N1285" s="484"/>
      <c r="O1285" s="944"/>
    </row>
    <row r="1286" spans="1:61" ht="24.6" customHeight="1">
      <c r="A1286" s="1028" t="s">
        <v>853</v>
      </c>
      <c r="B1286" s="613" t="s">
        <v>89</v>
      </c>
      <c r="C1286" s="613"/>
      <c r="D1286" s="613"/>
      <c r="E1286" s="613"/>
      <c r="F1286" s="613"/>
      <c r="G1286" s="81">
        <f>K1286</f>
        <v>1.3</v>
      </c>
      <c r="H1286" s="81"/>
      <c r="I1286" s="81"/>
      <c r="J1286" s="81"/>
      <c r="K1286" s="81">
        <v>1.3</v>
      </c>
      <c r="L1286" s="81"/>
      <c r="M1286" s="580">
        <v>1</v>
      </c>
      <c r="N1286" s="613"/>
      <c r="O1286" s="944" t="s">
        <v>1032</v>
      </c>
    </row>
    <row r="1287" spans="1:61" ht="24.6" customHeight="1">
      <c r="A1287" s="1029"/>
      <c r="B1287" s="613" t="s">
        <v>246</v>
      </c>
      <c r="C1287" s="613"/>
      <c r="D1287" s="613"/>
      <c r="E1287" s="613"/>
      <c r="F1287" s="613"/>
      <c r="G1287" s="81">
        <f>K1287</f>
        <v>15681</v>
      </c>
      <c r="H1287" s="81"/>
      <c r="I1287" s="81"/>
      <c r="J1287" s="81"/>
      <c r="K1287" s="81">
        <v>15681</v>
      </c>
      <c r="L1287" s="81"/>
      <c r="M1287" s="580">
        <f>13588.3</f>
        <v>13588.3</v>
      </c>
      <c r="N1287" s="613"/>
      <c r="O1287" s="944"/>
    </row>
    <row r="1288" spans="1:61" ht="24.6" customHeight="1">
      <c r="A1288" s="945" t="s">
        <v>140</v>
      </c>
      <c r="B1288" s="57" t="s">
        <v>89</v>
      </c>
      <c r="C1288" s="57"/>
      <c r="D1288" s="57"/>
      <c r="E1288" s="57"/>
      <c r="F1288" s="57"/>
      <c r="G1288" s="80">
        <f>G1292+G1296</f>
        <v>2</v>
      </c>
      <c r="H1288" s="80">
        <f t="shared" ref="H1288:M1288" si="421">H1292+H1296</f>
        <v>0</v>
      </c>
      <c r="I1288" s="80">
        <f t="shared" si="421"/>
        <v>0</v>
      </c>
      <c r="J1288" s="80">
        <f t="shared" si="421"/>
        <v>0</v>
      </c>
      <c r="K1288" s="80">
        <f t="shared" si="421"/>
        <v>2</v>
      </c>
      <c r="L1288" s="80">
        <f t="shared" si="421"/>
        <v>0</v>
      </c>
      <c r="M1288" s="439">
        <f t="shared" si="421"/>
        <v>1</v>
      </c>
      <c r="N1288" s="484"/>
      <c r="O1288" s="57"/>
    </row>
    <row r="1289" spans="1:61" ht="24.6" customHeight="1">
      <c r="A1289" s="945"/>
      <c r="B1289" s="57" t="s">
        <v>25</v>
      </c>
      <c r="C1289" s="57"/>
      <c r="D1289" s="57"/>
      <c r="E1289" s="57"/>
      <c r="F1289" s="57"/>
      <c r="G1289" s="80">
        <f>G1290+G1291</f>
        <v>14658.7</v>
      </c>
      <c r="H1289" s="80">
        <f t="shared" ref="H1289:M1289" si="422">H1290+H1291</f>
        <v>0</v>
      </c>
      <c r="I1289" s="80">
        <f t="shared" si="422"/>
        <v>0</v>
      </c>
      <c r="J1289" s="80">
        <f t="shared" si="422"/>
        <v>0</v>
      </c>
      <c r="K1289" s="80">
        <f t="shared" si="422"/>
        <v>14658.7</v>
      </c>
      <c r="L1289" s="80">
        <f t="shared" si="422"/>
        <v>0</v>
      </c>
      <c r="M1289" s="439">
        <f t="shared" si="422"/>
        <v>42729</v>
      </c>
      <c r="N1289" s="484"/>
      <c r="O1289" s="57"/>
    </row>
    <row r="1290" spans="1:61" ht="24.6" customHeight="1">
      <c r="A1290" s="945"/>
      <c r="B1290" s="57" t="s">
        <v>10</v>
      </c>
      <c r="C1290" s="57"/>
      <c r="D1290" s="57"/>
      <c r="E1290" s="57"/>
      <c r="F1290" s="57"/>
      <c r="G1290" s="80">
        <f>G1294+G1298</f>
        <v>14658.7</v>
      </c>
      <c r="H1290" s="80">
        <f t="shared" ref="H1290:M1291" si="423">H1294+H1298</f>
        <v>0</v>
      </c>
      <c r="I1290" s="80">
        <f t="shared" si="423"/>
        <v>0</v>
      </c>
      <c r="J1290" s="80">
        <f t="shared" si="423"/>
        <v>0</v>
      </c>
      <c r="K1290" s="80">
        <f t="shared" si="423"/>
        <v>14658.7</v>
      </c>
      <c r="L1290" s="80">
        <f t="shared" si="423"/>
        <v>0</v>
      </c>
      <c r="M1290" s="439">
        <f t="shared" si="423"/>
        <v>42729</v>
      </c>
      <c r="N1290" s="484"/>
      <c r="O1290" s="57"/>
    </row>
    <row r="1291" spans="1:61" ht="24.95" customHeight="1">
      <c r="A1291" s="945"/>
      <c r="B1291" s="57" t="s">
        <v>495</v>
      </c>
      <c r="C1291" s="57"/>
      <c r="D1291" s="57"/>
      <c r="E1291" s="57"/>
      <c r="F1291" s="57"/>
      <c r="G1291" s="80">
        <f>G1295+G1299</f>
        <v>0</v>
      </c>
      <c r="H1291" s="80">
        <f t="shared" si="423"/>
        <v>0</v>
      </c>
      <c r="I1291" s="80">
        <f t="shared" si="423"/>
        <v>0</v>
      </c>
      <c r="J1291" s="80">
        <f t="shared" si="423"/>
        <v>0</v>
      </c>
      <c r="K1291" s="80">
        <f t="shared" si="423"/>
        <v>0</v>
      </c>
      <c r="L1291" s="80">
        <f t="shared" si="423"/>
        <v>0</v>
      </c>
      <c r="M1291" s="439">
        <f t="shared" si="423"/>
        <v>0</v>
      </c>
      <c r="N1291" s="484"/>
      <c r="O1291" s="57"/>
    </row>
    <row r="1292" spans="1:61" ht="24.95" customHeight="1">
      <c r="A1292" s="926" t="s">
        <v>602</v>
      </c>
      <c r="B1292" s="484" t="s">
        <v>89</v>
      </c>
      <c r="C1292" s="484">
        <v>176</v>
      </c>
      <c r="D1292" s="484" t="s">
        <v>15</v>
      </c>
      <c r="E1292" s="484">
        <v>6100404</v>
      </c>
      <c r="F1292" s="484">
        <v>244</v>
      </c>
      <c r="G1292" s="81">
        <f>K1292</f>
        <v>0</v>
      </c>
      <c r="H1292" s="81"/>
      <c r="I1292" s="81"/>
      <c r="J1292" s="81"/>
      <c r="K1292" s="81"/>
      <c r="L1292" s="81"/>
      <c r="M1292" s="580"/>
      <c r="N1292" s="484"/>
      <c r="O1292" s="944" t="s">
        <v>855</v>
      </c>
    </row>
    <row r="1293" spans="1:61" ht="24.95" customHeight="1">
      <c r="A1293" s="927"/>
      <c r="B1293" s="484" t="s">
        <v>25</v>
      </c>
      <c r="C1293" s="484"/>
      <c r="D1293" s="484"/>
      <c r="E1293" s="484"/>
      <c r="F1293" s="484"/>
      <c r="G1293" s="81">
        <f t="shared" ref="G1293:G1295" si="424">K1293</f>
        <v>0</v>
      </c>
      <c r="H1293" s="81"/>
      <c r="I1293" s="81"/>
      <c r="J1293" s="81"/>
      <c r="K1293" s="81">
        <f>K1294+K1295</f>
        <v>0</v>
      </c>
      <c r="L1293" s="81">
        <f t="shared" ref="L1293:M1293" si="425">L1294+L1295</f>
        <v>0</v>
      </c>
      <c r="M1293" s="580">
        <f t="shared" si="425"/>
        <v>30000</v>
      </c>
      <c r="N1293" s="484"/>
      <c r="O1293" s="944"/>
    </row>
    <row r="1294" spans="1:61" ht="24.95" customHeight="1">
      <c r="A1294" s="927"/>
      <c r="B1294" s="484" t="s">
        <v>10</v>
      </c>
      <c r="C1294" s="484"/>
      <c r="D1294" s="484"/>
      <c r="E1294" s="484"/>
      <c r="F1294" s="484"/>
      <c r="G1294" s="81">
        <f t="shared" si="424"/>
        <v>0</v>
      </c>
      <c r="H1294" s="81"/>
      <c r="I1294" s="81"/>
      <c r="J1294" s="81"/>
      <c r="K1294" s="81"/>
      <c r="L1294" s="81"/>
      <c r="M1294" s="580">
        <v>30000</v>
      </c>
      <c r="N1294" s="484"/>
      <c r="O1294" s="944"/>
    </row>
    <row r="1295" spans="1:61" ht="24.95" hidden="1" customHeight="1">
      <c r="A1295" s="928"/>
      <c r="B1295" s="484" t="s">
        <v>495</v>
      </c>
      <c r="C1295" s="484"/>
      <c r="D1295" s="484"/>
      <c r="E1295" s="484"/>
      <c r="F1295" s="484"/>
      <c r="G1295" s="81">
        <f t="shared" si="424"/>
        <v>0</v>
      </c>
      <c r="H1295" s="81"/>
      <c r="I1295" s="81"/>
      <c r="J1295" s="81"/>
      <c r="K1295" s="81"/>
      <c r="L1295" s="81"/>
      <c r="M1295" s="580"/>
      <c r="N1295" s="484"/>
      <c r="O1295" s="944"/>
    </row>
    <row r="1296" spans="1:61" ht="24.95" customHeight="1">
      <c r="A1296" s="926" t="s">
        <v>853</v>
      </c>
      <c r="B1296" s="484" t="s">
        <v>89</v>
      </c>
      <c r="C1296" s="484"/>
      <c r="D1296" s="484"/>
      <c r="E1296" s="484"/>
      <c r="F1296" s="484"/>
      <c r="G1296" s="81">
        <f>K1296</f>
        <v>2</v>
      </c>
      <c r="H1296" s="81"/>
      <c r="I1296" s="81"/>
      <c r="J1296" s="81"/>
      <c r="K1296" s="81">
        <v>2</v>
      </c>
      <c r="L1296" s="81"/>
      <c r="M1296" s="580">
        <v>1</v>
      </c>
      <c r="N1296" s="484"/>
      <c r="O1296" s="933" t="s">
        <v>1027</v>
      </c>
    </row>
    <row r="1297" spans="1:67" ht="24.95" customHeight="1">
      <c r="A1297" s="927"/>
      <c r="B1297" s="484" t="s">
        <v>25</v>
      </c>
      <c r="C1297" s="484"/>
      <c r="D1297" s="484"/>
      <c r="E1297" s="484"/>
      <c r="F1297" s="484"/>
      <c r="G1297" s="81">
        <f t="shared" ref="G1297:G1299" si="426">K1297</f>
        <v>14658.7</v>
      </c>
      <c r="H1297" s="81"/>
      <c r="I1297" s="81"/>
      <c r="J1297" s="81"/>
      <c r="K1297" s="81">
        <f>K1298+K1299</f>
        <v>14658.7</v>
      </c>
      <c r="L1297" s="81">
        <f t="shared" ref="L1297:M1297" si="427">L1298+L1299</f>
        <v>0</v>
      </c>
      <c r="M1297" s="580">
        <f t="shared" si="427"/>
        <v>12729</v>
      </c>
      <c r="N1297" s="484"/>
      <c r="O1297" s="946"/>
    </row>
    <row r="1298" spans="1:67" ht="24.95" customHeight="1">
      <c r="A1298" s="927"/>
      <c r="B1298" s="484" t="s">
        <v>10</v>
      </c>
      <c r="C1298" s="484"/>
      <c r="D1298" s="484"/>
      <c r="E1298" s="484"/>
      <c r="F1298" s="484"/>
      <c r="G1298" s="81">
        <f t="shared" si="426"/>
        <v>14658.7</v>
      </c>
      <c r="H1298" s="81"/>
      <c r="I1298" s="81"/>
      <c r="J1298" s="81"/>
      <c r="K1298" s="81">
        <v>14658.7</v>
      </c>
      <c r="L1298" s="81"/>
      <c r="M1298" s="580">
        <v>12729</v>
      </c>
      <c r="N1298" s="484"/>
      <c r="O1298" s="946"/>
    </row>
    <row r="1299" spans="1:67" ht="24.75" hidden="1" customHeight="1">
      <c r="A1299" s="928"/>
      <c r="B1299" s="484" t="s">
        <v>495</v>
      </c>
      <c r="C1299" s="484"/>
      <c r="D1299" s="484"/>
      <c r="E1299" s="484"/>
      <c r="F1299" s="484"/>
      <c r="G1299" s="81">
        <f t="shared" si="426"/>
        <v>0</v>
      </c>
      <c r="H1299" s="81"/>
      <c r="I1299" s="81"/>
      <c r="J1299" s="81"/>
      <c r="K1299" s="81"/>
      <c r="L1299" s="81"/>
      <c r="M1299" s="580"/>
      <c r="N1299" s="484"/>
      <c r="O1299" s="934"/>
    </row>
    <row r="1300" spans="1:67" ht="23.45" customHeight="1">
      <c r="A1300" s="887" t="s">
        <v>141</v>
      </c>
      <c r="B1300" s="57" t="s">
        <v>89</v>
      </c>
      <c r="C1300" s="57"/>
      <c r="D1300" s="57"/>
      <c r="E1300" s="57"/>
      <c r="F1300" s="57"/>
      <c r="G1300" s="80">
        <f>G1306+G1308</f>
        <v>1</v>
      </c>
      <c r="H1300" s="80">
        <f t="shared" ref="H1300:M1300" si="428">H1306+H1308</f>
        <v>0</v>
      </c>
      <c r="I1300" s="80">
        <f t="shared" si="428"/>
        <v>0</v>
      </c>
      <c r="J1300" s="80">
        <f t="shared" si="428"/>
        <v>0</v>
      </c>
      <c r="K1300" s="80">
        <f t="shared" si="428"/>
        <v>1</v>
      </c>
      <c r="L1300" s="80">
        <f t="shared" si="428"/>
        <v>0</v>
      </c>
      <c r="M1300" s="439">
        <f t="shared" si="428"/>
        <v>1</v>
      </c>
      <c r="N1300" s="484"/>
      <c r="O1300" s="484"/>
    </row>
    <row r="1301" spans="1:67" ht="24">
      <c r="A1301" s="888"/>
      <c r="B1301" s="320" t="s">
        <v>246</v>
      </c>
      <c r="C1301" s="320"/>
      <c r="D1301" s="320"/>
      <c r="E1301" s="320"/>
      <c r="F1301" s="320"/>
      <c r="G1301" s="263">
        <f>G1303+G1305+G1307+G1309</f>
        <v>29885.8</v>
      </c>
      <c r="H1301" s="263">
        <f t="shared" ref="H1301:M1301" si="429">H1303+H1305+H1307+H1309</f>
        <v>0</v>
      </c>
      <c r="I1301" s="263">
        <f t="shared" si="429"/>
        <v>0</v>
      </c>
      <c r="J1301" s="263">
        <f t="shared" si="429"/>
        <v>0</v>
      </c>
      <c r="K1301" s="263">
        <f t="shared" si="429"/>
        <v>29885.8</v>
      </c>
      <c r="L1301" s="263">
        <f>L1303+L1305+L1307+L1309</f>
        <v>0</v>
      </c>
      <c r="M1301" s="263">
        <f t="shared" si="429"/>
        <v>81235.399999999994</v>
      </c>
      <c r="N1301" s="481"/>
      <c r="O1301" s="484"/>
      <c r="P1301" s="267"/>
      <c r="Q1301" s="267"/>
      <c r="R1301" s="267"/>
      <c r="S1301" s="267"/>
      <c r="T1301" s="267"/>
      <c r="U1301" s="267"/>
      <c r="V1301" s="267"/>
      <c r="W1301" s="267"/>
      <c r="X1301" s="267"/>
      <c r="Y1301" s="267"/>
      <c r="Z1301" s="267"/>
      <c r="AA1301" s="267"/>
      <c r="AB1301" s="267"/>
      <c r="AC1301" s="267"/>
      <c r="AD1301" s="267"/>
      <c r="AE1301" s="267"/>
      <c r="AF1301" s="267"/>
      <c r="AG1301" s="267"/>
      <c r="AH1301" s="267"/>
      <c r="AI1301" s="267"/>
      <c r="BJ1301" s="267"/>
      <c r="BK1301" s="267"/>
      <c r="BL1301" s="267"/>
      <c r="BM1301" s="267"/>
      <c r="BN1301" s="267"/>
    </row>
    <row r="1302" spans="1:67" s="50" customFormat="1" ht="26.45" customHeight="1">
      <c r="A1302" s="932" t="s">
        <v>1117</v>
      </c>
      <c r="B1302" s="797" t="s">
        <v>89</v>
      </c>
      <c r="C1302" s="797"/>
      <c r="D1302" s="797"/>
      <c r="E1302" s="797"/>
      <c r="F1302" s="797"/>
      <c r="G1302" s="81">
        <f t="shared" ref="G1302:G1303" si="430">K1302</f>
        <v>0</v>
      </c>
      <c r="H1302" s="81"/>
      <c r="I1302" s="81"/>
      <c r="J1302" s="81"/>
      <c r="K1302" s="81"/>
      <c r="L1302" s="81"/>
      <c r="M1302" s="580"/>
      <c r="N1302" s="797"/>
      <c r="O1302" s="933" t="s">
        <v>855</v>
      </c>
      <c r="P1302" s="267"/>
      <c r="Q1302" s="267"/>
      <c r="R1302" s="267"/>
      <c r="S1302" s="267"/>
      <c r="T1302" s="267"/>
      <c r="U1302" s="267"/>
      <c r="V1302" s="267"/>
      <c r="W1302" s="267"/>
      <c r="X1302" s="267"/>
      <c r="Y1302" s="267"/>
      <c r="Z1302" s="267"/>
      <c r="AA1302" s="267"/>
      <c r="AB1302" s="267"/>
      <c r="AC1302" s="267"/>
      <c r="AD1302" s="267"/>
      <c r="AE1302" s="267"/>
      <c r="AF1302" s="267"/>
      <c r="AG1302" s="267"/>
      <c r="AH1302" s="266"/>
      <c r="AI1302" s="300"/>
      <c r="AJ1302" s="267"/>
      <c r="AK1302" s="267"/>
      <c r="AL1302" s="267"/>
      <c r="AM1302" s="267"/>
      <c r="AN1302" s="267"/>
      <c r="AO1302" s="267"/>
      <c r="AP1302" s="267"/>
      <c r="AQ1302" s="267"/>
      <c r="AR1302" s="267"/>
      <c r="AS1302" s="267"/>
      <c r="AT1302" s="267"/>
      <c r="AU1302" s="267"/>
      <c r="AV1302" s="267"/>
      <c r="AW1302" s="267"/>
      <c r="AX1302" s="267"/>
      <c r="AY1302" s="267"/>
      <c r="AZ1302" s="267"/>
      <c r="BA1302" s="267"/>
      <c r="BB1302" s="267"/>
      <c r="BC1302" s="267"/>
      <c r="BD1302" s="267"/>
      <c r="BE1302" s="267"/>
      <c r="BF1302" s="267"/>
      <c r="BG1302" s="267"/>
      <c r="BH1302" s="267"/>
      <c r="BI1302" s="267"/>
      <c r="BJ1302" s="267"/>
      <c r="BK1302" s="267"/>
      <c r="BL1302" s="267"/>
      <c r="BM1302" s="267"/>
      <c r="BN1302" s="267"/>
      <c r="BO1302" s="266"/>
    </row>
    <row r="1303" spans="1:67" s="50" customFormat="1" ht="26.45" customHeight="1">
      <c r="A1303" s="932"/>
      <c r="B1303" s="796" t="s">
        <v>246</v>
      </c>
      <c r="C1303" s="797"/>
      <c r="D1303" s="797"/>
      <c r="E1303" s="797"/>
      <c r="F1303" s="797"/>
      <c r="G1303" s="81">
        <f t="shared" si="430"/>
        <v>0</v>
      </c>
      <c r="H1303" s="81"/>
      <c r="I1303" s="81"/>
      <c r="J1303" s="81"/>
      <c r="K1303" s="81"/>
      <c r="L1303" s="81"/>
      <c r="M1303" s="580">
        <v>30000</v>
      </c>
      <c r="N1303" s="797"/>
      <c r="O1303" s="934"/>
      <c r="P1303" s="267"/>
      <c r="Q1303" s="267"/>
      <c r="R1303" s="267"/>
      <c r="S1303" s="267"/>
      <c r="T1303" s="267"/>
      <c r="U1303" s="267"/>
      <c r="V1303" s="267"/>
      <c r="W1303" s="267"/>
      <c r="X1303" s="267"/>
      <c r="Y1303" s="267"/>
      <c r="Z1303" s="267"/>
      <c r="AA1303" s="267"/>
      <c r="AB1303" s="267"/>
      <c r="AC1303" s="267"/>
      <c r="AD1303" s="267"/>
      <c r="AE1303" s="267"/>
      <c r="AF1303" s="267"/>
      <c r="AG1303" s="267"/>
      <c r="AH1303" s="266"/>
      <c r="AI1303" s="300"/>
      <c r="AJ1303" s="267"/>
      <c r="AK1303" s="267"/>
      <c r="AL1303" s="267"/>
      <c r="AM1303" s="267"/>
      <c r="AN1303" s="267"/>
      <c r="AO1303" s="267"/>
      <c r="AP1303" s="267"/>
      <c r="AQ1303" s="267"/>
      <c r="AR1303" s="267"/>
      <c r="AS1303" s="267"/>
      <c r="AT1303" s="267"/>
      <c r="AU1303" s="267"/>
      <c r="AV1303" s="267"/>
      <c r="AW1303" s="267"/>
      <c r="AX1303" s="267"/>
      <c r="AY1303" s="267"/>
      <c r="AZ1303" s="267"/>
      <c r="BA1303" s="267"/>
      <c r="BB1303" s="267"/>
      <c r="BC1303" s="267"/>
      <c r="BD1303" s="267"/>
      <c r="BE1303" s="267"/>
      <c r="BF1303" s="267"/>
      <c r="BG1303" s="267"/>
      <c r="BH1303" s="267"/>
      <c r="BI1303" s="267"/>
      <c r="BJ1303" s="267"/>
      <c r="BK1303" s="267"/>
      <c r="BL1303" s="267"/>
      <c r="BM1303" s="267"/>
      <c r="BN1303" s="267"/>
      <c r="BO1303" s="266"/>
    </row>
    <row r="1304" spans="1:67" s="50" customFormat="1" ht="26.45" customHeight="1">
      <c r="A1304" s="932" t="s">
        <v>627</v>
      </c>
      <c r="B1304" s="667" t="s">
        <v>89</v>
      </c>
      <c r="C1304" s="667"/>
      <c r="D1304" s="667"/>
      <c r="E1304" s="667"/>
      <c r="F1304" s="667"/>
      <c r="G1304" s="81">
        <f t="shared" ref="G1304:G1309" si="431">K1304</f>
        <v>0</v>
      </c>
      <c r="H1304" s="81"/>
      <c r="I1304" s="81"/>
      <c r="J1304" s="81"/>
      <c r="K1304" s="81"/>
      <c r="L1304" s="81"/>
      <c r="M1304" s="580"/>
      <c r="N1304" s="667"/>
      <c r="O1304" s="933" t="s">
        <v>855</v>
      </c>
      <c r="P1304" s="267"/>
      <c r="Q1304" s="267"/>
      <c r="R1304" s="267"/>
      <c r="S1304" s="267"/>
      <c r="T1304" s="267"/>
      <c r="U1304" s="267"/>
      <c r="V1304" s="267"/>
      <c r="W1304" s="267"/>
      <c r="X1304" s="267"/>
      <c r="Y1304" s="267"/>
      <c r="Z1304" s="267"/>
      <c r="AA1304" s="267"/>
      <c r="AB1304" s="267"/>
      <c r="AC1304" s="267"/>
      <c r="AD1304" s="267"/>
      <c r="AE1304" s="267"/>
      <c r="AF1304" s="267"/>
      <c r="AG1304" s="267"/>
      <c r="AH1304" s="266"/>
      <c r="AI1304" s="300"/>
      <c r="AJ1304" s="267"/>
      <c r="AK1304" s="267"/>
      <c r="AL1304" s="267"/>
      <c r="AM1304" s="267"/>
      <c r="AN1304" s="267"/>
      <c r="AO1304" s="267"/>
      <c r="AP1304" s="267"/>
      <c r="AQ1304" s="267"/>
      <c r="AR1304" s="267"/>
      <c r="AS1304" s="267"/>
      <c r="AT1304" s="267"/>
      <c r="AU1304" s="267"/>
      <c r="AV1304" s="267"/>
      <c r="AW1304" s="267"/>
      <c r="AX1304" s="267"/>
      <c r="AY1304" s="267"/>
      <c r="AZ1304" s="267"/>
      <c r="BA1304" s="267"/>
      <c r="BB1304" s="267"/>
      <c r="BC1304" s="267"/>
      <c r="BD1304" s="267"/>
      <c r="BE1304" s="267"/>
      <c r="BF1304" s="267"/>
      <c r="BG1304" s="267"/>
      <c r="BH1304" s="267"/>
      <c r="BI1304" s="267"/>
      <c r="BJ1304" s="267"/>
      <c r="BK1304" s="267"/>
      <c r="BL1304" s="267"/>
      <c r="BM1304" s="267"/>
      <c r="BN1304" s="267"/>
      <c r="BO1304" s="266"/>
    </row>
    <row r="1305" spans="1:67" s="50" customFormat="1" ht="26.45" customHeight="1">
      <c r="A1305" s="932"/>
      <c r="B1305" s="664" t="s">
        <v>246</v>
      </c>
      <c r="C1305" s="667"/>
      <c r="D1305" s="667"/>
      <c r="E1305" s="667"/>
      <c r="F1305" s="667"/>
      <c r="G1305" s="81">
        <f t="shared" si="431"/>
        <v>1000</v>
      </c>
      <c r="H1305" s="81"/>
      <c r="I1305" s="81"/>
      <c r="J1305" s="81"/>
      <c r="K1305" s="81">
        <v>1000</v>
      </c>
      <c r="L1305" s="81"/>
      <c r="M1305" s="580"/>
      <c r="N1305" s="667"/>
      <c r="O1305" s="934"/>
      <c r="P1305" s="267"/>
      <c r="Q1305" s="267"/>
      <c r="R1305" s="267"/>
      <c r="S1305" s="267"/>
      <c r="T1305" s="267"/>
      <c r="U1305" s="267"/>
      <c r="V1305" s="267"/>
      <c r="W1305" s="267"/>
      <c r="X1305" s="267"/>
      <c r="Y1305" s="267"/>
      <c r="Z1305" s="267"/>
      <c r="AA1305" s="267"/>
      <c r="AB1305" s="267"/>
      <c r="AC1305" s="267"/>
      <c r="AD1305" s="267"/>
      <c r="AE1305" s="267"/>
      <c r="AF1305" s="267"/>
      <c r="AG1305" s="267"/>
      <c r="AH1305" s="266"/>
      <c r="AI1305" s="300"/>
      <c r="AJ1305" s="267"/>
      <c r="AK1305" s="267"/>
      <c r="AL1305" s="267"/>
      <c r="AM1305" s="267"/>
      <c r="AN1305" s="267"/>
      <c r="AO1305" s="267"/>
      <c r="AP1305" s="267"/>
      <c r="AQ1305" s="267"/>
      <c r="AR1305" s="267"/>
      <c r="AS1305" s="267"/>
      <c r="AT1305" s="267"/>
      <c r="AU1305" s="267"/>
      <c r="AV1305" s="267"/>
      <c r="AW1305" s="267"/>
      <c r="AX1305" s="267"/>
      <c r="AY1305" s="267"/>
      <c r="AZ1305" s="267"/>
      <c r="BA1305" s="267"/>
      <c r="BB1305" s="267"/>
      <c r="BC1305" s="267"/>
      <c r="BD1305" s="267"/>
      <c r="BE1305" s="267"/>
      <c r="BF1305" s="267"/>
      <c r="BG1305" s="267"/>
      <c r="BH1305" s="267"/>
      <c r="BI1305" s="267"/>
      <c r="BJ1305" s="267"/>
      <c r="BK1305" s="267"/>
      <c r="BL1305" s="267"/>
      <c r="BM1305" s="267"/>
      <c r="BN1305" s="267"/>
      <c r="BO1305" s="266"/>
    </row>
    <row r="1306" spans="1:67" s="50" customFormat="1" ht="26.45" customHeight="1">
      <c r="A1306" s="932" t="s">
        <v>1111</v>
      </c>
      <c r="B1306" s="484" t="s">
        <v>89</v>
      </c>
      <c r="C1306" s="484"/>
      <c r="D1306" s="484"/>
      <c r="E1306" s="484"/>
      <c r="F1306" s="484"/>
      <c r="G1306" s="81">
        <f t="shared" si="431"/>
        <v>0</v>
      </c>
      <c r="H1306" s="81"/>
      <c r="I1306" s="81"/>
      <c r="J1306" s="81"/>
      <c r="K1306" s="81"/>
      <c r="L1306" s="81"/>
      <c r="M1306" s="580"/>
      <c r="N1306" s="484"/>
      <c r="O1306" s="933" t="s">
        <v>855</v>
      </c>
      <c r="P1306" s="267"/>
      <c r="Q1306" s="267"/>
      <c r="R1306" s="267"/>
      <c r="S1306" s="267"/>
      <c r="T1306" s="267"/>
      <c r="U1306" s="267"/>
      <c r="V1306" s="267"/>
      <c r="W1306" s="267"/>
      <c r="X1306" s="267"/>
      <c r="Y1306" s="267"/>
      <c r="Z1306" s="267"/>
      <c r="AA1306" s="267"/>
      <c r="AB1306" s="267"/>
      <c r="AC1306" s="267"/>
      <c r="AD1306" s="267"/>
      <c r="AE1306" s="267"/>
      <c r="AF1306" s="267"/>
      <c r="AG1306" s="267"/>
      <c r="AH1306" s="266"/>
      <c r="AI1306" s="300"/>
      <c r="AJ1306" s="267"/>
      <c r="AK1306" s="267"/>
      <c r="AL1306" s="267"/>
      <c r="AM1306" s="267"/>
      <c r="AN1306" s="267"/>
      <c r="AO1306" s="267"/>
      <c r="AP1306" s="267"/>
      <c r="AQ1306" s="267"/>
      <c r="AR1306" s="267"/>
      <c r="AS1306" s="267"/>
      <c r="AT1306" s="267"/>
      <c r="AU1306" s="267"/>
      <c r="AV1306" s="267"/>
      <c r="AW1306" s="267"/>
      <c r="AX1306" s="267"/>
      <c r="AY1306" s="267"/>
      <c r="AZ1306" s="267"/>
      <c r="BA1306" s="267"/>
      <c r="BB1306" s="267"/>
      <c r="BC1306" s="267"/>
      <c r="BD1306" s="267"/>
      <c r="BE1306" s="267"/>
      <c r="BF1306" s="267"/>
      <c r="BG1306" s="267"/>
      <c r="BH1306" s="267"/>
      <c r="BI1306" s="267"/>
      <c r="BJ1306" s="267"/>
      <c r="BK1306" s="267"/>
      <c r="BL1306" s="267"/>
      <c r="BM1306" s="267"/>
      <c r="BN1306" s="267"/>
      <c r="BO1306" s="266"/>
    </row>
    <row r="1307" spans="1:67" s="50" customFormat="1" ht="26.45" customHeight="1">
      <c r="A1307" s="932"/>
      <c r="B1307" s="481" t="s">
        <v>246</v>
      </c>
      <c r="C1307" s="484"/>
      <c r="D1307" s="484"/>
      <c r="E1307" s="484"/>
      <c r="F1307" s="484"/>
      <c r="G1307" s="81">
        <f t="shared" si="431"/>
        <v>16000</v>
      </c>
      <c r="H1307" s="81"/>
      <c r="I1307" s="81"/>
      <c r="J1307" s="81"/>
      <c r="K1307" s="81">
        <v>16000</v>
      </c>
      <c r="L1307" s="81"/>
      <c r="M1307" s="580">
        <v>40000</v>
      </c>
      <c r="N1307" s="484"/>
      <c r="O1307" s="934"/>
      <c r="P1307" s="267"/>
      <c r="Q1307" s="267"/>
      <c r="R1307" s="267"/>
      <c r="S1307" s="267"/>
      <c r="T1307" s="267"/>
      <c r="U1307" s="267"/>
      <c r="V1307" s="267"/>
      <c r="W1307" s="267"/>
      <c r="X1307" s="267"/>
      <c r="Y1307" s="267"/>
      <c r="Z1307" s="267"/>
      <c r="AA1307" s="267"/>
      <c r="AB1307" s="267"/>
      <c r="AC1307" s="267"/>
      <c r="AD1307" s="267"/>
      <c r="AE1307" s="267"/>
      <c r="AF1307" s="267"/>
      <c r="AG1307" s="267"/>
      <c r="AH1307" s="266"/>
      <c r="AI1307" s="300"/>
      <c r="AJ1307" s="267"/>
      <c r="AK1307" s="267"/>
      <c r="AL1307" s="267"/>
      <c r="AM1307" s="267"/>
      <c r="AN1307" s="267"/>
      <c r="AO1307" s="267"/>
      <c r="AP1307" s="267"/>
      <c r="AQ1307" s="267"/>
      <c r="AR1307" s="267"/>
      <c r="AS1307" s="267"/>
      <c r="AT1307" s="267"/>
      <c r="AU1307" s="267"/>
      <c r="AV1307" s="267"/>
      <c r="AW1307" s="267"/>
      <c r="AX1307" s="267"/>
      <c r="AY1307" s="267"/>
      <c r="AZ1307" s="267"/>
      <c r="BA1307" s="267"/>
      <c r="BB1307" s="267"/>
      <c r="BC1307" s="267"/>
      <c r="BD1307" s="267"/>
      <c r="BE1307" s="267"/>
      <c r="BF1307" s="267"/>
      <c r="BG1307" s="267"/>
      <c r="BH1307" s="267"/>
      <c r="BI1307" s="267"/>
      <c r="BJ1307" s="267"/>
      <c r="BK1307" s="267"/>
      <c r="BL1307" s="267"/>
      <c r="BM1307" s="267"/>
      <c r="BN1307" s="267"/>
      <c r="BO1307" s="266"/>
    </row>
    <row r="1308" spans="1:67" s="50" customFormat="1" ht="26.45" customHeight="1">
      <c r="A1308" s="926" t="s">
        <v>853</v>
      </c>
      <c r="B1308" s="484" t="s">
        <v>89</v>
      </c>
      <c r="C1308" s="484"/>
      <c r="D1308" s="484"/>
      <c r="E1308" s="484"/>
      <c r="F1308" s="484"/>
      <c r="G1308" s="81">
        <f t="shared" si="431"/>
        <v>1</v>
      </c>
      <c r="H1308" s="81"/>
      <c r="I1308" s="81"/>
      <c r="J1308" s="81"/>
      <c r="K1308" s="81">
        <v>1</v>
      </c>
      <c r="L1308" s="81"/>
      <c r="M1308" s="580">
        <v>1</v>
      </c>
      <c r="N1308" s="484"/>
      <c r="O1308" s="933" t="s">
        <v>1033</v>
      </c>
      <c r="P1308" s="267"/>
      <c r="Q1308" s="267"/>
      <c r="R1308" s="267"/>
      <c r="S1308" s="267"/>
      <c r="T1308" s="267"/>
      <c r="U1308" s="267"/>
      <c r="V1308" s="267"/>
      <c r="W1308" s="267"/>
      <c r="X1308" s="267"/>
      <c r="Y1308" s="267"/>
      <c r="Z1308" s="267"/>
      <c r="AA1308" s="267"/>
      <c r="AB1308" s="267"/>
      <c r="AC1308" s="267"/>
      <c r="AD1308" s="267"/>
      <c r="AE1308" s="267"/>
      <c r="AF1308" s="267"/>
      <c r="AG1308" s="267"/>
      <c r="AH1308" s="266"/>
      <c r="AI1308" s="300"/>
      <c r="AJ1308" s="267"/>
      <c r="AK1308" s="267"/>
      <c r="AL1308" s="267"/>
      <c r="AM1308" s="267"/>
      <c r="AN1308" s="267"/>
      <c r="AO1308" s="267"/>
      <c r="AP1308" s="267"/>
      <c r="AQ1308" s="267"/>
      <c r="AR1308" s="267"/>
      <c r="AS1308" s="267"/>
      <c r="AT1308" s="267"/>
      <c r="AU1308" s="267"/>
      <c r="AV1308" s="267"/>
      <c r="AW1308" s="267"/>
      <c r="AX1308" s="267"/>
      <c r="AY1308" s="267"/>
      <c r="AZ1308" s="267"/>
      <c r="BA1308" s="267"/>
      <c r="BB1308" s="267"/>
      <c r="BC1308" s="267"/>
      <c r="BD1308" s="267"/>
      <c r="BE1308" s="267"/>
      <c r="BF1308" s="267"/>
      <c r="BG1308" s="267"/>
      <c r="BH1308" s="267"/>
      <c r="BI1308" s="267"/>
      <c r="BJ1308" s="267"/>
      <c r="BK1308" s="267"/>
      <c r="BL1308" s="267"/>
      <c r="BM1308" s="267"/>
      <c r="BN1308" s="267"/>
      <c r="BO1308" s="266"/>
    </row>
    <row r="1309" spans="1:67" s="50" customFormat="1" ht="24.75" customHeight="1">
      <c r="A1309" s="928"/>
      <c r="B1309" s="484" t="s">
        <v>246</v>
      </c>
      <c r="C1309" s="484"/>
      <c r="D1309" s="484"/>
      <c r="E1309" s="484"/>
      <c r="F1309" s="484"/>
      <c r="G1309" s="81">
        <f t="shared" si="431"/>
        <v>12885.8</v>
      </c>
      <c r="H1309" s="81"/>
      <c r="I1309" s="81"/>
      <c r="J1309" s="81"/>
      <c r="K1309" s="81">
        <v>12885.8</v>
      </c>
      <c r="L1309" s="81"/>
      <c r="M1309" s="580">
        <v>11235.4</v>
      </c>
      <c r="N1309" s="484"/>
      <c r="O1309" s="934"/>
      <c r="P1309" s="267"/>
      <c r="Q1309" s="267"/>
      <c r="R1309" s="267"/>
      <c r="S1309" s="267"/>
      <c r="T1309" s="267"/>
      <c r="U1309" s="267"/>
      <c r="V1309" s="267"/>
      <c r="W1309" s="267"/>
      <c r="X1309" s="267"/>
      <c r="Y1309" s="267"/>
      <c r="Z1309" s="267"/>
      <c r="AA1309" s="267"/>
      <c r="AB1309" s="267"/>
      <c r="AC1309" s="267"/>
      <c r="AD1309" s="267"/>
      <c r="AE1309" s="267"/>
      <c r="AF1309" s="267"/>
      <c r="AG1309" s="267"/>
      <c r="AH1309" s="266"/>
      <c r="AI1309" s="300"/>
      <c r="AJ1309" s="267"/>
      <c r="AK1309" s="267"/>
      <c r="AL1309" s="267"/>
      <c r="AM1309" s="267"/>
      <c r="AN1309" s="267"/>
      <c r="AO1309" s="267"/>
      <c r="AP1309" s="267"/>
      <c r="AQ1309" s="267"/>
      <c r="AR1309" s="267"/>
      <c r="AS1309" s="267"/>
      <c r="AT1309" s="267"/>
      <c r="AU1309" s="267"/>
      <c r="AV1309" s="267"/>
      <c r="AW1309" s="267"/>
      <c r="AX1309" s="267"/>
      <c r="AY1309" s="267"/>
      <c r="AZ1309" s="267"/>
      <c r="BA1309" s="267"/>
      <c r="BB1309" s="267"/>
      <c r="BC1309" s="267"/>
      <c r="BD1309" s="267"/>
      <c r="BE1309" s="267"/>
      <c r="BF1309" s="267"/>
      <c r="BG1309" s="267"/>
      <c r="BH1309" s="267"/>
      <c r="BI1309" s="267"/>
      <c r="BJ1309" s="267"/>
      <c r="BK1309" s="267"/>
      <c r="BL1309" s="267"/>
      <c r="BM1309" s="267"/>
      <c r="BN1309" s="267"/>
      <c r="BO1309" s="266"/>
    </row>
    <row r="1310" spans="1:67" s="267" customFormat="1" ht="24.75" customHeight="1">
      <c r="A1310" s="887" t="s">
        <v>107</v>
      </c>
      <c r="B1310" s="57" t="s">
        <v>89</v>
      </c>
      <c r="C1310" s="482"/>
      <c r="D1310" s="482"/>
      <c r="E1310" s="482"/>
      <c r="F1310" s="482"/>
      <c r="G1310" s="86">
        <f>G1312+G1314+G1316+G1318</f>
        <v>7.3000000000000007</v>
      </c>
      <c r="H1310" s="86">
        <f t="shared" ref="H1310:M1310" si="432">H1312+H1314+H1316+H1318</f>
        <v>0</v>
      </c>
      <c r="I1310" s="86">
        <f t="shared" si="432"/>
        <v>0</v>
      </c>
      <c r="J1310" s="86">
        <f t="shared" si="432"/>
        <v>0</v>
      </c>
      <c r="K1310" s="86">
        <f t="shared" si="432"/>
        <v>7.3000000000000007</v>
      </c>
      <c r="L1310" s="86">
        <f t="shared" si="432"/>
        <v>0</v>
      </c>
      <c r="M1310" s="86">
        <f t="shared" si="432"/>
        <v>1</v>
      </c>
      <c r="N1310" s="482"/>
      <c r="O1310" s="482"/>
    </row>
    <row r="1311" spans="1:67" s="267" customFormat="1" ht="24.75" customHeight="1">
      <c r="A1311" s="889"/>
      <c r="B1311" s="320" t="s">
        <v>246</v>
      </c>
      <c r="C1311" s="482"/>
      <c r="D1311" s="482"/>
      <c r="E1311" s="482"/>
      <c r="F1311" s="482"/>
      <c r="G1311" s="86">
        <f>G1313+G1315+G1317+G1319</f>
        <v>115780.2</v>
      </c>
      <c r="H1311" s="86">
        <f t="shared" ref="H1311:M1311" si="433">H1313+H1315+H1317+H1319</f>
        <v>0</v>
      </c>
      <c r="I1311" s="86">
        <f t="shared" si="433"/>
        <v>0</v>
      </c>
      <c r="J1311" s="86">
        <f t="shared" si="433"/>
        <v>0</v>
      </c>
      <c r="K1311" s="86">
        <f t="shared" si="433"/>
        <v>115780.2</v>
      </c>
      <c r="L1311" s="86">
        <f t="shared" si="433"/>
        <v>0</v>
      </c>
      <c r="M1311" s="86">
        <f t="shared" si="433"/>
        <v>40777</v>
      </c>
      <c r="N1311" s="482"/>
      <c r="O1311" s="482"/>
    </row>
    <row r="1312" spans="1:67" s="267" customFormat="1" ht="24.75" customHeight="1">
      <c r="A1312" s="926" t="s">
        <v>1104</v>
      </c>
      <c r="B1312" s="667" t="s">
        <v>89</v>
      </c>
      <c r="C1312" s="665"/>
      <c r="D1312" s="665"/>
      <c r="E1312" s="665"/>
      <c r="F1312" s="665"/>
      <c r="G1312" s="264">
        <f>K1312</f>
        <v>6.2</v>
      </c>
      <c r="H1312" s="264"/>
      <c r="I1312" s="264"/>
      <c r="J1312" s="264"/>
      <c r="K1312" s="264">
        <v>6.2</v>
      </c>
      <c r="L1312" s="264">
        <v>0</v>
      </c>
      <c r="M1312" s="585">
        <v>0</v>
      </c>
      <c r="N1312" s="665"/>
      <c r="O1312" s="933" t="s">
        <v>1001</v>
      </c>
    </row>
    <row r="1313" spans="1:15" s="267" customFormat="1" ht="24.75" customHeight="1">
      <c r="A1313" s="928"/>
      <c r="B1313" s="667" t="s">
        <v>246</v>
      </c>
      <c r="C1313" s="665"/>
      <c r="D1313" s="665"/>
      <c r="E1313" s="665"/>
      <c r="F1313" s="665"/>
      <c r="G1313" s="264">
        <f>K1313</f>
        <v>102394</v>
      </c>
      <c r="H1313" s="264"/>
      <c r="I1313" s="264"/>
      <c r="J1313" s="264"/>
      <c r="K1313" s="264">
        <v>102394</v>
      </c>
      <c r="L1313" s="264">
        <v>0</v>
      </c>
      <c r="M1313" s="585">
        <v>15000</v>
      </c>
      <c r="N1313" s="665"/>
      <c r="O1313" s="934"/>
    </row>
    <row r="1314" spans="1:15" s="267" customFormat="1" ht="24.75" customHeight="1">
      <c r="A1314" s="926" t="s">
        <v>981</v>
      </c>
      <c r="B1314" s="667" t="s">
        <v>89</v>
      </c>
      <c r="C1314" s="665"/>
      <c r="D1314" s="665"/>
      <c r="E1314" s="665"/>
      <c r="F1314" s="665"/>
      <c r="G1314" s="264"/>
      <c r="H1314" s="264"/>
      <c r="I1314" s="264"/>
      <c r="J1314" s="264"/>
      <c r="K1314" s="264"/>
      <c r="L1314" s="264">
        <v>0</v>
      </c>
      <c r="M1314" s="585">
        <v>0</v>
      </c>
      <c r="N1314" s="665"/>
      <c r="O1314" s="933" t="s">
        <v>855</v>
      </c>
    </row>
    <row r="1315" spans="1:15" s="267" customFormat="1" ht="24.75" customHeight="1">
      <c r="A1315" s="928"/>
      <c r="B1315" s="667" t="s">
        <v>246</v>
      </c>
      <c r="C1315" s="665"/>
      <c r="D1315" s="665"/>
      <c r="E1315" s="665"/>
      <c r="F1315" s="665"/>
      <c r="G1315" s="264"/>
      <c r="H1315" s="264"/>
      <c r="I1315" s="264"/>
      <c r="J1315" s="264"/>
      <c r="K1315" s="264"/>
      <c r="L1315" s="264">
        <v>0</v>
      </c>
      <c r="M1315" s="585">
        <f>15000-3000</f>
        <v>12000</v>
      </c>
      <c r="N1315" s="665"/>
      <c r="O1315" s="934"/>
    </row>
    <row r="1316" spans="1:15" s="267" customFormat="1" ht="24.75" customHeight="1">
      <c r="A1316" s="926" t="s">
        <v>983</v>
      </c>
      <c r="B1316" s="667" t="s">
        <v>89</v>
      </c>
      <c r="C1316" s="665"/>
      <c r="D1316" s="665"/>
      <c r="E1316" s="665"/>
      <c r="F1316" s="665"/>
      <c r="G1316" s="264"/>
      <c r="H1316" s="264"/>
      <c r="I1316" s="264"/>
      <c r="J1316" s="264"/>
      <c r="K1316" s="264"/>
      <c r="L1316" s="264">
        <v>0</v>
      </c>
      <c r="M1316" s="585">
        <v>0</v>
      </c>
      <c r="N1316" s="665"/>
      <c r="O1316" s="933" t="s">
        <v>855</v>
      </c>
    </row>
    <row r="1317" spans="1:15" s="267" customFormat="1" ht="24.75" customHeight="1">
      <c r="A1317" s="928"/>
      <c r="B1317" s="667" t="s">
        <v>246</v>
      </c>
      <c r="C1317" s="665"/>
      <c r="D1317" s="665"/>
      <c r="E1317" s="665"/>
      <c r="F1317" s="665"/>
      <c r="G1317" s="264"/>
      <c r="H1317" s="264"/>
      <c r="I1317" s="264"/>
      <c r="J1317" s="264"/>
      <c r="K1317" s="264"/>
      <c r="L1317" s="264">
        <v>0</v>
      </c>
      <c r="M1317" s="585">
        <f>620+1500</f>
        <v>2120</v>
      </c>
      <c r="N1317" s="665"/>
      <c r="O1317" s="934"/>
    </row>
    <row r="1318" spans="1:15" s="267" customFormat="1" ht="24.75" customHeight="1">
      <c r="A1318" s="926" t="s">
        <v>853</v>
      </c>
      <c r="B1318" s="484" t="s">
        <v>89</v>
      </c>
      <c r="C1318" s="482"/>
      <c r="D1318" s="482"/>
      <c r="E1318" s="482"/>
      <c r="F1318" s="482"/>
      <c r="G1318" s="264">
        <f>K1318</f>
        <v>1.1000000000000001</v>
      </c>
      <c r="H1318" s="264"/>
      <c r="I1318" s="264"/>
      <c r="J1318" s="264"/>
      <c r="K1318" s="264">
        <v>1.1000000000000001</v>
      </c>
      <c r="L1318" s="264"/>
      <c r="M1318" s="585">
        <v>1</v>
      </c>
      <c r="N1318" s="482"/>
      <c r="O1318" s="933" t="s">
        <v>1034</v>
      </c>
    </row>
    <row r="1319" spans="1:15" s="267" customFormat="1" ht="24.75" customHeight="1">
      <c r="A1319" s="928"/>
      <c r="B1319" s="484" t="s">
        <v>246</v>
      </c>
      <c r="C1319" s="482"/>
      <c r="D1319" s="482"/>
      <c r="E1319" s="482"/>
      <c r="F1319" s="482"/>
      <c r="G1319" s="264">
        <f>K1319</f>
        <v>13386.2</v>
      </c>
      <c r="H1319" s="264"/>
      <c r="I1319" s="264"/>
      <c r="J1319" s="264"/>
      <c r="K1319" s="264">
        <v>13386.2</v>
      </c>
      <c r="L1319" s="264">
        <f>19000-19000</f>
        <v>0</v>
      </c>
      <c r="M1319" s="585">
        <v>11657</v>
      </c>
      <c r="N1319" s="482"/>
      <c r="O1319" s="934"/>
    </row>
    <row r="1320" spans="1:15" s="267" customFormat="1" ht="24.75" customHeight="1">
      <c r="A1320" s="887" t="s">
        <v>162</v>
      </c>
      <c r="B1320" s="57" t="s">
        <v>89</v>
      </c>
      <c r="C1320" s="482"/>
      <c r="D1320" s="482"/>
      <c r="E1320" s="482"/>
      <c r="F1320" s="482"/>
      <c r="G1320" s="86">
        <f>G1324+G1326+G1330+G1332</f>
        <v>4.2</v>
      </c>
      <c r="H1320" s="86">
        <f t="shared" ref="H1320:M1320" si="434">H1324+H1326+H1330+H1332</f>
        <v>0</v>
      </c>
      <c r="I1320" s="86">
        <f t="shared" si="434"/>
        <v>0</v>
      </c>
      <c r="J1320" s="86">
        <f t="shared" si="434"/>
        <v>0</v>
      </c>
      <c r="K1320" s="86">
        <f t="shared" si="434"/>
        <v>4.2</v>
      </c>
      <c r="L1320" s="86">
        <f t="shared" si="434"/>
        <v>0</v>
      </c>
      <c r="M1320" s="584">
        <f t="shared" si="434"/>
        <v>1</v>
      </c>
      <c r="N1320" s="482"/>
      <c r="O1320" s="482"/>
    </row>
    <row r="1321" spans="1:15" s="267" customFormat="1" ht="24.75" customHeight="1">
      <c r="A1321" s="888"/>
      <c r="B1321" s="57" t="s">
        <v>25</v>
      </c>
      <c r="C1321" s="482"/>
      <c r="D1321" s="482"/>
      <c r="E1321" s="482"/>
      <c r="F1321" s="482"/>
      <c r="G1321" s="86">
        <f>G1322+G1323</f>
        <v>72527</v>
      </c>
      <c r="H1321" s="86">
        <f t="shared" ref="H1321:M1321" si="435">H1322+H1323</f>
        <v>0</v>
      </c>
      <c r="I1321" s="86">
        <f t="shared" si="435"/>
        <v>0</v>
      </c>
      <c r="J1321" s="86">
        <f t="shared" si="435"/>
        <v>0</v>
      </c>
      <c r="K1321" s="86">
        <f t="shared" si="435"/>
        <v>72527</v>
      </c>
      <c r="L1321" s="86">
        <f t="shared" si="435"/>
        <v>8284</v>
      </c>
      <c r="M1321" s="584">
        <f t="shared" si="435"/>
        <v>67760.7</v>
      </c>
      <c r="N1321" s="482"/>
      <c r="O1321" s="482"/>
    </row>
    <row r="1322" spans="1:15" s="267" customFormat="1" ht="24.75" customHeight="1">
      <c r="A1322" s="888"/>
      <c r="B1322" s="57" t="s">
        <v>10</v>
      </c>
      <c r="C1322" s="482"/>
      <c r="D1322" s="482"/>
      <c r="E1322" s="482"/>
      <c r="F1322" s="482"/>
      <c r="G1322" s="86">
        <f>G1325+G1328+G1333++G1331</f>
        <v>72527</v>
      </c>
      <c r="H1322" s="86">
        <f t="shared" ref="H1322:M1322" si="436">H1325+H1328+H1333++H1331</f>
        <v>0</v>
      </c>
      <c r="I1322" s="86">
        <f t="shared" si="436"/>
        <v>0</v>
      </c>
      <c r="J1322" s="86">
        <f t="shared" si="436"/>
        <v>0</v>
      </c>
      <c r="K1322" s="86">
        <f t="shared" si="436"/>
        <v>72527</v>
      </c>
      <c r="L1322" s="86">
        <f t="shared" si="436"/>
        <v>8284</v>
      </c>
      <c r="M1322" s="86">
        <f t="shared" si="436"/>
        <v>67760.7</v>
      </c>
      <c r="N1322" s="482"/>
      <c r="O1322" s="482"/>
    </row>
    <row r="1323" spans="1:15" s="267" customFormat="1" ht="24.75" hidden="1" customHeight="1">
      <c r="A1323" s="889"/>
      <c r="B1323" s="57" t="s">
        <v>495</v>
      </c>
      <c r="C1323" s="482"/>
      <c r="D1323" s="482"/>
      <c r="E1323" s="482"/>
      <c r="F1323" s="482"/>
      <c r="G1323" s="86">
        <f>G1329</f>
        <v>0</v>
      </c>
      <c r="H1323" s="86">
        <f t="shared" ref="H1323:M1323" si="437">H1329</f>
        <v>0</v>
      </c>
      <c r="I1323" s="86">
        <f t="shared" si="437"/>
        <v>0</v>
      </c>
      <c r="J1323" s="86">
        <f t="shared" si="437"/>
        <v>0</v>
      </c>
      <c r="K1323" s="86">
        <f t="shared" si="437"/>
        <v>0</v>
      </c>
      <c r="L1323" s="86">
        <f t="shared" si="437"/>
        <v>0</v>
      </c>
      <c r="M1323" s="584">
        <f t="shared" si="437"/>
        <v>0</v>
      </c>
      <c r="N1323" s="482"/>
      <c r="O1323" s="482"/>
    </row>
    <row r="1324" spans="1:15" s="267" customFormat="1" ht="24.75" customHeight="1">
      <c r="A1324" s="926" t="s">
        <v>630</v>
      </c>
      <c r="B1324" s="484" t="s">
        <v>89</v>
      </c>
      <c r="C1324" s="482"/>
      <c r="D1324" s="482"/>
      <c r="E1324" s="482"/>
      <c r="F1324" s="482"/>
      <c r="G1324" s="264"/>
      <c r="H1324" s="264"/>
      <c r="I1324" s="264"/>
      <c r="J1324" s="264"/>
      <c r="K1324" s="264"/>
      <c r="L1324" s="264"/>
      <c r="M1324" s="585"/>
      <c r="N1324" s="482"/>
      <c r="O1324" s="933" t="s">
        <v>855</v>
      </c>
    </row>
    <row r="1325" spans="1:15" s="267" customFormat="1" ht="24.75" customHeight="1">
      <c r="A1325" s="928"/>
      <c r="B1325" s="484" t="s">
        <v>246</v>
      </c>
      <c r="C1325" s="482"/>
      <c r="D1325" s="482"/>
      <c r="E1325" s="482"/>
      <c r="F1325" s="482"/>
      <c r="G1325" s="264"/>
      <c r="H1325" s="264"/>
      <c r="I1325" s="264"/>
      <c r="J1325" s="264"/>
      <c r="K1325" s="264"/>
      <c r="L1325" s="264"/>
      <c r="M1325" s="585">
        <v>10200</v>
      </c>
      <c r="N1325" s="482"/>
      <c r="O1325" s="934"/>
    </row>
    <row r="1326" spans="1:15" s="267" customFormat="1" ht="24.75" customHeight="1">
      <c r="A1326" s="926" t="s">
        <v>631</v>
      </c>
      <c r="B1326" s="484" t="s">
        <v>89</v>
      </c>
      <c r="C1326" s="482"/>
      <c r="D1326" s="482"/>
      <c r="E1326" s="482"/>
      <c r="F1326" s="482"/>
      <c r="G1326" s="264">
        <f>K1326</f>
        <v>3</v>
      </c>
      <c r="H1326" s="264"/>
      <c r="I1326" s="264"/>
      <c r="J1326" s="264"/>
      <c r="K1326" s="264">
        <v>3</v>
      </c>
      <c r="L1326" s="264"/>
      <c r="M1326" s="585"/>
      <c r="N1326" s="482"/>
      <c r="O1326" s="933" t="s">
        <v>1002</v>
      </c>
    </row>
    <row r="1327" spans="1:15" s="267" customFormat="1" ht="24.75" customHeight="1">
      <c r="A1327" s="927"/>
      <c r="B1327" s="484" t="s">
        <v>25</v>
      </c>
      <c r="C1327" s="482"/>
      <c r="D1327" s="482"/>
      <c r="E1327" s="482"/>
      <c r="F1327" s="482"/>
      <c r="G1327" s="264">
        <f>G1328</f>
        <v>30574.6</v>
      </c>
      <c r="H1327" s="264">
        <f t="shared" ref="H1327:K1327" si="438">H1328</f>
        <v>0</v>
      </c>
      <c r="I1327" s="264">
        <f t="shared" si="438"/>
        <v>0</v>
      </c>
      <c r="J1327" s="264">
        <f t="shared" si="438"/>
        <v>0</v>
      </c>
      <c r="K1327" s="264">
        <f t="shared" si="438"/>
        <v>30574.6</v>
      </c>
      <c r="L1327" s="264">
        <f t="shared" ref="L1327" si="439">L1328+L1329</f>
        <v>0</v>
      </c>
      <c r="M1327" s="585">
        <v>45000</v>
      </c>
      <c r="N1327" s="482"/>
      <c r="O1327" s="946"/>
    </row>
    <row r="1328" spans="1:15" s="267" customFormat="1" ht="24.75" customHeight="1">
      <c r="A1328" s="927"/>
      <c r="B1328" s="484" t="s">
        <v>10</v>
      </c>
      <c r="C1328" s="482"/>
      <c r="D1328" s="482"/>
      <c r="E1328" s="482"/>
      <c r="F1328" s="482"/>
      <c r="G1328" s="264">
        <f t="shared" ref="G1328:G1329" si="440">K1328</f>
        <v>30574.6</v>
      </c>
      <c r="H1328" s="264"/>
      <c r="I1328" s="264"/>
      <c r="J1328" s="264"/>
      <c r="K1328" s="264">
        <v>30574.6</v>
      </c>
      <c r="L1328" s="264"/>
      <c r="M1328" s="585">
        <v>45000</v>
      </c>
      <c r="N1328" s="482"/>
      <c r="O1328" s="946"/>
    </row>
    <row r="1329" spans="1:66" s="267" customFormat="1" ht="24.75" customHeight="1">
      <c r="A1329" s="928"/>
      <c r="B1329" s="484" t="s">
        <v>495</v>
      </c>
      <c r="C1329" s="482"/>
      <c r="D1329" s="482"/>
      <c r="E1329" s="482"/>
      <c r="F1329" s="482"/>
      <c r="G1329" s="264">
        <f t="shared" si="440"/>
        <v>0</v>
      </c>
      <c r="H1329" s="264"/>
      <c r="I1329" s="264"/>
      <c r="J1329" s="264"/>
      <c r="K1329" s="264"/>
      <c r="L1329" s="264"/>
      <c r="M1329" s="585"/>
      <c r="N1329" s="482"/>
      <c r="O1329" s="934"/>
    </row>
    <row r="1330" spans="1:66" s="267" customFormat="1" ht="24.75" customHeight="1">
      <c r="A1330" s="926" t="s">
        <v>632</v>
      </c>
      <c r="B1330" s="484" t="s">
        <v>89</v>
      </c>
      <c r="C1330" s="482"/>
      <c r="D1330" s="482"/>
      <c r="E1330" s="482"/>
      <c r="F1330" s="482"/>
      <c r="G1330" s="264">
        <f t="shared" ref="G1330:G1335" si="441">K1330</f>
        <v>0</v>
      </c>
      <c r="H1330" s="264"/>
      <c r="I1330" s="264"/>
      <c r="J1330" s="264"/>
      <c r="K1330" s="264"/>
      <c r="L1330" s="264"/>
      <c r="M1330" s="585"/>
      <c r="N1330" s="482"/>
      <c r="O1330" s="933" t="s">
        <v>855</v>
      </c>
    </row>
    <row r="1331" spans="1:66" s="267" customFormat="1" ht="24.75" customHeight="1">
      <c r="A1331" s="928"/>
      <c r="B1331" s="484" t="s">
        <v>246</v>
      </c>
      <c r="C1331" s="482"/>
      <c r="D1331" s="482"/>
      <c r="E1331" s="482"/>
      <c r="F1331" s="482"/>
      <c r="G1331" s="264">
        <f t="shared" si="441"/>
        <v>8040</v>
      </c>
      <c r="H1331" s="264"/>
      <c r="I1331" s="264"/>
      <c r="J1331" s="264"/>
      <c r="K1331" s="264">
        <v>8040</v>
      </c>
      <c r="L1331" s="264"/>
      <c r="M1331" s="585"/>
      <c r="N1331" s="482"/>
      <c r="O1331" s="934"/>
    </row>
    <row r="1332" spans="1:66" s="267" customFormat="1" ht="24.75" customHeight="1">
      <c r="A1332" s="926" t="s">
        <v>853</v>
      </c>
      <c r="B1332" s="484" t="s">
        <v>89</v>
      </c>
      <c r="C1332" s="482"/>
      <c r="D1332" s="482"/>
      <c r="E1332" s="482"/>
      <c r="F1332" s="482"/>
      <c r="G1332" s="264">
        <f t="shared" si="441"/>
        <v>1.2</v>
      </c>
      <c r="H1332" s="264"/>
      <c r="I1332" s="264"/>
      <c r="J1332" s="264"/>
      <c r="K1332" s="264">
        <v>1.2</v>
      </c>
      <c r="L1332" s="264"/>
      <c r="M1332" s="585">
        <v>1</v>
      </c>
      <c r="N1332" s="482"/>
      <c r="O1332" s="933" t="s">
        <v>1024</v>
      </c>
    </row>
    <row r="1333" spans="1:66" s="267" customFormat="1" ht="24.75" customHeight="1">
      <c r="A1333" s="928"/>
      <c r="B1333" s="484" t="s">
        <v>246</v>
      </c>
      <c r="C1333" s="482"/>
      <c r="D1333" s="482"/>
      <c r="E1333" s="482"/>
      <c r="F1333" s="482"/>
      <c r="G1333" s="264">
        <f t="shared" si="441"/>
        <v>33912.400000000001</v>
      </c>
      <c r="H1333" s="264"/>
      <c r="I1333" s="264"/>
      <c r="J1333" s="264"/>
      <c r="K1333" s="264">
        <f>14912.4+19000</f>
        <v>33912.400000000001</v>
      </c>
      <c r="L1333" s="264">
        <f>17000+8784-17000-500</f>
        <v>8284</v>
      </c>
      <c r="M1333" s="585">
        <v>12560.7</v>
      </c>
      <c r="N1333" s="482"/>
      <c r="O1333" s="934"/>
    </row>
    <row r="1334" spans="1:66" ht="66" customHeight="1">
      <c r="A1334" s="72" t="s">
        <v>32</v>
      </c>
      <c r="B1334" s="482" t="s">
        <v>246</v>
      </c>
      <c r="C1334" s="482">
        <v>176</v>
      </c>
      <c r="D1334" s="482" t="s">
        <v>15</v>
      </c>
      <c r="E1334" s="482">
        <v>6100404</v>
      </c>
      <c r="F1334" s="482">
        <v>244</v>
      </c>
      <c r="G1334" s="264">
        <f t="shared" si="441"/>
        <v>7500</v>
      </c>
      <c r="H1334" s="264"/>
      <c r="I1334" s="264"/>
      <c r="J1334" s="264">
        <v>0</v>
      </c>
      <c r="K1334" s="264">
        <v>7500</v>
      </c>
      <c r="L1334" s="264">
        <v>4000</v>
      </c>
      <c r="M1334" s="585">
        <v>17125</v>
      </c>
      <c r="N1334" s="482"/>
      <c r="O1334" s="483" t="s">
        <v>472</v>
      </c>
      <c r="P1334" s="267"/>
      <c r="Q1334" s="267"/>
      <c r="R1334" s="267"/>
      <c r="S1334" s="267"/>
      <c r="T1334" s="267"/>
      <c r="U1334" s="267"/>
      <c r="V1334" s="267"/>
      <c r="W1334" s="267"/>
      <c r="X1334" s="267"/>
      <c r="Y1334" s="267"/>
      <c r="Z1334" s="267"/>
      <c r="AA1334" s="267"/>
      <c r="AB1334" s="267"/>
      <c r="AC1334" s="267"/>
      <c r="AD1334" s="267"/>
      <c r="AE1334" s="267"/>
      <c r="AF1334" s="267"/>
      <c r="AG1334" s="267"/>
      <c r="AH1334" s="267"/>
      <c r="AI1334" s="267"/>
      <c r="BJ1334" s="267"/>
      <c r="BK1334" s="267"/>
      <c r="BL1334" s="267"/>
      <c r="BM1334" s="267"/>
      <c r="BN1334" s="267"/>
    </row>
    <row r="1335" spans="1:66" ht="50.25" customHeight="1">
      <c r="A1335" s="493" t="s">
        <v>1003</v>
      </c>
      <c r="B1335" s="484" t="s">
        <v>246</v>
      </c>
      <c r="C1335" s="484"/>
      <c r="D1335" s="484"/>
      <c r="E1335" s="484"/>
      <c r="F1335" s="484"/>
      <c r="G1335" s="81">
        <f t="shared" si="441"/>
        <v>20000</v>
      </c>
      <c r="H1335" s="81"/>
      <c r="I1335" s="81"/>
      <c r="J1335" s="81"/>
      <c r="K1335" s="81">
        <v>20000</v>
      </c>
      <c r="L1335" s="81">
        <v>12000</v>
      </c>
      <c r="M1335" s="580">
        <v>20000</v>
      </c>
      <c r="N1335" s="484"/>
      <c r="O1335" s="666" t="s">
        <v>1004</v>
      </c>
      <c r="P1335" s="267"/>
      <c r="Q1335" s="267"/>
      <c r="R1335" s="267"/>
      <c r="S1335" s="267"/>
      <c r="T1335" s="267"/>
      <c r="U1335" s="267"/>
      <c r="V1335" s="267"/>
      <c r="W1335" s="267"/>
      <c r="X1335" s="267"/>
      <c r="Y1335" s="267"/>
      <c r="Z1335" s="267"/>
      <c r="AA1335" s="267"/>
      <c r="AB1335" s="267"/>
      <c r="AC1335" s="267"/>
      <c r="AD1335" s="267"/>
      <c r="AE1335" s="267"/>
      <c r="AF1335" s="267"/>
      <c r="AG1335" s="267"/>
      <c r="AH1335" s="267"/>
      <c r="AI1335" s="267"/>
      <c r="BJ1335" s="267"/>
      <c r="BK1335" s="267"/>
      <c r="BL1335" s="267"/>
      <c r="BM1335" s="267"/>
      <c r="BN1335" s="267"/>
    </row>
    <row r="1336" spans="1:66" ht="20.25" customHeight="1">
      <c r="A1336" s="887" t="s">
        <v>950</v>
      </c>
      <c r="B1336" s="663" t="s">
        <v>89</v>
      </c>
      <c r="C1336" s="484"/>
      <c r="D1336" s="484"/>
      <c r="E1336" s="484"/>
      <c r="F1336" s="484"/>
      <c r="G1336" s="80"/>
      <c r="H1336" s="81"/>
      <c r="I1336" s="80"/>
      <c r="J1336" s="80"/>
      <c r="K1336" s="80">
        <v>0</v>
      </c>
      <c r="L1336" s="80">
        <v>0</v>
      </c>
      <c r="M1336" s="439"/>
      <c r="N1336" s="933" t="s">
        <v>791</v>
      </c>
      <c r="O1336" s="933" t="s">
        <v>949</v>
      </c>
      <c r="P1336" s="267"/>
      <c r="Q1336" s="267"/>
      <c r="R1336" s="267"/>
      <c r="S1336" s="267"/>
      <c r="T1336" s="267"/>
      <c r="U1336" s="267"/>
      <c r="V1336" s="267"/>
      <c r="W1336" s="267"/>
      <c r="X1336" s="267"/>
      <c r="Y1336" s="267"/>
      <c r="Z1336" s="267"/>
      <c r="AA1336" s="267"/>
      <c r="AB1336" s="267"/>
      <c r="AC1336" s="267"/>
      <c r="AD1336" s="267"/>
      <c r="AE1336" s="267"/>
      <c r="AF1336" s="267"/>
      <c r="AG1336" s="267"/>
      <c r="AH1336" s="267"/>
      <c r="AI1336" s="267"/>
      <c r="BJ1336" s="267"/>
      <c r="BK1336" s="267"/>
      <c r="BL1336" s="267"/>
      <c r="BM1336" s="267"/>
      <c r="BN1336" s="267"/>
    </row>
    <row r="1337" spans="1:66" ht="23.25" customHeight="1">
      <c r="A1337" s="888"/>
      <c r="B1337" s="663" t="s">
        <v>493</v>
      </c>
      <c r="C1337" s="484"/>
      <c r="D1337" s="484"/>
      <c r="E1337" s="484"/>
      <c r="F1337" s="484"/>
      <c r="G1337" s="80"/>
      <c r="H1337" s="80"/>
      <c r="I1337" s="80"/>
      <c r="J1337" s="80"/>
      <c r="K1337" s="80"/>
      <c r="L1337" s="80"/>
      <c r="M1337" s="80"/>
      <c r="N1337" s="946"/>
      <c r="O1337" s="946"/>
      <c r="P1337" s="267"/>
      <c r="Q1337" s="267"/>
      <c r="R1337" s="267"/>
      <c r="S1337" s="267"/>
      <c r="T1337" s="267"/>
      <c r="U1337" s="267"/>
      <c r="V1337" s="267"/>
      <c r="W1337" s="267"/>
      <c r="X1337" s="267"/>
      <c r="Y1337" s="267"/>
      <c r="Z1337" s="267"/>
      <c r="AA1337" s="267"/>
      <c r="AB1337" s="267"/>
      <c r="AC1337" s="267"/>
      <c r="AD1337" s="267"/>
      <c r="AE1337" s="267"/>
      <c r="AF1337" s="267"/>
      <c r="AG1337" s="267"/>
      <c r="AH1337" s="267"/>
      <c r="AI1337" s="267"/>
      <c r="BJ1337" s="267"/>
      <c r="BK1337" s="267"/>
      <c r="BL1337" s="267"/>
      <c r="BM1337" s="267"/>
      <c r="BN1337" s="267"/>
    </row>
    <row r="1338" spans="1:66" ht="27" customHeight="1">
      <c r="A1338" s="888"/>
      <c r="B1338" s="663" t="s">
        <v>494</v>
      </c>
      <c r="C1338" s="484"/>
      <c r="D1338" s="484"/>
      <c r="E1338" s="484"/>
      <c r="F1338" s="484"/>
      <c r="G1338" s="80">
        <f>H1338</f>
        <v>6854.1</v>
      </c>
      <c r="H1338" s="80">
        <f t="shared" ref="H1338:M1338" si="442">H1339+H1340+H1341</f>
        <v>6854.1</v>
      </c>
      <c r="I1338" s="80">
        <f t="shared" si="442"/>
        <v>0</v>
      </c>
      <c r="J1338" s="80">
        <f t="shared" si="442"/>
        <v>0</v>
      </c>
      <c r="K1338" s="80">
        <f t="shared" si="442"/>
        <v>0</v>
      </c>
      <c r="L1338" s="80">
        <f t="shared" si="442"/>
        <v>0</v>
      </c>
      <c r="M1338" s="439">
        <f t="shared" si="442"/>
        <v>0</v>
      </c>
      <c r="N1338" s="946"/>
      <c r="O1338" s="946"/>
      <c r="P1338" s="267"/>
      <c r="Q1338" s="267"/>
      <c r="R1338" s="267"/>
      <c r="S1338" s="267"/>
      <c r="T1338" s="267"/>
      <c r="U1338" s="267"/>
      <c r="V1338" s="267"/>
      <c r="W1338" s="267"/>
      <c r="X1338" s="267"/>
      <c r="Y1338" s="267"/>
      <c r="Z1338" s="267"/>
      <c r="AA1338" s="267"/>
      <c r="AB1338" s="267"/>
      <c r="AC1338" s="267"/>
      <c r="AD1338" s="267"/>
      <c r="AE1338" s="267"/>
      <c r="AF1338" s="267"/>
      <c r="AG1338" s="267"/>
      <c r="AH1338" s="267"/>
      <c r="AI1338" s="267"/>
      <c r="BJ1338" s="267"/>
      <c r="BK1338" s="267"/>
      <c r="BL1338" s="267"/>
      <c r="BM1338" s="267"/>
      <c r="BN1338" s="267"/>
    </row>
    <row r="1339" spans="1:66" ht="19.5" customHeight="1">
      <c r="A1339" s="888"/>
      <c r="B1339" s="663" t="s">
        <v>495</v>
      </c>
      <c r="C1339" s="484"/>
      <c r="D1339" s="484"/>
      <c r="E1339" s="484"/>
      <c r="F1339" s="484"/>
      <c r="G1339" s="80">
        <f t="shared" ref="G1339:G1341" si="443">K1339</f>
        <v>0</v>
      </c>
      <c r="H1339" s="80">
        <f t="shared" ref="H1339:M1341" si="444">H1344+H1348+H1352+H1356+H1360</f>
        <v>0</v>
      </c>
      <c r="I1339" s="80">
        <f t="shared" si="444"/>
        <v>0</v>
      </c>
      <c r="J1339" s="80">
        <f t="shared" si="444"/>
        <v>0</v>
      </c>
      <c r="K1339" s="80">
        <f t="shared" si="444"/>
        <v>0</v>
      </c>
      <c r="L1339" s="80">
        <f t="shared" si="444"/>
        <v>0</v>
      </c>
      <c r="M1339" s="439">
        <f t="shared" si="444"/>
        <v>0</v>
      </c>
      <c r="N1339" s="946"/>
      <c r="O1339" s="946"/>
      <c r="P1339" s="267"/>
      <c r="Q1339" s="267"/>
      <c r="R1339" s="267"/>
      <c r="S1339" s="267"/>
      <c r="T1339" s="267"/>
      <c r="U1339" s="267"/>
      <c r="V1339" s="267"/>
      <c r="W1339" s="267"/>
      <c r="X1339" s="267"/>
      <c r="Y1339" s="267"/>
      <c r="Z1339" s="267"/>
      <c r="AA1339" s="267"/>
      <c r="AB1339" s="267"/>
      <c r="AC1339" s="267"/>
      <c r="AD1339" s="267"/>
      <c r="AE1339" s="267"/>
      <c r="AF1339" s="267"/>
      <c r="AG1339" s="267"/>
      <c r="AH1339" s="267"/>
      <c r="AI1339" s="267"/>
      <c r="BJ1339" s="267"/>
      <c r="BK1339" s="267"/>
      <c r="BL1339" s="267"/>
      <c r="BM1339" s="267"/>
      <c r="BN1339" s="267"/>
    </row>
    <row r="1340" spans="1:66" ht="21.75" customHeight="1">
      <c r="A1340" s="888"/>
      <c r="B1340" s="663" t="s">
        <v>10</v>
      </c>
      <c r="C1340" s="484"/>
      <c r="D1340" s="484"/>
      <c r="E1340" s="484"/>
      <c r="F1340" s="484"/>
      <c r="G1340" s="80">
        <f>H1340</f>
        <v>6854.1</v>
      </c>
      <c r="H1340" s="80">
        <v>6854.1</v>
      </c>
      <c r="I1340" s="80">
        <f t="shared" si="444"/>
        <v>0</v>
      </c>
      <c r="J1340" s="80">
        <f t="shared" si="444"/>
        <v>0</v>
      </c>
      <c r="K1340" s="80"/>
      <c r="L1340" s="80">
        <f t="shared" si="444"/>
        <v>0</v>
      </c>
      <c r="M1340" s="439">
        <f t="shared" si="444"/>
        <v>0</v>
      </c>
      <c r="N1340" s="946"/>
      <c r="O1340" s="946"/>
      <c r="P1340" s="267"/>
      <c r="Q1340" s="267"/>
      <c r="R1340" s="267"/>
      <c r="S1340" s="267"/>
      <c r="T1340" s="267"/>
      <c r="U1340" s="267"/>
      <c r="V1340" s="267"/>
      <c r="W1340" s="267"/>
      <c r="X1340" s="267"/>
      <c r="Y1340" s="267"/>
      <c r="Z1340" s="267"/>
      <c r="AA1340" s="267"/>
      <c r="AB1340" s="267"/>
      <c r="AC1340" s="267"/>
      <c r="AD1340" s="267"/>
      <c r="AE1340" s="267"/>
      <c r="AF1340" s="267"/>
      <c r="AG1340" s="267"/>
      <c r="AH1340" s="267"/>
      <c r="AI1340" s="267"/>
      <c r="BJ1340" s="267"/>
      <c r="BK1340" s="267"/>
      <c r="BL1340" s="267"/>
      <c r="BM1340" s="267"/>
      <c r="BN1340" s="267"/>
    </row>
    <row r="1341" spans="1:66" ht="21" customHeight="1">
      <c r="A1341" s="888"/>
      <c r="B1341" s="663" t="s">
        <v>435</v>
      </c>
      <c r="C1341" s="484"/>
      <c r="D1341" s="484"/>
      <c r="E1341" s="484"/>
      <c r="F1341" s="484"/>
      <c r="G1341" s="80">
        <f t="shared" si="443"/>
        <v>0</v>
      </c>
      <c r="H1341" s="80">
        <f t="shared" si="444"/>
        <v>0</v>
      </c>
      <c r="I1341" s="80">
        <f t="shared" si="444"/>
        <v>0</v>
      </c>
      <c r="J1341" s="80">
        <f t="shared" si="444"/>
        <v>0</v>
      </c>
      <c r="K1341" s="80">
        <f t="shared" si="444"/>
        <v>0</v>
      </c>
      <c r="L1341" s="80">
        <f t="shared" si="444"/>
        <v>0</v>
      </c>
      <c r="M1341" s="439">
        <f t="shared" si="444"/>
        <v>0</v>
      </c>
      <c r="N1341" s="946"/>
      <c r="O1341" s="946"/>
      <c r="P1341" s="267"/>
      <c r="Q1341" s="267"/>
      <c r="R1341" s="267"/>
      <c r="S1341" s="267"/>
      <c r="T1341" s="267"/>
      <c r="U1341" s="267"/>
      <c r="V1341" s="267"/>
      <c r="W1341" s="267"/>
      <c r="X1341" s="267"/>
      <c r="Y1341" s="267"/>
      <c r="Z1341" s="267"/>
      <c r="AA1341" s="267"/>
      <c r="AB1341" s="267"/>
      <c r="AC1341" s="267"/>
      <c r="AD1341" s="267"/>
      <c r="AE1341" s="267"/>
      <c r="AF1341" s="267"/>
      <c r="AG1341" s="267"/>
      <c r="AH1341" s="267"/>
      <c r="AI1341" s="267"/>
      <c r="BJ1341" s="267"/>
      <c r="BK1341" s="267"/>
      <c r="BL1341" s="267"/>
      <c r="BM1341" s="267"/>
      <c r="BN1341" s="267"/>
    </row>
    <row r="1342" spans="1:66" ht="23.25" customHeight="1">
      <c r="A1342" s="889"/>
      <c r="B1342" s="663" t="s">
        <v>447</v>
      </c>
      <c r="C1342" s="484"/>
      <c r="D1342" s="484"/>
      <c r="E1342" s="484"/>
      <c r="F1342" s="484"/>
      <c r="G1342" s="80"/>
      <c r="H1342" s="81"/>
      <c r="I1342" s="80"/>
      <c r="J1342" s="80"/>
      <c r="K1342" s="80"/>
      <c r="L1342" s="80"/>
      <c r="M1342" s="439"/>
      <c r="N1342" s="934"/>
      <c r="O1342" s="934"/>
      <c r="P1342" s="267"/>
      <c r="Q1342" s="267"/>
      <c r="R1342" s="267"/>
      <c r="S1342" s="267"/>
      <c r="T1342" s="267"/>
      <c r="U1342" s="267"/>
      <c r="V1342" s="267"/>
      <c r="W1342" s="267"/>
      <c r="X1342" s="267"/>
      <c r="Y1342" s="267"/>
      <c r="Z1342" s="267"/>
      <c r="AA1342" s="267"/>
      <c r="AB1342" s="267"/>
      <c r="AC1342" s="267"/>
      <c r="AD1342" s="267"/>
      <c r="AE1342" s="267"/>
      <c r="AF1342" s="267"/>
      <c r="AG1342" s="267"/>
      <c r="AH1342" s="267"/>
      <c r="AI1342" s="267"/>
      <c r="BJ1342" s="267"/>
      <c r="BK1342" s="267"/>
      <c r="BL1342" s="267"/>
      <c r="BM1342" s="267"/>
      <c r="BN1342" s="267"/>
    </row>
    <row r="1343" spans="1:66" ht="27.75" hidden="1" customHeight="1">
      <c r="A1343" s="887" t="s">
        <v>75</v>
      </c>
      <c r="B1343" s="103" t="s">
        <v>25</v>
      </c>
      <c r="C1343" s="484"/>
      <c r="D1343" s="484"/>
      <c r="E1343" s="484"/>
      <c r="F1343" s="484"/>
      <c r="G1343" s="80">
        <f>G1344+G1345+G1346</f>
        <v>0</v>
      </c>
      <c r="H1343" s="80">
        <f t="shared" ref="H1343:M1343" si="445">H1344+H1345+H1346</f>
        <v>0</v>
      </c>
      <c r="I1343" s="80">
        <f t="shared" si="445"/>
        <v>0</v>
      </c>
      <c r="J1343" s="80">
        <f t="shared" si="445"/>
        <v>0</v>
      </c>
      <c r="K1343" s="80">
        <f t="shared" si="445"/>
        <v>0</v>
      </c>
      <c r="L1343" s="80">
        <f t="shared" si="445"/>
        <v>0</v>
      </c>
      <c r="M1343" s="439">
        <f t="shared" si="445"/>
        <v>0</v>
      </c>
      <c r="N1343" s="484"/>
      <c r="O1343" s="933"/>
      <c r="P1343" s="267"/>
      <c r="Q1343" s="267"/>
      <c r="R1343" s="267"/>
      <c r="S1343" s="267"/>
      <c r="T1343" s="267"/>
      <c r="U1343" s="267"/>
      <c r="V1343" s="267"/>
      <c r="W1343" s="267"/>
      <c r="X1343" s="267"/>
      <c r="Y1343" s="267"/>
      <c r="Z1343" s="267"/>
      <c r="AA1343" s="267"/>
      <c r="AB1343" s="267"/>
      <c r="AC1343" s="267"/>
      <c r="AD1343" s="267"/>
      <c r="AE1343" s="267"/>
      <c r="AF1343" s="267"/>
      <c r="AG1343" s="267"/>
      <c r="AH1343" s="267"/>
      <c r="AI1343" s="267"/>
      <c r="BJ1343" s="267"/>
      <c r="BK1343" s="267"/>
      <c r="BL1343" s="267"/>
      <c r="BM1343" s="267"/>
      <c r="BN1343" s="267"/>
    </row>
    <row r="1344" spans="1:66" ht="26.25" hidden="1" customHeight="1">
      <c r="A1344" s="888"/>
      <c r="B1344" s="479" t="s">
        <v>10</v>
      </c>
      <c r="C1344" s="484"/>
      <c r="D1344" s="484"/>
      <c r="E1344" s="484"/>
      <c r="F1344" s="484"/>
      <c r="G1344" s="80">
        <f>K1344</f>
        <v>0</v>
      </c>
      <c r="H1344" s="81"/>
      <c r="I1344" s="80"/>
      <c r="J1344" s="80"/>
      <c r="K1344" s="80"/>
      <c r="L1344" s="80"/>
      <c r="M1344" s="439"/>
      <c r="N1344" s="484"/>
      <c r="O1344" s="946"/>
      <c r="P1344" s="267"/>
      <c r="Q1344" s="267"/>
      <c r="R1344" s="267"/>
      <c r="S1344" s="267"/>
      <c r="T1344" s="267"/>
      <c r="U1344" s="267"/>
      <c r="V1344" s="267"/>
      <c r="W1344" s="267"/>
      <c r="X1344" s="267"/>
      <c r="Y1344" s="267"/>
      <c r="Z1344" s="267"/>
      <c r="AA1344" s="267"/>
      <c r="AB1344" s="267"/>
      <c r="AC1344" s="267"/>
      <c r="AD1344" s="267"/>
      <c r="AE1344" s="267"/>
      <c r="AF1344" s="267"/>
      <c r="AG1344" s="267"/>
      <c r="AH1344" s="267"/>
      <c r="AI1344" s="267"/>
      <c r="BJ1344" s="267"/>
      <c r="BK1344" s="267"/>
      <c r="BL1344" s="267"/>
      <c r="BM1344" s="267"/>
      <c r="BN1344" s="267"/>
    </row>
    <row r="1345" spans="1:66" ht="26.25" hidden="1" customHeight="1">
      <c r="A1345" s="888"/>
      <c r="B1345" s="479" t="s">
        <v>436</v>
      </c>
      <c r="C1345" s="484"/>
      <c r="D1345" s="484"/>
      <c r="E1345" s="484"/>
      <c r="F1345" s="484"/>
      <c r="G1345" s="80">
        <f>K1345</f>
        <v>0</v>
      </c>
      <c r="H1345" s="81"/>
      <c r="I1345" s="80"/>
      <c r="J1345" s="80"/>
      <c r="K1345" s="80"/>
      <c r="L1345" s="80"/>
      <c r="M1345" s="439"/>
      <c r="N1345" s="484"/>
      <c r="O1345" s="946"/>
      <c r="P1345" s="267"/>
      <c r="Q1345" s="267"/>
      <c r="R1345" s="267"/>
      <c r="S1345" s="267"/>
      <c r="T1345" s="267"/>
      <c r="U1345" s="267"/>
      <c r="V1345" s="267"/>
      <c r="W1345" s="267"/>
      <c r="X1345" s="267"/>
      <c r="Y1345" s="267"/>
      <c r="Z1345" s="267"/>
      <c r="AA1345" s="267"/>
      <c r="AB1345" s="267"/>
      <c r="AC1345" s="267"/>
      <c r="AD1345" s="267"/>
      <c r="AE1345" s="267"/>
      <c r="AF1345" s="267"/>
      <c r="AG1345" s="267"/>
      <c r="AH1345" s="267"/>
      <c r="AI1345" s="267"/>
      <c r="BJ1345" s="267"/>
      <c r="BK1345" s="267"/>
      <c r="BL1345" s="267"/>
      <c r="BM1345" s="267"/>
      <c r="BN1345" s="267"/>
    </row>
    <row r="1346" spans="1:66" ht="26.25" hidden="1" customHeight="1">
      <c r="A1346" s="889"/>
      <c r="B1346" s="479" t="s">
        <v>469</v>
      </c>
      <c r="C1346" s="484"/>
      <c r="D1346" s="484"/>
      <c r="E1346" s="484"/>
      <c r="F1346" s="484"/>
      <c r="G1346" s="80"/>
      <c r="H1346" s="81"/>
      <c r="I1346" s="80"/>
      <c r="J1346" s="80"/>
      <c r="K1346" s="80"/>
      <c r="L1346" s="80"/>
      <c r="M1346" s="439"/>
      <c r="N1346" s="484"/>
      <c r="O1346" s="934"/>
      <c r="P1346" s="267"/>
      <c r="Q1346" s="267"/>
      <c r="R1346" s="267"/>
      <c r="S1346" s="267"/>
      <c r="T1346" s="267"/>
      <c r="U1346" s="267"/>
      <c r="V1346" s="267"/>
      <c r="W1346" s="267"/>
      <c r="X1346" s="267"/>
      <c r="Y1346" s="267"/>
      <c r="Z1346" s="267"/>
      <c r="AA1346" s="267"/>
      <c r="AB1346" s="267"/>
      <c r="AC1346" s="267"/>
      <c r="AD1346" s="267"/>
      <c r="AE1346" s="267"/>
      <c r="AF1346" s="267"/>
      <c r="AG1346" s="267"/>
      <c r="AH1346" s="267"/>
      <c r="AI1346" s="267"/>
      <c r="BJ1346" s="267"/>
      <c r="BK1346" s="267"/>
      <c r="BL1346" s="267"/>
      <c r="BM1346" s="267"/>
      <c r="BN1346" s="267"/>
    </row>
    <row r="1347" spans="1:66" ht="26.25" hidden="1" customHeight="1">
      <c r="A1347" s="887" t="s">
        <v>76</v>
      </c>
      <c r="B1347" s="103" t="s">
        <v>25</v>
      </c>
      <c r="C1347" s="484"/>
      <c r="D1347" s="484"/>
      <c r="E1347" s="484"/>
      <c r="F1347" s="484"/>
      <c r="G1347" s="80">
        <f>G1348+G1349+G1350</f>
        <v>0</v>
      </c>
      <c r="H1347" s="80">
        <f t="shared" ref="H1347:M1347" si="446">H1348+H1349+H1350</f>
        <v>0</v>
      </c>
      <c r="I1347" s="80">
        <f t="shared" si="446"/>
        <v>0</v>
      </c>
      <c r="J1347" s="80">
        <f t="shared" si="446"/>
        <v>0</v>
      </c>
      <c r="K1347" s="80">
        <f t="shared" si="446"/>
        <v>0</v>
      </c>
      <c r="L1347" s="80">
        <f t="shared" si="446"/>
        <v>0</v>
      </c>
      <c r="M1347" s="439">
        <f t="shared" si="446"/>
        <v>0</v>
      </c>
      <c r="N1347" s="484"/>
      <c r="O1347" s="933"/>
      <c r="P1347" s="267"/>
      <c r="Q1347" s="267"/>
      <c r="R1347" s="267"/>
      <c r="S1347" s="267"/>
      <c r="T1347" s="267"/>
      <c r="U1347" s="267"/>
      <c r="V1347" s="267"/>
      <c r="W1347" s="267"/>
      <c r="X1347" s="267"/>
      <c r="Y1347" s="267"/>
      <c r="Z1347" s="267"/>
      <c r="AA1347" s="267"/>
      <c r="AB1347" s="267"/>
      <c r="AC1347" s="267"/>
      <c r="AD1347" s="267"/>
      <c r="AE1347" s="267"/>
      <c r="AF1347" s="267"/>
      <c r="AG1347" s="267"/>
      <c r="AH1347" s="267"/>
      <c r="AI1347" s="267"/>
      <c r="BJ1347" s="267"/>
      <c r="BK1347" s="267"/>
      <c r="BL1347" s="267"/>
      <c r="BM1347" s="267"/>
      <c r="BN1347" s="267"/>
    </row>
    <row r="1348" spans="1:66" ht="26.25" hidden="1" customHeight="1">
      <c r="A1348" s="888"/>
      <c r="B1348" s="479" t="s">
        <v>10</v>
      </c>
      <c r="C1348" s="484"/>
      <c r="D1348" s="484"/>
      <c r="E1348" s="484"/>
      <c r="F1348" s="484"/>
      <c r="G1348" s="80">
        <f>K1348</f>
        <v>0</v>
      </c>
      <c r="H1348" s="81"/>
      <c r="I1348" s="80"/>
      <c r="J1348" s="80"/>
      <c r="K1348" s="80"/>
      <c r="L1348" s="80"/>
      <c r="M1348" s="439"/>
      <c r="N1348" s="484"/>
      <c r="O1348" s="946"/>
      <c r="P1348" s="267"/>
      <c r="Q1348" s="267"/>
      <c r="R1348" s="267"/>
      <c r="S1348" s="267"/>
      <c r="T1348" s="267"/>
      <c r="U1348" s="267"/>
      <c r="V1348" s="267"/>
      <c r="W1348" s="267"/>
      <c r="X1348" s="267"/>
      <c r="Y1348" s="267"/>
      <c r="Z1348" s="267"/>
      <c r="AA1348" s="267"/>
      <c r="AB1348" s="267"/>
      <c r="AC1348" s="267"/>
      <c r="AD1348" s="267"/>
      <c r="AE1348" s="267"/>
      <c r="AF1348" s="267"/>
      <c r="AG1348" s="267"/>
      <c r="AH1348" s="267"/>
      <c r="AI1348" s="267"/>
      <c r="BJ1348" s="267"/>
      <c r="BK1348" s="267"/>
      <c r="BL1348" s="267"/>
      <c r="BM1348" s="267"/>
      <c r="BN1348" s="267"/>
    </row>
    <row r="1349" spans="1:66" ht="21.75" hidden="1" customHeight="1">
      <c r="A1349" s="888"/>
      <c r="B1349" s="479" t="s">
        <v>436</v>
      </c>
      <c r="C1349" s="484"/>
      <c r="D1349" s="484"/>
      <c r="E1349" s="484"/>
      <c r="F1349" s="484"/>
      <c r="G1349" s="80">
        <f>K1349</f>
        <v>0</v>
      </c>
      <c r="H1349" s="81"/>
      <c r="I1349" s="80"/>
      <c r="J1349" s="80"/>
      <c r="K1349" s="80"/>
      <c r="L1349" s="80"/>
      <c r="M1349" s="439"/>
      <c r="N1349" s="484"/>
      <c r="O1349" s="946"/>
      <c r="P1349" s="267"/>
      <c r="Q1349" s="267"/>
      <c r="R1349" s="267"/>
      <c r="S1349" s="267"/>
      <c r="T1349" s="267"/>
      <c r="U1349" s="267"/>
      <c r="V1349" s="267"/>
      <c r="W1349" s="267"/>
      <c r="X1349" s="267"/>
      <c r="Y1349" s="267"/>
      <c r="Z1349" s="267"/>
      <c r="AA1349" s="267"/>
      <c r="AB1349" s="267"/>
      <c r="AC1349" s="267"/>
      <c r="AD1349" s="267"/>
      <c r="AE1349" s="267"/>
      <c r="AF1349" s="267"/>
      <c r="AG1349" s="267"/>
      <c r="AH1349" s="267"/>
      <c r="AI1349" s="267"/>
      <c r="BJ1349" s="267"/>
      <c r="BK1349" s="267"/>
      <c r="BL1349" s="267"/>
      <c r="BM1349" s="267"/>
      <c r="BN1349" s="267"/>
    </row>
    <row r="1350" spans="1:66" ht="21.75" hidden="1" customHeight="1">
      <c r="A1350" s="889"/>
      <c r="B1350" s="479" t="s">
        <v>469</v>
      </c>
      <c r="C1350" s="484"/>
      <c r="D1350" s="484"/>
      <c r="E1350" s="484"/>
      <c r="F1350" s="484"/>
      <c r="G1350" s="80"/>
      <c r="H1350" s="81"/>
      <c r="I1350" s="80"/>
      <c r="J1350" s="80"/>
      <c r="K1350" s="80"/>
      <c r="L1350" s="80"/>
      <c r="M1350" s="439"/>
      <c r="N1350" s="484"/>
      <c r="O1350" s="934"/>
      <c r="P1350" s="267"/>
      <c r="Q1350" s="267"/>
      <c r="R1350" s="267"/>
      <c r="S1350" s="267"/>
      <c r="T1350" s="267"/>
      <c r="U1350" s="267"/>
      <c r="V1350" s="267"/>
      <c r="W1350" s="267"/>
      <c r="X1350" s="267"/>
      <c r="Y1350" s="267"/>
      <c r="Z1350" s="267"/>
      <c r="AA1350" s="267"/>
      <c r="AB1350" s="267"/>
      <c r="AC1350" s="267"/>
      <c r="AD1350" s="267"/>
      <c r="AE1350" s="267"/>
      <c r="AF1350" s="267"/>
      <c r="AG1350" s="267"/>
      <c r="AH1350" s="267"/>
      <c r="AI1350" s="267"/>
      <c r="BJ1350" s="267"/>
      <c r="BK1350" s="267"/>
      <c r="BL1350" s="267"/>
      <c r="BM1350" s="267"/>
      <c r="BN1350" s="267"/>
    </row>
    <row r="1351" spans="1:66" ht="21.75" hidden="1" customHeight="1">
      <c r="A1351" s="887" t="s">
        <v>77</v>
      </c>
      <c r="B1351" s="103" t="s">
        <v>25</v>
      </c>
      <c r="C1351" s="484"/>
      <c r="D1351" s="484"/>
      <c r="E1351" s="484"/>
      <c r="F1351" s="484"/>
      <c r="G1351" s="80">
        <f>G1352+G1353+G1354</f>
        <v>0</v>
      </c>
      <c r="H1351" s="80">
        <f t="shared" ref="H1351:K1351" si="447">H1352+H1353+H1354</f>
        <v>0</v>
      </c>
      <c r="I1351" s="80">
        <f t="shared" si="447"/>
        <v>0</v>
      </c>
      <c r="J1351" s="80">
        <f t="shared" si="447"/>
        <v>0</v>
      </c>
      <c r="K1351" s="80">
        <f t="shared" si="447"/>
        <v>0</v>
      </c>
      <c r="L1351" s="80"/>
      <c r="M1351" s="439"/>
      <c r="N1351" s="484"/>
      <c r="O1351" s="933"/>
      <c r="P1351" s="267"/>
      <c r="Q1351" s="267"/>
      <c r="R1351" s="267"/>
      <c r="S1351" s="267"/>
      <c r="T1351" s="267"/>
      <c r="U1351" s="267"/>
      <c r="V1351" s="267"/>
      <c r="W1351" s="267"/>
      <c r="X1351" s="267"/>
      <c r="Y1351" s="267"/>
      <c r="Z1351" s="267"/>
      <c r="AA1351" s="267"/>
      <c r="AB1351" s="267"/>
      <c r="AC1351" s="267"/>
      <c r="AD1351" s="267"/>
      <c r="AE1351" s="267"/>
      <c r="AF1351" s="267"/>
      <c r="AG1351" s="267"/>
      <c r="AH1351" s="267"/>
      <c r="AI1351" s="267"/>
      <c r="BJ1351" s="267"/>
      <c r="BK1351" s="267"/>
      <c r="BL1351" s="267"/>
      <c r="BM1351" s="267"/>
      <c r="BN1351" s="267"/>
    </row>
    <row r="1352" spans="1:66" ht="21.75" hidden="1" customHeight="1">
      <c r="A1352" s="888"/>
      <c r="B1352" s="479" t="s">
        <v>10</v>
      </c>
      <c r="C1352" s="484"/>
      <c r="D1352" s="484"/>
      <c r="E1352" s="484"/>
      <c r="F1352" s="484"/>
      <c r="G1352" s="80"/>
      <c r="H1352" s="81"/>
      <c r="I1352" s="80"/>
      <c r="J1352" s="80"/>
      <c r="K1352" s="80"/>
      <c r="L1352" s="80"/>
      <c r="M1352" s="439"/>
      <c r="N1352" s="484"/>
      <c r="O1352" s="946"/>
      <c r="P1352" s="267"/>
      <c r="Q1352" s="267"/>
      <c r="R1352" s="267"/>
      <c r="S1352" s="267"/>
      <c r="T1352" s="267"/>
      <c r="U1352" s="267"/>
      <c r="V1352" s="267"/>
      <c r="W1352" s="267"/>
      <c r="X1352" s="267"/>
      <c r="Y1352" s="267"/>
      <c r="Z1352" s="267"/>
      <c r="AA1352" s="267"/>
      <c r="AB1352" s="267"/>
      <c r="AC1352" s="267"/>
      <c r="AD1352" s="267"/>
      <c r="AE1352" s="267"/>
      <c r="AF1352" s="267"/>
      <c r="AG1352" s="267"/>
      <c r="AH1352" s="267"/>
      <c r="AI1352" s="267"/>
      <c r="BJ1352" s="267"/>
      <c r="BK1352" s="267"/>
      <c r="BL1352" s="267"/>
      <c r="BM1352" s="267"/>
      <c r="BN1352" s="267"/>
    </row>
    <row r="1353" spans="1:66" ht="21.75" hidden="1" customHeight="1">
      <c r="A1353" s="888"/>
      <c r="B1353" s="479" t="s">
        <v>436</v>
      </c>
      <c r="C1353" s="484"/>
      <c r="D1353" s="484"/>
      <c r="E1353" s="484"/>
      <c r="F1353" s="484"/>
      <c r="G1353" s="80">
        <f>K1353</f>
        <v>0</v>
      </c>
      <c r="H1353" s="81"/>
      <c r="I1353" s="80"/>
      <c r="J1353" s="80"/>
      <c r="K1353" s="80">
        <v>0</v>
      </c>
      <c r="L1353" s="80"/>
      <c r="M1353" s="439"/>
      <c r="N1353" s="484"/>
      <c r="O1353" s="946"/>
      <c r="P1353" s="267"/>
      <c r="Q1353" s="267"/>
      <c r="R1353" s="267"/>
      <c r="S1353" s="267"/>
      <c r="T1353" s="267"/>
      <c r="U1353" s="267"/>
      <c r="V1353" s="267"/>
      <c r="W1353" s="267"/>
      <c r="X1353" s="267"/>
      <c r="Y1353" s="267"/>
      <c r="Z1353" s="267"/>
      <c r="AA1353" s="267"/>
      <c r="AB1353" s="267"/>
      <c r="AC1353" s="267"/>
      <c r="AD1353" s="267"/>
      <c r="AE1353" s="267"/>
      <c r="AF1353" s="267"/>
      <c r="AG1353" s="267"/>
      <c r="AH1353" s="267"/>
      <c r="AI1353" s="267"/>
      <c r="BJ1353" s="267"/>
      <c r="BK1353" s="267"/>
      <c r="BL1353" s="267"/>
      <c r="BM1353" s="267"/>
      <c r="BN1353" s="267"/>
    </row>
    <row r="1354" spans="1:66" ht="21.75" hidden="1" customHeight="1">
      <c r="A1354" s="889"/>
      <c r="B1354" s="479" t="s">
        <v>469</v>
      </c>
      <c r="C1354" s="484"/>
      <c r="D1354" s="484"/>
      <c r="E1354" s="484"/>
      <c r="F1354" s="484"/>
      <c r="G1354" s="80"/>
      <c r="H1354" s="81"/>
      <c r="I1354" s="80"/>
      <c r="J1354" s="80"/>
      <c r="K1354" s="80"/>
      <c r="L1354" s="80"/>
      <c r="M1354" s="439"/>
      <c r="N1354" s="484"/>
      <c r="O1354" s="934"/>
      <c r="P1354" s="267"/>
      <c r="Q1354" s="267"/>
      <c r="R1354" s="267"/>
      <c r="S1354" s="267"/>
      <c r="T1354" s="267"/>
      <c r="U1354" s="267"/>
      <c r="V1354" s="267"/>
      <c r="W1354" s="267"/>
      <c r="X1354" s="267"/>
      <c r="Y1354" s="267"/>
      <c r="Z1354" s="267"/>
      <c r="AA1354" s="267"/>
      <c r="AB1354" s="267"/>
      <c r="AC1354" s="267"/>
      <c r="AD1354" s="267"/>
      <c r="AE1354" s="267"/>
      <c r="AF1354" s="267"/>
      <c r="AG1354" s="267"/>
      <c r="AH1354" s="267"/>
      <c r="AI1354" s="267"/>
      <c r="BJ1354" s="267"/>
      <c r="BK1354" s="267"/>
      <c r="BL1354" s="267"/>
      <c r="BM1354" s="267"/>
      <c r="BN1354" s="267"/>
    </row>
    <row r="1355" spans="1:66" ht="21.75" hidden="1" customHeight="1">
      <c r="A1355" s="887" t="s">
        <v>78</v>
      </c>
      <c r="B1355" s="103" t="s">
        <v>25</v>
      </c>
      <c r="C1355" s="484"/>
      <c r="D1355" s="484"/>
      <c r="E1355" s="484"/>
      <c r="F1355" s="484"/>
      <c r="G1355" s="80">
        <f>G1356+G1357+G1358</f>
        <v>0</v>
      </c>
      <c r="H1355" s="80">
        <f t="shared" ref="H1355:K1355" si="448">H1356+H1357+H1358</f>
        <v>0</v>
      </c>
      <c r="I1355" s="80">
        <f t="shared" si="448"/>
        <v>0</v>
      </c>
      <c r="J1355" s="80">
        <f t="shared" si="448"/>
        <v>0</v>
      </c>
      <c r="K1355" s="80">
        <f t="shared" si="448"/>
        <v>0</v>
      </c>
      <c r="L1355" s="80"/>
      <c r="M1355" s="439"/>
      <c r="N1355" s="484"/>
      <c r="O1355" s="933"/>
      <c r="P1355" s="267"/>
      <c r="Q1355" s="267"/>
      <c r="R1355" s="267"/>
      <c r="S1355" s="267"/>
      <c r="T1355" s="267"/>
      <c r="U1355" s="267"/>
      <c r="V1355" s="267"/>
      <c r="W1355" s="267"/>
      <c r="X1355" s="267"/>
      <c r="Y1355" s="267"/>
      <c r="Z1355" s="267"/>
      <c r="AA1355" s="267"/>
      <c r="AB1355" s="267"/>
      <c r="AC1355" s="267"/>
      <c r="AD1355" s="267"/>
      <c r="AE1355" s="267"/>
      <c r="AF1355" s="267"/>
      <c r="AG1355" s="267"/>
      <c r="AH1355" s="267"/>
      <c r="AI1355" s="267"/>
      <c r="BJ1355" s="267"/>
      <c r="BK1355" s="267"/>
      <c r="BL1355" s="267"/>
      <c r="BM1355" s="267"/>
      <c r="BN1355" s="267"/>
    </row>
    <row r="1356" spans="1:66" ht="21.75" hidden="1" customHeight="1">
      <c r="A1356" s="888"/>
      <c r="B1356" s="479" t="s">
        <v>10</v>
      </c>
      <c r="C1356" s="484"/>
      <c r="D1356" s="484"/>
      <c r="E1356" s="484"/>
      <c r="F1356" s="484"/>
      <c r="G1356" s="80">
        <f>K1356</f>
        <v>0</v>
      </c>
      <c r="H1356" s="81"/>
      <c r="I1356" s="80"/>
      <c r="J1356" s="80"/>
      <c r="K1356" s="80"/>
      <c r="L1356" s="80"/>
      <c r="M1356" s="439"/>
      <c r="N1356" s="484"/>
      <c r="O1356" s="946"/>
      <c r="P1356" s="267"/>
      <c r="Q1356" s="267"/>
      <c r="R1356" s="267"/>
      <c r="S1356" s="267"/>
      <c r="T1356" s="267"/>
      <c r="U1356" s="267"/>
      <c r="V1356" s="267"/>
      <c r="W1356" s="267"/>
      <c r="X1356" s="267"/>
      <c r="Y1356" s="267"/>
      <c r="Z1356" s="267"/>
      <c r="AA1356" s="267"/>
      <c r="AB1356" s="267"/>
      <c r="AC1356" s="267"/>
      <c r="AD1356" s="267"/>
      <c r="AE1356" s="267"/>
      <c r="AF1356" s="267"/>
      <c r="AG1356" s="267"/>
      <c r="AH1356" s="267"/>
      <c r="AI1356" s="267"/>
      <c r="BJ1356" s="267"/>
      <c r="BK1356" s="267"/>
      <c r="BL1356" s="267"/>
      <c r="BM1356" s="267"/>
      <c r="BN1356" s="267"/>
    </row>
    <row r="1357" spans="1:66" ht="21.75" hidden="1" customHeight="1">
      <c r="A1357" s="888"/>
      <c r="B1357" s="479" t="s">
        <v>436</v>
      </c>
      <c r="C1357" s="484"/>
      <c r="D1357" s="484"/>
      <c r="E1357" s="484"/>
      <c r="F1357" s="484"/>
      <c r="G1357" s="80">
        <f>K1357</f>
        <v>0</v>
      </c>
      <c r="H1357" s="81"/>
      <c r="I1357" s="80"/>
      <c r="J1357" s="80"/>
      <c r="K1357" s="80">
        <v>0</v>
      </c>
      <c r="L1357" s="80"/>
      <c r="M1357" s="439"/>
      <c r="N1357" s="484"/>
      <c r="O1357" s="946"/>
      <c r="P1357" s="267"/>
      <c r="Q1357" s="267"/>
      <c r="R1357" s="267"/>
      <c r="S1357" s="267"/>
      <c r="T1357" s="267"/>
      <c r="U1357" s="267"/>
      <c r="V1357" s="267"/>
      <c r="W1357" s="267"/>
      <c r="X1357" s="267"/>
      <c r="Y1357" s="267"/>
      <c r="Z1357" s="267"/>
      <c r="AA1357" s="267"/>
      <c r="AB1357" s="267"/>
      <c r="AC1357" s="267"/>
      <c r="AD1357" s="267"/>
      <c r="AE1357" s="267"/>
      <c r="AF1357" s="267"/>
      <c r="AG1357" s="267"/>
      <c r="AH1357" s="267"/>
      <c r="AI1357" s="267"/>
      <c r="BJ1357" s="267"/>
      <c r="BK1357" s="267"/>
      <c r="BL1357" s="267"/>
      <c r="BM1357" s="267"/>
      <c r="BN1357" s="267"/>
    </row>
    <row r="1358" spans="1:66" ht="21.75" hidden="1" customHeight="1">
      <c r="A1358" s="889"/>
      <c r="B1358" s="479" t="s">
        <v>469</v>
      </c>
      <c r="C1358" s="484"/>
      <c r="D1358" s="484"/>
      <c r="E1358" s="484"/>
      <c r="F1358" s="484"/>
      <c r="G1358" s="80"/>
      <c r="H1358" s="81"/>
      <c r="I1358" s="80"/>
      <c r="J1358" s="80"/>
      <c r="K1358" s="80"/>
      <c r="L1358" s="80"/>
      <c r="M1358" s="439"/>
      <c r="N1358" s="484"/>
      <c r="O1358" s="934"/>
      <c r="P1358" s="267"/>
      <c r="Q1358" s="267"/>
      <c r="R1358" s="267"/>
      <c r="S1358" s="267"/>
      <c r="T1358" s="267"/>
      <c r="U1358" s="267"/>
      <c r="V1358" s="267"/>
      <c r="W1358" s="267"/>
      <c r="X1358" s="267"/>
      <c r="Y1358" s="267"/>
      <c r="Z1358" s="267"/>
      <c r="AA1358" s="267"/>
      <c r="AB1358" s="267"/>
      <c r="AC1358" s="267"/>
      <c r="AD1358" s="267"/>
      <c r="AE1358" s="267"/>
      <c r="AF1358" s="267"/>
      <c r="AG1358" s="267"/>
      <c r="AH1358" s="267"/>
      <c r="AI1358" s="267"/>
      <c r="BJ1358" s="267"/>
      <c r="BK1358" s="267"/>
      <c r="BL1358" s="267"/>
      <c r="BM1358" s="267"/>
      <c r="BN1358" s="267"/>
    </row>
    <row r="1359" spans="1:66" ht="21.75" hidden="1" customHeight="1">
      <c r="A1359" s="887" t="s">
        <v>79</v>
      </c>
      <c r="B1359" s="103" t="s">
        <v>25</v>
      </c>
      <c r="C1359" s="484"/>
      <c r="D1359" s="484"/>
      <c r="E1359" s="484"/>
      <c r="F1359" s="484"/>
      <c r="G1359" s="80"/>
      <c r="H1359" s="80">
        <f t="shared" ref="H1359:L1359" si="449">H1360+H1361+H1362</f>
        <v>0</v>
      </c>
      <c r="I1359" s="80">
        <f t="shared" si="449"/>
        <v>0</v>
      </c>
      <c r="J1359" s="80">
        <f t="shared" si="449"/>
        <v>0</v>
      </c>
      <c r="K1359" s="80">
        <f t="shared" si="449"/>
        <v>0</v>
      </c>
      <c r="L1359" s="80">
        <f t="shared" si="449"/>
        <v>0</v>
      </c>
      <c r="M1359" s="439"/>
      <c r="N1359" s="484"/>
      <c r="O1359" s="933"/>
      <c r="P1359" s="267"/>
      <c r="Q1359" s="267"/>
      <c r="R1359" s="267"/>
      <c r="S1359" s="267"/>
      <c r="T1359" s="267"/>
      <c r="U1359" s="267"/>
      <c r="V1359" s="267"/>
      <c r="W1359" s="267"/>
      <c r="X1359" s="267"/>
      <c r="Y1359" s="267"/>
      <c r="Z1359" s="267"/>
      <c r="AA1359" s="267"/>
      <c r="AB1359" s="267"/>
      <c r="AC1359" s="267"/>
      <c r="AD1359" s="267"/>
      <c r="AE1359" s="267"/>
      <c r="AF1359" s="267"/>
      <c r="AG1359" s="267"/>
      <c r="AH1359" s="267"/>
      <c r="AI1359" s="267"/>
      <c r="BJ1359" s="267"/>
      <c r="BK1359" s="267"/>
      <c r="BL1359" s="267"/>
      <c r="BM1359" s="267"/>
      <c r="BN1359" s="267"/>
    </row>
    <row r="1360" spans="1:66" ht="21.75" hidden="1" customHeight="1">
      <c r="A1360" s="888"/>
      <c r="B1360" s="479" t="s">
        <v>10</v>
      </c>
      <c r="C1360" s="484"/>
      <c r="D1360" s="484"/>
      <c r="E1360" s="484"/>
      <c r="F1360" s="484"/>
      <c r="G1360" s="80">
        <f>K1360</f>
        <v>0</v>
      </c>
      <c r="H1360" s="81"/>
      <c r="I1360" s="80"/>
      <c r="J1360" s="80"/>
      <c r="K1360" s="80"/>
      <c r="L1360" s="80"/>
      <c r="M1360" s="439"/>
      <c r="N1360" s="484"/>
      <c r="O1360" s="946"/>
      <c r="P1360" s="267"/>
      <c r="Q1360" s="267"/>
      <c r="R1360" s="267"/>
      <c r="S1360" s="267"/>
      <c r="T1360" s="267"/>
      <c r="U1360" s="267"/>
      <c r="V1360" s="267"/>
      <c r="W1360" s="267"/>
      <c r="X1360" s="267"/>
      <c r="Y1360" s="267"/>
      <c r="Z1360" s="267"/>
      <c r="AA1360" s="267"/>
      <c r="AB1360" s="267"/>
      <c r="AC1360" s="267"/>
      <c r="AD1360" s="267"/>
      <c r="AE1360" s="267"/>
      <c r="AF1360" s="267"/>
      <c r="AG1360" s="267"/>
      <c r="AH1360" s="267"/>
      <c r="AI1360" s="267"/>
      <c r="BJ1360" s="267"/>
      <c r="BK1360" s="267"/>
      <c r="BL1360" s="267"/>
      <c r="BM1360" s="267"/>
      <c r="BN1360" s="267"/>
    </row>
    <row r="1361" spans="1:66" ht="21.75" hidden="1" customHeight="1">
      <c r="A1361" s="888"/>
      <c r="B1361" s="479" t="s">
        <v>436</v>
      </c>
      <c r="C1361" s="484"/>
      <c r="D1361" s="484"/>
      <c r="E1361" s="484"/>
      <c r="F1361" s="484"/>
      <c r="G1361" s="80">
        <f>K1361</f>
        <v>0</v>
      </c>
      <c r="H1361" s="81"/>
      <c r="I1361" s="80"/>
      <c r="J1361" s="80"/>
      <c r="K1361" s="80">
        <v>0</v>
      </c>
      <c r="L1361" s="80"/>
      <c r="M1361" s="439"/>
      <c r="N1361" s="484"/>
      <c r="O1361" s="946"/>
      <c r="P1361" s="267"/>
      <c r="Q1361" s="267"/>
      <c r="R1361" s="267"/>
      <c r="S1361" s="267"/>
      <c r="T1361" s="267"/>
      <c r="U1361" s="267"/>
      <c r="V1361" s="267"/>
      <c r="W1361" s="267"/>
      <c r="X1361" s="267"/>
      <c r="Y1361" s="267"/>
      <c r="Z1361" s="267"/>
      <c r="AA1361" s="267"/>
      <c r="AB1361" s="267"/>
      <c r="AC1361" s="267"/>
      <c r="AD1361" s="267"/>
      <c r="AE1361" s="267"/>
      <c r="AF1361" s="267"/>
      <c r="AG1361" s="267"/>
      <c r="AH1361" s="267"/>
      <c r="AI1361" s="267"/>
      <c r="BJ1361" s="267"/>
      <c r="BK1361" s="267"/>
      <c r="BL1361" s="267"/>
      <c r="BM1361" s="267"/>
      <c r="BN1361" s="267"/>
    </row>
    <row r="1362" spans="1:66" ht="27" hidden="1" customHeight="1">
      <c r="A1362" s="889"/>
      <c r="B1362" s="479" t="s">
        <v>469</v>
      </c>
      <c r="C1362" s="484"/>
      <c r="D1362" s="484"/>
      <c r="E1362" s="484"/>
      <c r="F1362" s="484"/>
      <c r="G1362" s="80"/>
      <c r="H1362" s="81"/>
      <c r="I1362" s="80"/>
      <c r="J1362" s="80"/>
      <c r="K1362" s="80"/>
      <c r="L1362" s="80"/>
      <c r="M1362" s="439"/>
      <c r="N1362" s="484"/>
      <c r="O1362" s="934"/>
    </row>
    <row r="1363" spans="1:66" ht="21" hidden="1" customHeight="1">
      <c r="A1363" s="887" t="s">
        <v>637</v>
      </c>
      <c r="B1363" s="103" t="s">
        <v>25</v>
      </c>
      <c r="C1363" s="484"/>
      <c r="D1363" s="484"/>
      <c r="E1363" s="484"/>
      <c r="F1363" s="484"/>
      <c r="G1363" s="80">
        <f>G1364+G1365+G1366</f>
        <v>0</v>
      </c>
      <c r="H1363" s="80">
        <f t="shared" ref="H1363:M1363" si="450">H1364+H1365+H1366</f>
        <v>6854.1</v>
      </c>
      <c r="I1363" s="80">
        <f t="shared" si="450"/>
        <v>0</v>
      </c>
      <c r="J1363" s="80">
        <f t="shared" si="450"/>
        <v>0</v>
      </c>
      <c r="K1363" s="80">
        <f t="shared" si="450"/>
        <v>0</v>
      </c>
      <c r="L1363" s="80">
        <f t="shared" si="450"/>
        <v>0</v>
      </c>
      <c r="M1363" s="439">
        <f t="shared" si="450"/>
        <v>0</v>
      </c>
      <c r="N1363" s="484"/>
      <c r="O1363" s="933"/>
    </row>
    <row r="1364" spans="1:66" ht="18.75" hidden="1" customHeight="1">
      <c r="A1364" s="888"/>
      <c r="B1364" s="479" t="s">
        <v>10</v>
      </c>
      <c r="C1364" s="484"/>
      <c r="D1364" s="484"/>
      <c r="E1364" s="484"/>
      <c r="F1364" s="484"/>
      <c r="G1364" s="80"/>
      <c r="H1364" s="80">
        <f t="shared" ref="H1364:J1365" si="451">H14+H532+H902+H1339</f>
        <v>0</v>
      </c>
      <c r="I1364" s="80">
        <f t="shared" si="451"/>
        <v>0</v>
      </c>
      <c r="J1364" s="80">
        <f t="shared" si="451"/>
        <v>0</v>
      </c>
      <c r="K1364" s="80"/>
      <c r="L1364" s="80"/>
      <c r="M1364" s="439"/>
      <c r="N1364" s="484"/>
      <c r="O1364" s="946"/>
    </row>
    <row r="1365" spans="1:66" ht="18.75" hidden="1" customHeight="1">
      <c r="A1365" s="888"/>
      <c r="B1365" s="479" t="s">
        <v>436</v>
      </c>
      <c r="C1365" s="484"/>
      <c r="D1365" s="484"/>
      <c r="E1365" s="484"/>
      <c r="F1365" s="484"/>
      <c r="G1365" s="80"/>
      <c r="H1365" s="80">
        <f t="shared" si="451"/>
        <v>6854.1</v>
      </c>
      <c r="I1365" s="80">
        <f t="shared" si="451"/>
        <v>0</v>
      </c>
      <c r="J1365" s="80">
        <f t="shared" si="451"/>
        <v>0</v>
      </c>
      <c r="K1365" s="80"/>
      <c r="L1365" s="80"/>
      <c r="M1365" s="439"/>
      <c r="N1365" s="484"/>
      <c r="O1365" s="946"/>
    </row>
    <row r="1366" spans="1:66" ht="25.5" hidden="1" customHeight="1">
      <c r="A1366" s="888"/>
      <c r="B1366" s="479" t="s">
        <v>469</v>
      </c>
      <c r="C1366" s="484"/>
      <c r="D1366" s="484"/>
      <c r="E1366" s="484"/>
      <c r="F1366" s="484"/>
      <c r="G1366" s="80"/>
      <c r="H1366" s="80">
        <f t="shared" ref="H1366:J1366" si="452">H1341</f>
        <v>0</v>
      </c>
      <c r="I1366" s="80">
        <f t="shared" si="452"/>
        <v>0</v>
      </c>
      <c r="J1366" s="80">
        <f t="shared" si="452"/>
        <v>0</v>
      </c>
      <c r="K1366" s="80"/>
      <c r="L1366" s="80"/>
      <c r="M1366" s="439"/>
      <c r="N1366" s="484"/>
      <c r="O1366" s="946"/>
    </row>
    <row r="1367" spans="1:66" ht="29.25" hidden="1" customHeight="1">
      <c r="A1367" s="889"/>
      <c r="B1367" s="479" t="s">
        <v>447</v>
      </c>
      <c r="C1367" s="480"/>
      <c r="D1367" s="480"/>
      <c r="E1367" s="480"/>
      <c r="F1367" s="480"/>
      <c r="G1367" s="22"/>
      <c r="H1367" s="22"/>
      <c r="I1367" s="22"/>
      <c r="J1367" s="22"/>
      <c r="K1367" s="22"/>
      <c r="L1367" s="22"/>
      <c r="M1367" s="599"/>
      <c r="N1367" s="479"/>
      <c r="O1367" s="934"/>
      <c r="AJ1367" s="43"/>
      <c r="AK1367" s="43"/>
      <c r="AL1367" s="43"/>
      <c r="AM1367" s="43"/>
      <c r="AN1367" s="43"/>
      <c r="AO1367" s="43"/>
      <c r="AP1367" s="43"/>
      <c r="AQ1367" s="43"/>
      <c r="AR1367" s="43"/>
      <c r="AS1367" s="43"/>
      <c r="AT1367" s="43"/>
      <c r="AU1367" s="43"/>
      <c r="AV1367" s="43"/>
      <c r="AW1367" s="43"/>
      <c r="AX1367" s="43"/>
      <c r="AY1367" s="43"/>
      <c r="AZ1367" s="43"/>
      <c r="BA1367" s="43"/>
      <c r="BB1367" s="43"/>
      <c r="BC1367" s="43"/>
      <c r="BD1367" s="43"/>
      <c r="BE1367" s="43"/>
      <c r="BF1367" s="43"/>
      <c r="BG1367" s="43"/>
      <c r="BH1367" s="43"/>
      <c r="BI1367" s="43"/>
    </row>
    <row r="1368" spans="1:66" ht="17.25" customHeight="1">
      <c r="A1368" s="947"/>
      <c r="B1368" s="947"/>
      <c r="C1368" s="947"/>
      <c r="D1368" s="947"/>
      <c r="E1368" s="947"/>
      <c r="F1368" s="947"/>
      <c r="G1368" s="947"/>
      <c r="H1368" s="947"/>
      <c r="I1368" s="947"/>
      <c r="J1368" s="947"/>
      <c r="K1368" s="947"/>
      <c r="L1368" s="947"/>
      <c r="M1368" s="947"/>
      <c r="N1368" s="947"/>
      <c r="O1368" s="947"/>
      <c r="AJ1368" s="43"/>
      <c r="AK1368" s="43"/>
      <c r="AL1368" s="43"/>
      <c r="AM1368" s="43"/>
      <c r="AN1368" s="43"/>
      <c r="AO1368" s="43"/>
      <c r="AP1368" s="43"/>
      <c r="AQ1368" s="43"/>
      <c r="AR1368" s="43"/>
      <c r="AS1368" s="43"/>
      <c r="AT1368" s="43"/>
      <c r="AU1368" s="43"/>
      <c r="AV1368" s="43"/>
      <c r="AW1368" s="43"/>
      <c r="AX1368" s="43"/>
      <c r="AY1368" s="43"/>
      <c r="AZ1368" s="43"/>
      <c r="BA1368" s="43"/>
      <c r="BB1368" s="43"/>
      <c r="BC1368" s="43"/>
      <c r="BD1368" s="43"/>
      <c r="BE1368" s="43"/>
      <c r="BF1368" s="43"/>
      <c r="BG1368" s="43"/>
      <c r="BH1368" s="43"/>
      <c r="BI1368" s="43"/>
    </row>
    <row r="1369" spans="1:66" ht="39.6" customHeight="1">
      <c r="A1369" s="947" t="s">
        <v>652</v>
      </c>
      <c r="B1369" s="947"/>
      <c r="C1369" s="947"/>
      <c r="D1369" s="947"/>
      <c r="E1369" s="947"/>
      <c r="F1369" s="947"/>
      <c r="G1369" s="947"/>
      <c r="H1369" s="947"/>
      <c r="I1369" s="947"/>
      <c r="J1369" s="947"/>
      <c r="K1369" s="947"/>
      <c r="L1369" s="947"/>
      <c r="M1369" s="947"/>
      <c r="N1369" s="947"/>
      <c r="O1369" s="947"/>
      <c r="AJ1369" s="43"/>
      <c r="AK1369" s="43"/>
      <c r="AL1369" s="43"/>
      <c r="AM1369" s="43"/>
      <c r="AN1369" s="43"/>
      <c r="AO1369" s="43"/>
      <c r="AP1369" s="43"/>
      <c r="AQ1369" s="43"/>
      <c r="AR1369" s="43"/>
      <c r="AS1369" s="43"/>
      <c r="AT1369" s="43"/>
      <c r="AU1369" s="43"/>
      <c r="AV1369" s="43"/>
      <c r="AW1369" s="43"/>
      <c r="AX1369" s="43"/>
      <c r="AY1369" s="43"/>
      <c r="AZ1369" s="43"/>
      <c r="BA1369" s="43"/>
      <c r="BB1369" s="43"/>
      <c r="BC1369" s="43"/>
      <c r="BD1369" s="43"/>
      <c r="BE1369" s="43"/>
      <c r="BF1369" s="43"/>
      <c r="BG1369" s="43"/>
      <c r="BH1369" s="43"/>
      <c r="BI1369" s="43"/>
    </row>
    <row r="1370" spans="1:66" ht="24.6" customHeight="1">
      <c r="A1370" s="947"/>
      <c r="B1370" s="947"/>
      <c r="C1370" s="947"/>
      <c r="D1370" s="947"/>
      <c r="E1370" s="947"/>
      <c r="F1370" s="947"/>
      <c r="G1370" s="947"/>
      <c r="H1370" s="947"/>
      <c r="I1370" s="947"/>
      <c r="J1370" s="947"/>
      <c r="K1370" s="947"/>
      <c r="L1370" s="947"/>
      <c r="M1370" s="947"/>
      <c r="N1370" s="947"/>
      <c r="O1370" s="947"/>
      <c r="AJ1370" s="43"/>
      <c r="AK1370" s="43"/>
      <c r="AL1370" s="43"/>
      <c r="AM1370" s="43"/>
      <c r="AN1370" s="43"/>
      <c r="AO1370" s="43"/>
      <c r="AP1370" s="43"/>
      <c r="AQ1370" s="43"/>
      <c r="AR1370" s="43"/>
      <c r="AS1370" s="43"/>
      <c r="AT1370" s="43"/>
      <c r="AU1370" s="43"/>
      <c r="AV1370" s="43"/>
      <c r="AW1370" s="43"/>
      <c r="AX1370" s="43"/>
      <c r="AY1370" s="43"/>
      <c r="AZ1370" s="43"/>
      <c r="BA1370" s="43"/>
      <c r="BB1370" s="43"/>
      <c r="BC1370" s="43"/>
      <c r="BD1370" s="43"/>
      <c r="BE1370" s="43"/>
      <c r="BF1370" s="43"/>
      <c r="BG1370" s="43"/>
      <c r="BH1370" s="43"/>
      <c r="BI1370" s="43"/>
    </row>
    <row r="1371" spans="1:66" ht="31.15" hidden="1" customHeight="1">
      <c r="A1371" s="947" t="s">
        <v>552</v>
      </c>
      <c r="B1371" s="947"/>
      <c r="C1371" s="947"/>
      <c r="D1371" s="947"/>
      <c r="E1371" s="947"/>
      <c r="F1371" s="947"/>
      <c r="G1371" s="947"/>
      <c r="H1371" s="947"/>
      <c r="I1371" s="947"/>
      <c r="J1371" s="947"/>
      <c r="K1371" s="947"/>
      <c r="L1371" s="947"/>
      <c r="M1371" s="947"/>
      <c r="N1371" s="947"/>
      <c r="O1371" s="947"/>
      <c r="AJ1371" s="43"/>
      <c r="AK1371" s="43"/>
      <c r="AL1371" s="43"/>
      <c r="AM1371" s="43"/>
      <c r="AN1371" s="43"/>
      <c r="AO1371" s="43"/>
      <c r="AP1371" s="43"/>
      <c r="AQ1371" s="43"/>
      <c r="AR1371" s="43"/>
      <c r="AS1371" s="43"/>
      <c r="AT1371" s="43"/>
      <c r="AU1371" s="43"/>
      <c r="AV1371" s="43"/>
      <c r="AW1371" s="43"/>
      <c r="AX1371" s="43"/>
      <c r="AY1371" s="43"/>
      <c r="AZ1371" s="43"/>
      <c r="BA1371" s="43"/>
      <c r="BB1371" s="43"/>
      <c r="BC1371" s="43"/>
      <c r="BD1371" s="43"/>
      <c r="BE1371" s="43"/>
      <c r="BF1371" s="43"/>
      <c r="BG1371" s="43"/>
      <c r="BH1371" s="43"/>
      <c r="BI1371" s="43"/>
    </row>
    <row r="1372" spans="1:66">
      <c r="A1372" s="948"/>
      <c r="B1372" s="948"/>
      <c r="C1372" s="948"/>
      <c r="D1372" s="948"/>
      <c r="E1372" s="948"/>
      <c r="F1372" s="948"/>
      <c r="G1372" s="948"/>
      <c r="H1372" s="948"/>
      <c r="I1372" s="948"/>
      <c r="J1372" s="948"/>
      <c r="K1372" s="948"/>
      <c r="L1372" s="948"/>
      <c r="M1372" s="948"/>
      <c r="N1372" s="948"/>
      <c r="O1372" s="948"/>
      <c r="AJ1372" s="43"/>
      <c r="AK1372" s="43"/>
      <c r="AL1372" s="43"/>
      <c r="AM1372" s="43"/>
      <c r="AN1372" s="43"/>
      <c r="AO1372" s="43"/>
      <c r="AP1372" s="43"/>
      <c r="AQ1372" s="43"/>
      <c r="AR1372" s="43"/>
      <c r="AS1372" s="43"/>
      <c r="AT1372" s="43"/>
      <c r="AU1372" s="43"/>
      <c r="AV1372" s="43"/>
      <c r="AW1372" s="43"/>
      <c r="AX1372" s="43"/>
      <c r="AY1372" s="43"/>
      <c r="AZ1372" s="43"/>
      <c r="BA1372" s="43"/>
      <c r="BB1372" s="43"/>
      <c r="BC1372" s="43"/>
      <c r="BD1372" s="43"/>
      <c r="BE1372" s="43"/>
      <c r="BF1372" s="43"/>
      <c r="BG1372" s="43"/>
      <c r="BH1372" s="43"/>
      <c r="BI1372" s="43"/>
    </row>
  </sheetData>
  <mergeCells count="787">
    <mergeCell ref="O354:O357"/>
    <mergeCell ref="A1272:A1273"/>
    <mergeCell ref="O1272:O1273"/>
    <mergeCell ref="A827:A828"/>
    <mergeCell ref="O827:O828"/>
    <mergeCell ref="A829:A830"/>
    <mergeCell ref="O829:O830"/>
    <mergeCell ref="A761:A762"/>
    <mergeCell ref="O761:O762"/>
    <mergeCell ref="A759:A760"/>
    <mergeCell ref="O759:O760"/>
    <mergeCell ref="A773:A774"/>
    <mergeCell ref="O773:O774"/>
    <mergeCell ref="A763:A764"/>
    <mergeCell ref="O763:O764"/>
    <mergeCell ref="A789:A790"/>
    <mergeCell ref="O789:O790"/>
    <mergeCell ref="A791:A794"/>
    <mergeCell ref="A795:A796"/>
    <mergeCell ref="O795:O796"/>
    <mergeCell ref="A797:A800"/>
    <mergeCell ref="O797:O800"/>
    <mergeCell ref="A779:A780"/>
    <mergeCell ref="O779:O780"/>
    <mergeCell ref="A1060:A1061"/>
    <mergeCell ref="O1060:O1061"/>
    <mergeCell ref="A745:A746"/>
    <mergeCell ref="O745:O746"/>
    <mergeCell ref="A1031:A1034"/>
    <mergeCell ref="O1031:O1034"/>
    <mergeCell ref="A1056:A1057"/>
    <mergeCell ref="O1056:O1057"/>
    <mergeCell ref="A1039:A1042"/>
    <mergeCell ref="O1039:O1042"/>
    <mergeCell ref="A1043:A1046"/>
    <mergeCell ref="A1047:A1050"/>
    <mergeCell ref="O1047:O1050"/>
    <mergeCell ref="O787:O788"/>
    <mergeCell ref="A811:A812"/>
    <mergeCell ref="O811:O812"/>
    <mergeCell ref="A813:A818"/>
    <mergeCell ref="A819:A822"/>
    <mergeCell ref="O819:O822"/>
    <mergeCell ref="A823:A826"/>
    <mergeCell ref="O823:O826"/>
    <mergeCell ref="A1051:A1053"/>
    <mergeCell ref="O1051:O1053"/>
    <mergeCell ref="A1054:A1055"/>
    <mergeCell ref="O1054:O1055"/>
    <mergeCell ref="A1058:A1059"/>
    <mergeCell ref="O1058:O1059"/>
    <mergeCell ref="A1035:A1038"/>
    <mergeCell ref="O1035:O1038"/>
    <mergeCell ref="A783:A784"/>
    <mergeCell ref="O783:O784"/>
    <mergeCell ref="A787:A788"/>
    <mergeCell ref="A775:A776"/>
    <mergeCell ref="O775:O776"/>
    <mergeCell ref="A777:A778"/>
    <mergeCell ref="A801:A804"/>
    <mergeCell ref="O801:O804"/>
    <mergeCell ref="A805:A806"/>
    <mergeCell ref="A807:A808"/>
    <mergeCell ref="O807:O808"/>
    <mergeCell ref="A809:A810"/>
    <mergeCell ref="O809:O810"/>
    <mergeCell ref="A845:A848"/>
    <mergeCell ref="A849:A850"/>
    <mergeCell ref="O849:O850"/>
    <mergeCell ref="A851:A854"/>
    <mergeCell ref="O851:O854"/>
    <mergeCell ref="A855:A856"/>
    <mergeCell ref="A765:A766"/>
    <mergeCell ref="O765:O766"/>
    <mergeCell ref="A767:A768"/>
    <mergeCell ref="O767:O768"/>
    <mergeCell ref="A769:A770"/>
    <mergeCell ref="O769:O770"/>
    <mergeCell ref="A771:A772"/>
    <mergeCell ref="O771:O772"/>
    <mergeCell ref="A19:A22"/>
    <mergeCell ref="A23:A26"/>
    <mergeCell ref="O23:O26"/>
    <mergeCell ref="A43:A45"/>
    <mergeCell ref="A46:A48"/>
    <mergeCell ref="O46:O48"/>
    <mergeCell ref="A49:A52"/>
    <mergeCell ref="A53:A56"/>
    <mergeCell ref="O54:O56"/>
    <mergeCell ref="A27:A30"/>
    <mergeCell ref="O27:O30"/>
    <mergeCell ref="A31:A34"/>
    <mergeCell ref="O31:O34"/>
    <mergeCell ref="A35:A38"/>
    <mergeCell ref="A39:A42"/>
    <mergeCell ref="O39:O42"/>
    <mergeCell ref="O5:O7"/>
    <mergeCell ref="T5:X5"/>
    <mergeCell ref="Q8:S8"/>
    <mergeCell ref="T8:V8"/>
    <mergeCell ref="W8:Y8"/>
    <mergeCell ref="A10:A17"/>
    <mergeCell ref="N10:N17"/>
    <mergeCell ref="O10:O17"/>
    <mergeCell ref="A5:A7"/>
    <mergeCell ref="B5:B7"/>
    <mergeCell ref="C5:F6"/>
    <mergeCell ref="G5:G7"/>
    <mergeCell ref="H5:K5"/>
    <mergeCell ref="L5:L7"/>
    <mergeCell ref="M5:M6"/>
    <mergeCell ref="N5:N7"/>
    <mergeCell ref="A68:A71"/>
    <mergeCell ref="O68:O71"/>
    <mergeCell ref="A72:A75"/>
    <mergeCell ref="O72:O75"/>
    <mergeCell ref="A76:A79"/>
    <mergeCell ref="O77:O79"/>
    <mergeCell ref="A57:A60"/>
    <mergeCell ref="O57:O60"/>
    <mergeCell ref="A61:A63"/>
    <mergeCell ref="O61:O63"/>
    <mergeCell ref="A64:A67"/>
    <mergeCell ref="O64:O67"/>
    <mergeCell ref="A98:A101"/>
    <mergeCell ref="O98:O101"/>
    <mergeCell ref="A102:A105"/>
    <mergeCell ref="A106:A108"/>
    <mergeCell ref="O106:O108"/>
    <mergeCell ref="A109:A111"/>
    <mergeCell ref="O109:O111"/>
    <mergeCell ref="A80:A84"/>
    <mergeCell ref="O80:O84"/>
    <mergeCell ref="A85:A88"/>
    <mergeCell ref="A89:A92"/>
    <mergeCell ref="O89:O92"/>
    <mergeCell ref="A93:A97"/>
    <mergeCell ref="O94:O97"/>
    <mergeCell ref="A126:A129"/>
    <mergeCell ref="O126:O129"/>
    <mergeCell ref="A130:A133"/>
    <mergeCell ref="A139:A142"/>
    <mergeCell ref="O139:O142"/>
    <mergeCell ref="A143:A146"/>
    <mergeCell ref="A112:A114"/>
    <mergeCell ref="A115:A117"/>
    <mergeCell ref="O115:O117"/>
    <mergeCell ref="A118:A121"/>
    <mergeCell ref="O118:O121"/>
    <mergeCell ref="A122:A125"/>
    <mergeCell ref="O122:O125"/>
    <mergeCell ref="A134:A138"/>
    <mergeCell ref="O134:O138"/>
    <mergeCell ref="A159:A161"/>
    <mergeCell ref="O159:O161"/>
    <mergeCell ref="A162:A165"/>
    <mergeCell ref="A166:A169"/>
    <mergeCell ref="O166:O169"/>
    <mergeCell ref="A170:A173"/>
    <mergeCell ref="O170:O173"/>
    <mergeCell ref="A147:A150"/>
    <mergeCell ref="O147:O150"/>
    <mergeCell ref="A151:A154"/>
    <mergeCell ref="O151:O154"/>
    <mergeCell ref="A155:A158"/>
    <mergeCell ref="O155:O158"/>
    <mergeCell ref="A188:A190"/>
    <mergeCell ref="O188:O190"/>
    <mergeCell ref="A191:A194"/>
    <mergeCell ref="O191:O194"/>
    <mergeCell ref="A195:A197"/>
    <mergeCell ref="O195:O197"/>
    <mergeCell ref="A174:A177"/>
    <mergeCell ref="O174:O177"/>
    <mergeCell ref="A178:A181"/>
    <mergeCell ref="A182:A184"/>
    <mergeCell ref="O182:O184"/>
    <mergeCell ref="A185:A187"/>
    <mergeCell ref="O185:O187"/>
    <mergeCell ref="A213:A216"/>
    <mergeCell ref="O213:O216"/>
    <mergeCell ref="A217:A220"/>
    <mergeCell ref="O217:O220"/>
    <mergeCell ref="A221:A223"/>
    <mergeCell ref="O221:O223"/>
    <mergeCell ref="A198:A201"/>
    <mergeCell ref="A202:A204"/>
    <mergeCell ref="O202:O204"/>
    <mergeCell ref="A205:A208"/>
    <mergeCell ref="O205:O208"/>
    <mergeCell ref="A209:A212"/>
    <mergeCell ref="A239:A241"/>
    <mergeCell ref="O239:O241"/>
    <mergeCell ref="A242:A245"/>
    <mergeCell ref="A246:A249"/>
    <mergeCell ref="O246:O249"/>
    <mergeCell ref="A250:A253"/>
    <mergeCell ref="O250:O253"/>
    <mergeCell ref="A224:A226"/>
    <mergeCell ref="O224:O226"/>
    <mergeCell ref="A227:A230"/>
    <mergeCell ref="O227:O230"/>
    <mergeCell ref="A231:A234"/>
    <mergeCell ref="A235:A238"/>
    <mergeCell ref="O235:O238"/>
    <mergeCell ref="A272:A276"/>
    <mergeCell ref="O272:O276"/>
    <mergeCell ref="A277:A280"/>
    <mergeCell ref="O277:O280"/>
    <mergeCell ref="A281:A284"/>
    <mergeCell ref="O281:O284"/>
    <mergeCell ref="A254:A257"/>
    <mergeCell ref="A258:A261"/>
    <mergeCell ref="O258:O261"/>
    <mergeCell ref="A262:A267"/>
    <mergeCell ref="A268:A271"/>
    <mergeCell ref="O268:O271"/>
    <mergeCell ref="A297:A300"/>
    <mergeCell ref="O297:O300"/>
    <mergeCell ref="A301:A304"/>
    <mergeCell ref="O301:O304"/>
    <mergeCell ref="A305:A309"/>
    <mergeCell ref="O305:O309"/>
    <mergeCell ref="A285:A288"/>
    <mergeCell ref="O285:O288"/>
    <mergeCell ref="A289:A292"/>
    <mergeCell ref="O289:O292"/>
    <mergeCell ref="A293:A296"/>
    <mergeCell ref="O293:O296"/>
    <mergeCell ref="A310:A313"/>
    <mergeCell ref="O310:O313"/>
    <mergeCell ref="A314:A317"/>
    <mergeCell ref="O314:O317"/>
    <mergeCell ref="A326:A329"/>
    <mergeCell ref="O326:O329"/>
    <mergeCell ref="A334:A337"/>
    <mergeCell ref="A338:A341"/>
    <mergeCell ref="O334:O337"/>
    <mergeCell ref="O338:O341"/>
    <mergeCell ref="A330:A333"/>
    <mergeCell ref="A318:A321"/>
    <mergeCell ref="O318:O321"/>
    <mergeCell ref="A322:A325"/>
    <mergeCell ref="O322:O325"/>
    <mergeCell ref="A342:A345"/>
    <mergeCell ref="O342:O345"/>
    <mergeCell ref="A346:A349"/>
    <mergeCell ref="O346:O349"/>
    <mergeCell ref="A350:A353"/>
    <mergeCell ref="A358:A361"/>
    <mergeCell ref="O358:O361"/>
    <mergeCell ref="A398:A401"/>
    <mergeCell ref="O398:O401"/>
    <mergeCell ref="A378:A381"/>
    <mergeCell ref="O378:O381"/>
    <mergeCell ref="A382:A385"/>
    <mergeCell ref="A386:A389"/>
    <mergeCell ref="O386:O389"/>
    <mergeCell ref="A390:A393"/>
    <mergeCell ref="O390:O393"/>
    <mergeCell ref="A362:A365"/>
    <mergeCell ref="O362:O365"/>
    <mergeCell ref="A366:A369"/>
    <mergeCell ref="A370:A373"/>
    <mergeCell ref="O370:O373"/>
    <mergeCell ref="A374:A377"/>
    <mergeCell ref="O374:O377"/>
    <mergeCell ref="A354:A357"/>
    <mergeCell ref="O462:O465"/>
    <mergeCell ref="N474:N478"/>
    <mergeCell ref="A474:A478"/>
    <mergeCell ref="O474:O478"/>
    <mergeCell ref="A480:A483"/>
    <mergeCell ref="A394:A397"/>
    <mergeCell ref="A402:A405"/>
    <mergeCell ref="O402:O405"/>
    <mergeCell ref="A406:A409"/>
    <mergeCell ref="O406:O409"/>
    <mergeCell ref="A430:A433"/>
    <mergeCell ref="A418:A421"/>
    <mergeCell ref="A422:A425"/>
    <mergeCell ref="A426:A429"/>
    <mergeCell ref="O422:O425"/>
    <mergeCell ref="O426:O429"/>
    <mergeCell ref="A414:A417"/>
    <mergeCell ref="A410:A413"/>
    <mergeCell ref="O414:O417"/>
    <mergeCell ref="R533:S533"/>
    <mergeCell ref="T533:U533"/>
    <mergeCell ref="V533:W533"/>
    <mergeCell ref="R535:S535"/>
    <mergeCell ref="T535:U535"/>
    <mergeCell ref="V535:W535"/>
    <mergeCell ref="A524:A528"/>
    <mergeCell ref="A529:A535"/>
    <mergeCell ref="O524:O535"/>
    <mergeCell ref="N524:N535"/>
    <mergeCell ref="A548:A549"/>
    <mergeCell ref="O548:O549"/>
    <mergeCell ref="A550:A551"/>
    <mergeCell ref="O550:O551"/>
    <mergeCell ref="A552:A553"/>
    <mergeCell ref="O552:O553"/>
    <mergeCell ref="A536:A537"/>
    <mergeCell ref="A538:A539"/>
    <mergeCell ref="O538:O539"/>
    <mergeCell ref="A542:A543"/>
    <mergeCell ref="O542:O543"/>
    <mergeCell ref="A546:A547"/>
    <mergeCell ref="O546:O547"/>
    <mergeCell ref="A544:A545"/>
    <mergeCell ref="A564:A565"/>
    <mergeCell ref="O564:O565"/>
    <mergeCell ref="O568:O569"/>
    <mergeCell ref="A572:A573"/>
    <mergeCell ref="A574:A575"/>
    <mergeCell ref="O574:O575"/>
    <mergeCell ref="A554:A555"/>
    <mergeCell ref="A556:A557"/>
    <mergeCell ref="O556:O557"/>
    <mergeCell ref="A558:A559"/>
    <mergeCell ref="O558:O559"/>
    <mergeCell ref="A562:A563"/>
    <mergeCell ref="A586:A589"/>
    <mergeCell ref="O586:O589"/>
    <mergeCell ref="A590:A593"/>
    <mergeCell ref="A594:A595"/>
    <mergeCell ref="O594:O595"/>
    <mergeCell ref="A596:A597"/>
    <mergeCell ref="O596:O597"/>
    <mergeCell ref="A576:A577"/>
    <mergeCell ref="O576:O577"/>
    <mergeCell ref="A578:A581"/>
    <mergeCell ref="A582:A583"/>
    <mergeCell ref="O582:O583"/>
    <mergeCell ref="A584:A585"/>
    <mergeCell ref="O584:O585"/>
    <mergeCell ref="A614:A615"/>
    <mergeCell ref="O614:O615"/>
    <mergeCell ref="A616:A617"/>
    <mergeCell ref="O616:O617"/>
    <mergeCell ref="A618:A619"/>
    <mergeCell ref="O618:O619"/>
    <mergeCell ref="A598:A601"/>
    <mergeCell ref="O598:O601"/>
    <mergeCell ref="A602:A605"/>
    <mergeCell ref="O602:O605"/>
    <mergeCell ref="A606:A609"/>
    <mergeCell ref="A610:A613"/>
    <mergeCell ref="O610:O613"/>
    <mergeCell ref="A636:A639"/>
    <mergeCell ref="A640:A641"/>
    <mergeCell ref="O640:O641"/>
    <mergeCell ref="A642:A643"/>
    <mergeCell ref="O642:O643"/>
    <mergeCell ref="A645:A647"/>
    <mergeCell ref="O646:O647"/>
    <mergeCell ref="A620:A623"/>
    <mergeCell ref="A624:A625"/>
    <mergeCell ref="O624:O625"/>
    <mergeCell ref="A626:A629"/>
    <mergeCell ref="O626:O629"/>
    <mergeCell ref="O632:O633"/>
    <mergeCell ref="A630:A631"/>
    <mergeCell ref="A632:A633"/>
    <mergeCell ref="A634:A635"/>
    <mergeCell ref="O630:O631"/>
    <mergeCell ref="A658:A659"/>
    <mergeCell ref="O658:O659"/>
    <mergeCell ref="A660:A661"/>
    <mergeCell ref="A662:A663"/>
    <mergeCell ref="O662:O663"/>
    <mergeCell ref="A664:A665"/>
    <mergeCell ref="O664:O665"/>
    <mergeCell ref="A648:A651"/>
    <mergeCell ref="O648:O651"/>
    <mergeCell ref="A652:A653"/>
    <mergeCell ref="O652:O653"/>
    <mergeCell ref="A654:A655"/>
    <mergeCell ref="A656:A657"/>
    <mergeCell ref="O656:O657"/>
    <mergeCell ref="A674:A675"/>
    <mergeCell ref="O674:O675"/>
    <mergeCell ref="A680:A681"/>
    <mergeCell ref="O680:O681"/>
    <mergeCell ref="A682:A683"/>
    <mergeCell ref="A684:A685"/>
    <mergeCell ref="O684:O685"/>
    <mergeCell ref="A666:A667"/>
    <mergeCell ref="A668:A669"/>
    <mergeCell ref="O668:O669"/>
    <mergeCell ref="A670:A671"/>
    <mergeCell ref="O670:O671"/>
    <mergeCell ref="A672:A673"/>
    <mergeCell ref="A698:A699"/>
    <mergeCell ref="O698:O699"/>
    <mergeCell ref="A700:A702"/>
    <mergeCell ref="A704:A707"/>
    <mergeCell ref="O704:O707"/>
    <mergeCell ref="A708:A709"/>
    <mergeCell ref="O708:O709"/>
    <mergeCell ref="A686:A687"/>
    <mergeCell ref="O686:O687"/>
    <mergeCell ref="A688:A691"/>
    <mergeCell ref="A692:A693"/>
    <mergeCell ref="O692:O693"/>
    <mergeCell ref="A694:A697"/>
    <mergeCell ref="O694:O697"/>
    <mergeCell ref="A724:A725"/>
    <mergeCell ref="O724:O725"/>
    <mergeCell ref="A726:A729"/>
    <mergeCell ref="A730:A731"/>
    <mergeCell ref="O730:O731"/>
    <mergeCell ref="A732:A733"/>
    <mergeCell ref="O732:O733"/>
    <mergeCell ref="A710:A711"/>
    <mergeCell ref="O710:O711"/>
    <mergeCell ref="A712:A715"/>
    <mergeCell ref="O712:O713"/>
    <mergeCell ref="A716:A719"/>
    <mergeCell ref="A720:A721"/>
    <mergeCell ref="O720:O721"/>
    <mergeCell ref="A722:A723"/>
    <mergeCell ref="O722:O723"/>
    <mergeCell ref="A734:A738"/>
    <mergeCell ref="O734:O738"/>
    <mergeCell ref="A739:A742"/>
    <mergeCell ref="O739:O742"/>
    <mergeCell ref="A751:A752"/>
    <mergeCell ref="O751:O752"/>
    <mergeCell ref="A743:A744"/>
    <mergeCell ref="O743:O744"/>
    <mergeCell ref="A757:A758"/>
    <mergeCell ref="O757:O758"/>
    <mergeCell ref="A749:A750"/>
    <mergeCell ref="O749:O750"/>
    <mergeCell ref="A747:A748"/>
    <mergeCell ref="O747:O748"/>
    <mergeCell ref="A753:A754"/>
    <mergeCell ref="A755:A756"/>
    <mergeCell ref="O755:O756"/>
    <mergeCell ref="O855:O856"/>
    <mergeCell ref="A831:A832"/>
    <mergeCell ref="O831:O832"/>
    <mergeCell ref="A833:A836"/>
    <mergeCell ref="A837:A840"/>
    <mergeCell ref="O837:O840"/>
    <mergeCell ref="A841:A844"/>
    <mergeCell ref="O841:O844"/>
    <mergeCell ref="A867:A868"/>
    <mergeCell ref="O867:O868"/>
    <mergeCell ref="A869:A870"/>
    <mergeCell ref="O869:O870"/>
    <mergeCell ref="A873:A874"/>
    <mergeCell ref="O873:O874"/>
    <mergeCell ref="A857:A858"/>
    <mergeCell ref="A859:A860"/>
    <mergeCell ref="O859:O860"/>
    <mergeCell ref="A861:A862"/>
    <mergeCell ref="O861:O862"/>
    <mergeCell ref="A865:A866"/>
    <mergeCell ref="A871:A872"/>
    <mergeCell ref="O871:O872"/>
    <mergeCell ref="A863:A864"/>
    <mergeCell ref="A883:A884"/>
    <mergeCell ref="O883:O884"/>
    <mergeCell ref="A885:A886"/>
    <mergeCell ref="O885:O886"/>
    <mergeCell ref="A899:A905"/>
    <mergeCell ref="N899:N905"/>
    <mergeCell ref="O899:O905"/>
    <mergeCell ref="A875:A876"/>
    <mergeCell ref="A877:A878"/>
    <mergeCell ref="O877:O878"/>
    <mergeCell ref="A879:A880"/>
    <mergeCell ref="O879:O880"/>
    <mergeCell ref="A881:A882"/>
    <mergeCell ref="A889:A891"/>
    <mergeCell ref="N889:N891"/>
    <mergeCell ref="O889:O891"/>
    <mergeCell ref="A892:A898"/>
    <mergeCell ref="N892:N898"/>
    <mergeCell ref="O892:O898"/>
    <mergeCell ref="A921:A922"/>
    <mergeCell ref="O921:O922"/>
    <mergeCell ref="A923:A924"/>
    <mergeCell ref="O923:O924"/>
    <mergeCell ref="A925:A926"/>
    <mergeCell ref="O925:O926"/>
    <mergeCell ref="A906:A909"/>
    <mergeCell ref="A913:A916"/>
    <mergeCell ref="O913:O916"/>
    <mergeCell ref="A917:A918"/>
    <mergeCell ref="A919:A920"/>
    <mergeCell ref="O919:O920"/>
    <mergeCell ref="A910:A912"/>
    <mergeCell ref="O910:O912"/>
    <mergeCell ref="A943:A946"/>
    <mergeCell ref="O943:O946"/>
    <mergeCell ref="A947:A948"/>
    <mergeCell ref="O947:O948"/>
    <mergeCell ref="A949:A950"/>
    <mergeCell ref="O949:O950"/>
    <mergeCell ref="A927:A930"/>
    <mergeCell ref="A931:A934"/>
    <mergeCell ref="A937:A938"/>
    <mergeCell ref="O937:O938"/>
    <mergeCell ref="A939:A942"/>
    <mergeCell ref="O931:O934"/>
    <mergeCell ref="A935:A936"/>
    <mergeCell ref="O935:O936"/>
    <mergeCell ref="A983:A986"/>
    <mergeCell ref="O983:O986"/>
    <mergeCell ref="O987:O990"/>
    <mergeCell ref="A991:A992"/>
    <mergeCell ref="A993:A994"/>
    <mergeCell ref="O993:O994"/>
    <mergeCell ref="A951:A954"/>
    <mergeCell ref="A959:A962"/>
    <mergeCell ref="O959:O962"/>
    <mergeCell ref="A963:A966"/>
    <mergeCell ref="O963:O966"/>
    <mergeCell ref="A967:A970"/>
    <mergeCell ref="A955:A958"/>
    <mergeCell ref="O955:O958"/>
    <mergeCell ref="A971:A974"/>
    <mergeCell ref="O971:O974"/>
    <mergeCell ref="A975:A978"/>
    <mergeCell ref="O975:O978"/>
    <mergeCell ref="A979:A982"/>
    <mergeCell ref="O979:O982"/>
    <mergeCell ref="A1001:A1002"/>
    <mergeCell ref="O1001:O1002"/>
    <mergeCell ref="A1003:A1004"/>
    <mergeCell ref="A1005:A1006"/>
    <mergeCell ref="O1005:O1006"/>
    <mergeCell ref="A1007:A1008"/>
    <mergeCell ref="O1007:O1008"/>
    <mergeCell ref="A995:A996"/>
    <mergeCell ref="O995:O996"/>
    <mergeCell ref="A997:A998"/>
    <mergeCell ref="O997:O998"/>
    <mergeCell ref="A999:A1000"/>
    <mergeCell ref="O999:O1000"/>
    <mergeCell ref="A1019:A1020"/>
    <mergeCell ref="O1019:O1020"/>
    <mergeCell ref="A1021:A1022"/>
    <mergeCell ref="O1021:O1022"/>
    <mergeCell ref="A1023:A1026"/>
    <mergeCell ref="O1027:O1030"/>
    <mergeCell ref="A1009:A1010"/>
    <mergeCell ref="A1013:A1014"/>
    <mergeCell ref="O1013:O1014"/>
    <mergeCell ref="A1015:A1016"/>
    <mergeCell ref="O1015:O1016"/>
    <mergeCell ref="A1017:A1018"/>
    <mergeCell ref="O1017:O1018"/>
    <mergeCell ref="A1011:A1012"/>
    <mergeCell ref="O1011:O1012"/>
    <mergeCell ref="A1062:A1065"/>
    <mergeCell ref="A1066:A1067"/>
    <mergeCell ref="O1066:O1067"/>
    <mergeCell ref="A1070:A1071"/>
    <mergeCell ref="O1070:O1071"/>
    <mergeCell ref="A1068:A1069"/>
    <mergeCell ref="O1068:O1069"/>
    <mergeCell ref="A1100:A1101"/>
    <mergeCell ref="O1100:O1101"/>
    <mergeCell ref="A1072:A1075"/>
    <mergeCell ref="O1072:O1075"/>
    <mergeCell ref="A1076:A1079"/>
    <mergeCell ref="A1080:A1083"/>
    <mergeCell ref="O1080:O1083"/>
    <mergeCell ref="A1088:A1091"/>
    <mergeCell ref="O1088:O1091"/>
    <mergeCell ref="A1084:A1087"/>
    <mergeCell ref="O1084:O1087"/>
    <mergeCell ref="A1102:A1103"/>
    <mergeCell ref="O1102:O1103"/>
    <mergeCell ref="A1104:A1105"/>
    <mergeCell ref="O1104:O1105"/>
    <mergeCell ref="A1092:A1093"/>
    <mergeCell ref="O1092:O1093"/>
    <mergeCell ref="A1094:A1095"/>
    <mergeCell ref="A1096:A1097"/>
    <mergeCell ref="O1096:O1097"/>
    <mergeCell ref="A1098:A1099"/>
    <mergeCell ref="O1098:O1099"/>
    <mergeCell ref="A1112:A1115"/>
    <mergeCell ref="A1120:A1123"/>
    <mergeCell ref="O1120:O1123"/>
    <mergeCell ref="A1126:A1127"/>
    <mergeCell ref="A1128:A1129"/>
    <mergeCell ref="O1128:O1129"/>
    <mergeCell ref="A1106:A1107"/>
    <mergeCell ref="O1106:O1107"/>
    <mergeCell ref="A1108:A1109"/>
    <mergeCell ref="O1108:O1109"/>
    <mergeCell ref="A1110:A1111"/>
    <mergeCell ref="O1110:O1111"/>
    <mergeCell ref="A1124:A1125"/>
    <mergeCell ref="O1124:O1125"/>
    <mergeCell ref="A1116:A1119"/>
    <mergeCell ref="O1116:O1119"/>
    <mergeCell ref="A1142:A1145"/>
    <mergeCell ref="O1142:O1145"/>
    <mergeCell ref="A1146:A1147"/>
    <mergeCell ref="O1146:O1147"/>
    <mergeCell ref="A1148:A1151"/>
    <mergeCell ref="A1154:A1155"/>
    <mergeCell ref="O1154:O1155"/>
    <mergeCell ref="A1130:A1131"/>
    <mergeCell ref="O1130:O1131"/>
    <mergeCell ref="A1132:A1133"/>
    <mergeCell ref="O1132:O1133"/>
    <mergeCell ref="A1134:A1137"/>
    <mergeCell ref="A1140:A1141"/>
    <mergeCell ref="O1140:O1141"/>
    <mergeCell ref="A1152:A1153"/>
    <mergeCell ref="O1152:O1153"/>
    <mergeCell ref="A1138:A1139"/>
    <mergeCell ref="O1138:O1139"/>
    <mergeCell ref="A1166:A1167"/>
    <mergeCell ref="O1166:O1167"/>
    <mergeCell ref="A1168:A1171"/>
    <mergeCell ref="A1172:A1175"/>
    <mergeCell ref="O1172:O1175"/>
    <mergeCell ref="A1176:A1179"/>
    <mergeCell ref="O1176:O1179"/>
    <mergeCell ref="A1156:A1159"/>
    <mergeCell ref="O1156:O1159"/>
    <mergeCell ref="A1160:A1163"/>
    <mergeCell ref="O1160:O1163"/>
    <mergeCell ref="A1164:A1165"/>
    <mergeCell ref="O1164:O1165"/>
    <mergeCell ref="A1192:A1195"/>
    <mergeCell ref="O1192:O1195"/>
    <mergeCell ref="A1196:A1199"/>
    <mergeCell ref="O1196:O1199"/>
    <mergeCell ref="A1200:A1203"/>
    <mergeCell ref="O1200:O1203"/>
    <mergeCell ref="A1180:A1183"/>
    <mergeCell ref="O1180:O1183"/>
    <mergeCell ref="A1184:A1187"/>
    <mergeCell ref="O1184:O1187"/>
    <mergeCell ref="A1188:A1191"/>
    <mergeCell ref="O1188:O1191"/>
    <mergeCell ref="A1218:A1221"/>
    <mergeCell ref="O1218:O1221"/>
    <mergeCell ref="A1222:A1225"/>
    <mergeCell ref="A1226:A1227"/>
    <mergeCell ref="O1226:O1227"/>
    <mergeCell ref="A1228:A1231"/>
    <mergeCell ref="O1228:O1231"/>
    <mergeCell ref="A1204:A1207"/>
    <mergeCell ref="O1204:O1207"/>
    <mergeCell ref="A1208:A1211"/>
    <mergeCell ref="A1212:A1215"/>
    <mergeCell ref="O1212:O1215"/>
    <mergeCell ref="A1216:A1217"/>
    <mergeCell ref="O1216:O1217"/>
    <mergeCell ref="A1240:A1243"/>
    <mergeCell ref="A1244:A1245"/>
    <mergeCell ref="O1244:O1245"/>
    <mergeCell ref="A1246:A1249"/>
    <mergeCell ref="O1246:O1249"/>
    <mergeCell ref="A1250:A1251"/>
    <mergeCell ref="O1250:O1251"/>
    <mergeCell ref="A1232:A1233"/>
    <mergeCell ref="O1232:O1233"/>
    <mergeCell ref="A1234:A1235"/>
    <mergeCell ref="A1236:A1237"/>
    <mergeCell ref="O1236:O1237"/>
    <mergeCell ref="A1238:A1239"/>
    <mergeCell ref="O1238:O1239"/>
    <mergeCell ref="A1266:A1267"/>
    <mergeCell ref="O1266:O1267"/>
    <mergeCell ref="A1268:A1269"/>
    <mergeCell ref="A1274:A1275"/>
    <mergeCell ref="O1274:O1275"/>
    <mergeCell ref="A1276:A1277"/>
    <mergeCell ref="O1276:O1277"/>
    <mergeCell ref="A1252:A1255"/>
    <mergeCell ref="A1256:A1259"/>
    <mergeCell ref="O1256:O1259"/>
    <mergeCell ref="A1260:A1263"/>
    <mergeCell ref="O1260:O1263"/>
    <mergeCell ref="A1264:A1265"/>
    <mergeCell ref="O1264:O1265"/>
    <mergeCell ref="A1270:A1271"/>
    <mergeCell ref="O1270:O1271"/>
    <mergeCell ref="A1296:A1299"/>
    <mergeCell ref="O1296:O1299"/>
    <mergeCell ref="A1300:A1301"/>
    <mergeCell ref="A1306:A1307"/>
    <mergeCell ref="O1306:O1307"/>
    <mergeCell ref="A1308:A1309"/>
    <mergeCell ref="O1308:O1309"/>
    <mergeCell ref="A1278:A1281"/>
    <mergeCell ref="A1282:A1285"/>
    <mergeCell ref="O1282:O1285"/>
    <mergeCell ref="A1288:A1291"/>
    <mergeCell ref="A1292:A1295"/>
    <mergeCell ref="O1292:O1295"/>
    <mergeCell ref="A1286:A1287"/>
    <mergeCell ref="O1286:O1287"/>
    <mergeCell ref="A1304:A1305"/>
    <mergeCell ref="O1304:O1305"/>
    <mergeCell ref="A1302:A1303"/>
    <mergeCell ref="O1302:O1303"/>
    <mergeCell ref="A1330:A1331"/>
    <mergeCell ref="O1330:O1331"/>
    <mergeCell ref="A1332:A1333"/>
    <mergeCell ref="O1332:O1333"/>
    <mergeCell ref="A1310:A1311"/>
    <mergeCell ref="A1318:A1319"/>
    <mergeCell ref="O1318:O1319"/>
    <mergeCell ref="A1320:A1323"/>
    <mergeCell ref="A1324:A1325"/>
    <mergeCell ref="O1324:O1325"/>
    <mergeCell ref="A1312:A1313"/>
    <mergeCell ref="O1312:O1313"/>
    <mergeCell ref="A1316:A1317"/>
    <mergeCell ref="O1316:O1317"/>
    <mergeCell ref="A1314:A1315"/>
    <mergeCell ref="O1314:O1315"/>
    <mergeCell ref="A1372:O1372"/>
    <mergeCell ref="A3:O4"/>
    <mergeCell ref="A1:O2"/>
    <mergeCell ref="A1363:A1367"/>
    <mergeCell ref="O1363:O1367"/>
    <mergeCell ref="A1368:O1368"/>
    <mergeCell ref="A1369:O1369"/>
    <mergeCell ref="A1370:O1370"/>
    <mergeCell ref="A1371:O1371"/>
    <mergeCell ref="A1351:A1354"/>
    <mergeCell ref="O1351:O1354"/>
    <mergeCell ref="A1355:A1358"/>
    <mergeCell ref="O1355:O1358"/>
    <mergeCell ref="A1359:A1362"/>
    <mergeCell ref="O1359:O1362"/>
    <mergeCell ref="A1336:A1342"/>
    <mergeCell ref="N1336:N1342"/>
    <mergeCell ref="O1336:O1342"/>
    <mergeCell ref="A1343:A1346"/>
    <mergeCell ref="O1343:O1346"/>
    <mergeCell ref="A1347:A1350"/>
    <mergeCell ref="O1347:O1350"/>
    <mergeCell ref="A1326:A1329"/>
    <mergeCell ref="O1326:O1329"/>
    <mergeCell ref="A500:A503"/>
    <mergeCell ref="O500:O503"/>
    <mergeCell ref="A504:A507"/>
    <mergeCell ref="N520:N523"/>
    <mergeCell ref="A508:A511"/>
    <mergeCell ref="O504:O507"/>
    <mergeCell ref="O508:O511"/>
    <mergeCell ref="A512:A515"/>
    <mergeCell ref="A516:A519"/>
    <mergeCell ref="O512:O515"/>
    <mergeCell ref="O516:O519"/>
    <mergeCell ref="A520:A523"/>
    <mergeCell ref="O520:O523"/>
    <mergeCell ref="O496:O499"/>
    <mergeCell ref="A488:A491"/>
    <mergeCell ref="O488:O491"/>
    <mergeCell ref="A492:A495"/>
    <mergeCell ref="O492:O495"/>
    <mergeCell ref="A496:A499"/>
    <mergeCell ref="A484:A487"/>
    <mergeCell ref="A434:A437"/>
    <mergeCell ref="O434:O437"/>
    <mergeCell ref="A438:A441"/>
    <mergeCell ref="O438:O441"/>
    <mergeCell ref="A442:A445"/>
    <mergeCell ref="A446:A449"/>
    <mergeCell ref="O446:O449"/>
    <mergeCell ref="A466:A469"/>
    <mergeCell ref="O466:O469"/>
    <mergeCell ref="A470:A473"/>
    <mergeCell ref="O470:O473"/>
    <mergeCell ref="A450:A453"/>
    <mergeCell ref="O450:O453"/>
    <mergeCell ref="A454:A457"/>
    <mergeCell ref="O454:O457"/>
    <mergeCell ref="A458:A461"/>
    <mergeCell ref="A462:A465"/>
  </mergeCells>
  <conditionalFormatting sqref="L149:L157">
    <cfRule type="cellIs" dxfId="2" priority="3" stopIfTrue="1" operator="equal">
      <formula>0</formula>
    </cfRule>
  </conditionalFormatting>
  <conditionalFormatting sqref="M276">
    <cfRule type="cellIs" dxfId="1" priority="2" stopIfTrue="1" operator="equal">
      <formula>0</formula>
    </cfRule>
  </conditionalFormatting>
  <conditionalFormatting sqref="AC94:AC95">
    <cfRule type="cellIs" dxfId="0" priority="1" stopIfTrue="1" operator="equal">
      <formula>0</formula>
    </cfRule>
  </conditionalFormatting>
  <printOptions horizontalCentered="1"/>
  <pageMargins left="0.39370078740157483" right="0.39370078740157483" top="0.98425196850393704" bottom="0.39370078740157483" header="0.31496062992125984" footer="0.31496062992125984"/>
  <pageSetup paperSize="9" scale="74" fitToHeight="0" orientation="landscape" r:id="rId1"/>
  <headerFooter differentFirst="1">
    <oddHeader>Страница &amp;P</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121"/>
  <sheetViews>
    <sheetView topLeftCell="A11" zoomScale="71" zoomScaleNormal="71" workbookViewId="0">
      <pane ySplit="2" topLeftCell="A32" activePane="bottomLeft" state="frozen"/>
      <selection activeCell="A11" sqref="A11"/>
      <selection pane="bottomLeft" activeCell="P36" sqref="P36"/>
    </sheetView>
  </sheetViews>
  <sheetFormatPr defaultColWidth="8.85546875" defaultRowHeight="18.75"/>
  <cols>
    <col min="1" max="1" width="2.42578125" style="144" customWidth="1"/>
    <col min="2" max="2" width="33.28515625" style="144" customWidth="1"/>
    <col min="3" max="3" width="46.7109375" style="144" customWidth="1"/>
    <col min="4" max="4" width="14.5703125" style="145" customWidth="1"/>
    <col min="5" max="5" width="17.85546875" style="144" customWidth="1"/>
    <col min="6" max="6" width="12.28515625" style="144" customWidth="1"/>
    <col min="7" max="9" width="13.42578125" style="144" bestFit="1" customWidth="1"/>
    <col min="10" max="11" width="13.42578125" style="146" bestFit="1" customWidth="1"/>
    <col min="12" max="13" width="13.42578125" style="144" bestFit="1" customWidth="1"/>
    <col min="14" max="16" width="13.42578125" style="709" bestFit="1" customWidth="1"/>
    <col min="17" max="19" width="13.42578125" style="144" customWidth="1"/>
    <col min="20" max="20" width="15.5703125" style="144" customWidth="1"/>
    <col min="21" max="21" width="15.7109375" style="147" customWidth="1"/>
    <col min="22" max="22" width="23.140625" style="144" customWidth="1"/>
    <col min="23" max="23" width="42.42578125" style="144" customWidth="1"/>
    <col min="24" max="24" width="18.42578125" style="144" bestFit="1" customWidth="1"/>
    <col min="25" max="25" width="13.140625" style="144" customWidth="1"/>
    <col min="26" max="26" width="12.140625" style="144" customWidth="1"/>
    <col min="27" max="259" width="8.85546875" style="144"/>
    <col min="260" max="260" width="2.42578125" style="144" customWidth="1"/>
    <col min="261" max="261" width="33.28515625" style="144" customWidth="1"/>
    <col min="262" max="262" width="46.7109375" style="144" customWidth="1"/>
    <col min="263" max="263" width="13.140625" style="144" customWidth="1"/>
    <col min="264" max="264" width="17" style="144" customWidth="1"/>
    <col min="265" max="265" width="18.28515625" style="144" customWidth="1"/>
    <col min="266" max="275" width="14.7109375" style="144" customWidth="1"/>
    <col min="276" max="276" width="8.85546875" style="144"/>
    <col min="277" max="277" width="15.7109375" style="144" customWidth="1"/>
    <col min="278" max="278" width="14.140625" style="144" customWidth="1"/>
    <col min="279" max="279" width="15.7109375" style="144" customWidth="1"/>
    <col min="280" max="280" width="11.28515625" style="144" bestFit="1" customWidth="1"/>
    <col min="281" max="281" width="13.140625" style="144" customWidth="1"/>
    <col min="282" max="282" width="12.140625" style="144" customWidth="1"/>
    <col min="283" max="515" width="8.85546875" style="144"/>
    <col min="516" max="516" width="2.42578125" style="144" customWidth="1"/>
    <col min="517" max="517" width="33.28515625" style="144" customWidth="1"/>
    <col min="518" max="518" width="46.7109375" style="144" customWidth="1"/>
    <col min="519" max="519" width="13.140625" style="144" customWidth="1"/>
    <col min="520" max="520" width="17" style="144" customWidth="1"/>
    <col min="521" max="521" width="18.28515625" style="144" customWidth="1"/>
    <col min="522" max="531" width="14.7109375" style="144" customWidth="1"/>
    <col min="532" max="532" width="8.85546875" style="144"/>
    <col min="533" max="533" width="15.7109375" style="144" customWidth="1"/>
    <col min="534" max="534" width="14.140625" style="144" customWidth="1"/>
    <col min="535" max="535" width="15.7109375" style="144" customWidth="1"/>
    <col min="536" max="536" width="11.28515625" style="144" bestFit="1" customWidth="1"/>
    <col min="537" max="537" width="13.140625" style="144" customWidth="1"/>
    <col min="538" max="538" width="12.140625" style="144" customWidth="1"/>
    <col min="539" max="771" width="8.85546875" style="144"/>
    <col min="772" max="772" width="2.42578125" style="144" customWidth="1"/>
    <col min="773" max="773" width="33.28515625" style="144" customWidth="1"/>
    <col min="774" max="774" width="46.7109375" style="144" customWidth="1"/>
    <col min="775" max="775" width="13.140625" style="144" customWidth="1"/>
    <col min="776" max="776" width="17" style="144" customWidth="1"/>
    <col min="777" max="777" width="18.28515625" style="144" customWidth="1"/>
    <col min="778" max="787" width="14.7109375" style="144" customWidth="1"/>
    <col min="788" max="788" width="8.85546875" style="144"/>
    <col min="789" max="789" width="15.7109375" style="144" customWidth="1"/>
    <col min="790" max="790" width="14.140625" style="144" customWidth="1"/>
    <col min="791" max="791" width="15.7109375" style="144" customWidth="1"/>
    <col min="792" max="792" width="11.28515625" style="144" bestFit="1" customWidth="1"/>
    <col min="793" max="793" width="13.140625" style="144" customWidth="1"/>
    <col min="794" max="794" width="12.140625" style="144" customWidth="1"/>
    <col min="795" max="1027" width="8.85546875" style="144"/>
    <col min="1028" max="1028" width="2.42578125" style="144" customWidth="1"/>
    <col min="1029" max="1029" width="33.28515625" style="144" customWidth="1"/>
    <col min="1030" max="1030" width="46.7109375" style="144" customWidth="1"/>
    <col min="1031" max="1031" width="13.140625" style="144" customWidth="1"/>
    <col min="1032" max="1032" width="17" style="144" customWidth="1"/>
    <col min="1033" max="1033" width="18.28515625" style="144" customWidth="1"/>
    <col min="1034" max="1043" width="14.7109375" style="144" customWidth="1"/>
    <col min="1044" max="1044" width="8.85546875" style="144"/>
    <col min="1045" max="1045" width="15.7109375" style="144" customWidth="1"/>
    <col min="1046" max="1046" width="14.140625" style="144" customWidth="1"/>
    <col min="1047" max="1047" width="15.7109375" style="144" customWidth="1"/>
    <col min="1048" max="1048" width="11.28515625" style="144" bestFit="1" customWidth="1"/>
    <col min="1049" max="1049" width="13.140625" style="144" customWidth="1"/>
    <col min="1050" max="1050" width="12.140625" style="144" customWidth="1"/>
    <col min="1051" max="1283" width="8.85546875" style="144"/>
    <col min="1284" max="1284" width="2.42578125" style="144" customWidth="1"/>
    <col min="1285" max="1285" width="33.28515625" style="144" customWidth="1"/>
    <col min="1286" max="1286" width="46.7109375" style="144" customWidth="1"/>
    <col min="1287" max="1287" width="13.140625" style="144" customWidth="1"/>
    <col min="1288" max="1288" width="17" style="144" customWidth="1"/>
    <col min="1289" max="1289" width="18.28515625" style="144" customWidth="1"/>
    <col min="1290" max="1299" width="14.7109375" style="144" customWidth="1"/>
    <col min="1300" max="1300" width="8.85546875" style="144"/>
    <col min="1301" max="1301" width="15.7109375" style="144" customWidth="1"/>
    <col min="1302" max="1302" width="14.140625" style="144" customWidth="1"/>
    <col min="1303" max="1303" width="15.7109375" style="144" customWidth="1"/>
    <col min="1304" max="1304" width="11.28515625" style="144" bestFit="1" customWidth="1"/>
    <col min="1305" max="1305" width="13.140625" style="144" customWidth="1"/>
    <col min="1306" max="1306" width="12.140625" style="144" customWidth="1"/>
    <col min="1307" max="1539" width="8.85546875" style="144"/>
    <col min="1540" max="1540" width="2.42578125" style="144" customWidth="1"/>
    <col min="1541" max="1541" width="33.28515625" style="144" customWidth="1"/>
    <col min="1542" max="1542" width="46.7109375" style="144" customWidth="1"/>
    <col min="1543" max="1543" width="13.140625" style="144" customWidth="1"/>
    <col min="1544" max="1544" width="17" style="144" customWidth="1"/>
    <col min="1545" max="1545" width="18.28515625" style="144" customWidth="1"/>
    <col min="1546" max="1555" width="14.7109375" style="144" customWidth="1"/>
    <col min="1556" max="1556" width="8.85546875" style="144"/>
    <col min="1557" max="1557" width="15.7109375" style="144" customWidth="1"/>
    <col min="1558" max="1558" width="14.140625" style="144" customWidth="1"/>
    <col min="1559" max="1559" width="15.7109375" style="144" customWidth="1"/>
    <col min="1560" max="1560" width="11.28515625" style="144" bestFit="1" customWidth="1"/>
    <col min="1561" max="1561" width="13.140625" style="144" customWidth="1"/>
    <col min="1562" max="1562" width="12.140625" style="144" customWidth="1"/>
    <col min="1563" max="1795" width="8.85546875" style="144"/>
    <col min="1796" max="1796" width="2.42578125" style="144" customWidth="1"/>
    <col min="1797" max="1797" width="33.28515625" style="144" customWidth="1"/>
    <col min="1798" max="1798" width="46.7109375" style="144" customWidth="1"/>
    <col min="1799" max="1799" width="13.140625" style="144" customWidth="1"/>
    <col min="1800" max="1800" width="17" style="144" customWidth="1"/>
    <col min="1801" max="1801" width="18.28515625" style="144" customWidth="1"/>
    <col min="1802" max="1811" width="14.7109375" style="144" customWidth="1"/>
    <col min="1812" max="1812" width="8.85546875" style="144"/>
    <col min="1813" max="1813" width="15.7109375" style="144" customWidth="1"/>
    <col min="1814" max="1814" width="14.140625" style="144" customWidth="1"/>
    <col min="1815" max="1815" width="15.7109375" style="144" customWidth="1"/>
    <col min="1816" max="1816" width="11.28515625" style="144" bestFit="1" customWidth="1"/>
    <col min="1817" max="1817" width="13.140625" style="144" customWidth="1"/>
    <col min="1818" max="1818" width="12.140625" style="144" customWidth="1"/>
    <col min="1819" max="2051" width="8.85546875" style="144"/>
    <col min="2052" max="2052" width="2.42578125" style="144" customWidth="1"/>
    <col min="2053" max="2053" width="33.28515625" style="144" customWidth="1"/>
    <col min="2054" max="2054" width="46.7109375" style="144" customWidth="1"/>
    <col min="2055" max="2055" width="13.140625" style="144" customWidth="1"/>
    <col min="2056" max="2056" width="17" style="144" customWidth="1"/>
    <col min="2057" max="2057" width="18.28515625" style="144" customWidth="1"/>
    <col min="2058" max="2067" width="14.7109375" style="144" customWidth="1"/>
    <col min="2068" max="2068" width="8.85546875" style="144"/>
    <col min="2069" max="2069" width="15.7109375" style="144" customWidth="1"/>
    <col min="2070" max="2070" width="14.140625" style="144" customWidth="1"/>
    <col min="2071" max="2071" width="15.7109375" style="144" customWidth="1"/>
    <col min="2072" max="2072" width="11.28515625" style="144" bestFit="1" customWidth="1"/>
    <col min="2073" max="2073" width="13.140625" style="144" customWidth="1"/>
    <col min="2074" max="2074" width="12.140625" style="144" customWidth="1"/>
    <col min="2075" max="2307" width="8.85546875" style="144"/>
    <col min="2308" max="2308" width="2.42578125" style="144" customWidth="1"/>
    <col min="2309" max="2309" width="33.28515625" style="144" customWidth="1"/>
    <col min="2310" max="2310" width="46.7109375" style="144" customWidth="1"/>
    <col min="2311" max="2311" width="13.140625" style="144" customWidth="1"/>
    <col min="2312" max="2312" width="17" style="144" customWidth="1"/>
    <col min="2313" max="2313" width="18.28515625" style="144" customWidth="1"/>
    <col min="2314" max="2323" width="14.7109375" style="144" customWidth="1"/>
    <col min="2324" max="2324" width="8.85546875" style="144"/>
    <col min="2325" max="2325" width="15.7109375" style="144" customWidth="1"/>
    <col min="2326" max="2326" width="14.140625" style="144" customWidth="1"/>
    <col min="2327" max="2327" width="15.7109375" style="144" customWidth="1"/>
    <col min="2328" max="2328" width="11.28515625" style="144" bestFit="1" customWidth="1"/>
    <col min="2329" max="2329" width="13.140625" style="144" customWidth="1"/>
    <col min="2330" max="2330" width="12.140625" style="144" customWidth="1"/>
    <col min="2331" max="2563" width="8.85546875" style="144"/>
    <col min="2564" max="2564" width="2.42578125" style="144" customWidth="1"/>
    <col min="2565" max="2565" width="33.28515625" style="144" customWidth="1"/>
    <col min="2566" max="2566" width="46.7109375" style="144" customWidth="1"/>
    <col min="2567" max="2567" width="13.140625" style="144" customWidth="1"/>
    <col min="2568" max="2568" width="17" style="144" customWidth="1"/>
    <col min="2569" max="2569" width="18.28515625" style="144" customWidth="1"/>
    <col min="2570" max="2579" width="14.7109375" style="144" customWidth="1"/>
    <col min="2580" max="2580" width="8.85546875" style="144"/>
    <col min="2581" max="2581" width="15.7109375" style="144" customWidth="1"/>
    <col min="2582" max="2582" width="14.140625" style="144" customWidth="1"/>
    <col min="2583" max="2583" width="15.7109375" style="144" customWidth="1"/>
    <col min="2584" max="2584" width="11.28515625" style="144" bestFit="1" customWidth="1"/>
    <col min="2585" max="2585" width="13.140625" style="144" customWidth="1"/>
    <col min="2586" max="2586" width="12.140625" style="144" customWidth="1"/>
    <col min="2587" max="2819" width="8.85546875" style="144"/>
    <col min="2820" max="2820" width="2.42578125" style="144" customWidth="1"/>
    <col min="2821" max="2821" width="33.28515625" style="144" customWidth="1"/>
    <col min="2822" max="2822" width="46.7109375" style="144" customWidth="1"/>
    <col min="2823" max="2823" width="13.140625" style="144" customWidth="1"/>
    <col min="2824" max="2824" width="17" style="144" customWidth="1"/>
    <col min="2825" max="2825" width="18.28515625" style="144" customWidth="1"/>
    <col min="2826" max="2835" width="14.7109375" style="144" customWidth="1"/>
    <col min="2836" max="2836" width="8.85546875" style="144"/>
    <col min="2837" max="2837" width="15.7109375" style="144" customWidth="1"/>
    <col min="2838" max="2838" width="14.140625" style="144" customWidth="1"/>
    <col min="2839" max="2839" width="15.7109375" style="144" customWidth="1"/>
    <col min="2840" max="2840" width="11.28515625" style="144" bestFit="1" customWidth="1"/>
    <col min="2841" max="2841" width="13.140625" style="144" customWidth="1"/>
    <col min="2842" max="2842" width="12.140625" style="144" customWidth="1"/>
    <col min="2843" max="3075" width="8.85546875" style="144"/>
    <col min="3076" max="3076" width="2.42578125" style="144" customWidth="1"/>
    <col min="3077" max="3077" width="33.28515625" style="144" customWidth="1"/>
    <col min="3078" max="3078" width="46.7109375" style="144" customWidth="1"/>
    <col min="3079" max="3079" width="13.140625" style="144" customWidth="1"/>
    <col min="3080" max="3080" width="17" style="144" customWidth="1"/>
    <col min="3081" max="3081" width="18.28515625" style="144" customWidth="1"/>
    <col min="3082" max="3091" width="14.7109375" style="144" customWidth="1"/>
    <col min="3092" max="3092" width="8.85546875" style="144"/>
    <col min="3093" max="3093" width="15.7109375" style="144" customWidth="1"/>
    <col min="3094" max="3094" width="14.140625" style="144" customWidth="1"/>
    <col min="3095" max="3095" width="15.7109375" style="144" customWidth="1"/>
    <col min="3096" max="3096" width="11.28515625" style="144" bestFit="1" customWidth="1"/>
    <col min="3097" max="3097" width="13.140625" style="144" customWidth="1"/>
    <col min="3098" max="3098" width="12.140625" style="144" customWidth="1"/>
    <col min="3099" max="3331" width="8.85546875" style="144"/>
    <col min="3332" max="3332" width="2.42578125" style="144" customWidth="1"/>
    <col min="3333" max="3333" width="33.28515625" style="144" customWidth="1"/>
    <col min="3334" max="3334" width="46.7109375" style="144" customWidth="1"/>
    <col min="3335" max="3335" width="13.140625" style="144" customWidth="1"/>
    <col min="3336" max="3336" width="17" style="144" customWidth="1"/>
    <col min="3337" max="3337" width="18.28515625" style="144" customWidth="1"/>
    <col min="3338" max="3347" width="14.7109375" style="144" customWidth="1"/>
    <col min="3348" max="3348" width="8.85546875" style="144"/>
    <col min="3349" max="3349" width="15.7109375" style="144" customWidth="1"/>
    <col min="3350" max="3350" width="14.140625" style="144" customWidth="1"/>
    <col min="3351" max="3351" width="15.7109375" style="144" customWidth="1"/>
    <col min="3352" max="3352" width="11.28515625" style="144" bestFit="1" customWidth="1"/>
    <col min="3353" max="3353" width="13.140625" style="144" customWidth="1"/>
    <col min="3354" max="3354" width="12.140625" style="144" customWidth="1"/>
    <col min="3355" max="3587" width="8.85546875" style="144"/>
    <col min="3588" max="3588" width="2.42578125" style="144" customWidth="1"/>
    <col min="3589" max="3589" width="33.28515625" style="144" customWidth="1"/>
    <col min="3590" max="3590" width="46.7109375" style="144" customWidth="1"/>
    <col min="3591" max="3591" width="13.140625" style="144" customWidth="1"/>
    <col min="3592" max="3592" width="17" style="144" customWidth="1"/>
    <col min="3593" max="3593" width="18.28515625" style="144" customWidth="1"/>
    <col min="3594" max="3603" width="14.7109375" style="144" customWidth="1"/>
    <col min="3604" max="3604" width="8.85546875" style="144"/>
    <col min="3605" max="3605" width="15.7109375" style="144" customWidth="1"/>
    <col min="3606" max="3606" width="14.140625" style="144" customWidth="1"/>
    <col min="3607" max="3607" width="15.7109375" style="144" customWidth="1"/>
    <col min="3608" max="3608" width="11.28515625" style="144" bestFit="1" customWidth="1"/>
    <col min="3609" max="3609" width="13.140625" style="144" customWidth="1"/>
    <col min="3610" max="3610" width="12.140625" style="144" customWidth="1"/>
    <col min="3611" max="3843" width="8.85546875" style="144"/>
    <col min="3844" max="3844" width="2.42578125" style="144" customWidth="1"/>
    <col min="3845" max="3845" width="33.28515625" style="144" customWidth="1"/>
    <col min="3846" max="3846" width="46.7109375" style="144" customWidth="1"/>
    <col min="3847" max="3847" width="13.140625" style="144" customWidth="1"/>
    <col min="3848" max="3848" width="17" style="144" customWidth="1"/>
    <col min="3849" max="3849" width="18.28515625" style="144" customWidth="1"/>
    <col min="3850" max="3859" width="14.7109375" style="144" customWidth="1"/>
    <col min="3860" max="3860" width="8.85546875" style="144"/>
    <col min="3861" max="3861" width="15.7109375" style="144" customWidth="1"/>
    <col min="3862" max="3862" width="14.140625" style="144" customWidth="1"/>
    <col min="3863" max="3863" width="15.7109375" style="144" customWidth="1"/>
    <col min="3864" max="3864" width="11.28515625" style="144" bestFit="1" customWidth="1"/>
    <col min="3865" max="3865" width="13.140625" style="144" customWidth="1"/>
    <col min="3866" max="3866" width="12.140625" style="144" customWidth="1"/>
    <col min="3867" max="4099" width="8.85546875" style="144"/>
    <col min="4100" max="4100" width="2.42578125" style="144" customWidth="1"/>
    <col min="4101" max="4101" width="33.28515625" style="144" customWidth="1"/>
    <col min="4102" max="4102" width="46.7109375" style="144" customWidth="1"/>
    <col min="4103" max="4103" width="13.140625" style="144" customWidth="1"/>
    <col min="4104" max="4104" width="17" style="144" customWidth="1"/>
    <col min="4105" max="4105" width="18.28515625" style="144" customWidth="1"/>
    <col min="4106" max="4115" width="14.7109375" style="144" customWidth="1"/>
    <col min="4116" max="4116" width="8.85546875" style="144"/>
    <col min="4117" max="4117" width="15.7109375" style="144" customWidth="1"/>
    <col min="4118" max="4118" width="14.140625" style="144" customWidth="1"/>
    <col min="4119" max="4119" width="15.7109375" style="144" customWidth="1"/>
    <col min="4120" max="4120" width="11.28515625" style="144" bestFit="1" customWidth="1"/>
    <col min="4121" max="4121" width="13.140625" style="144" customWidth="1"/>
    <col min="4122" max="4122" width="12.140625" style="144" customWidth="1"/>
    <col min="4123" max="4355" width="8.85546875" style="144"/>
    <col min="4356" max="4356" width="2.42578125" style="144" customWidth="1"/>
    <col min="4357" max="4357" width="33.28515625" style="144" customWidth="1"/>
    <col min="4358" max="4358" width="46.7109375" style="144" customWidth="1"/>
    <col min="4359" max="4359" width="13.140625" style="144" customWidth="1"/>
    <col min="4360" max="4360" width="17" style="144" customWidth="1"/>
    <col min="4361" max="4361" width="18.28515625" style="144" customWidth="1"/>
    <col min="4362" max="4371" width="14.7109375" style="144" customWidth="1"/>
    <col min="4372" max="4372" width="8.85546875" style="144"/>
    <col min="4373" max="4373" width="15.7109375" style="144" customWidth="1"/>
    <col min="4374" max="4374" width="14.140625" style="144" customWidth="1"/>
    <col min="4375" max="4375" width="15.7109375" style="144" customWidth="1"/>
    <col min="4376" max="4376" width="11.28515625" style="144" bestFit="1" customWidth="1"/>
    <col min="4377" max="4377" width="13.140625" style="144" customWidth="1"/>
    <col min="4378" max="4378" width="12.140625" style="144" customWidth="1"/>
    <col min="4379" max="4611" width="8.85546875" style="144"/>
    <col min="4612" max="4612" width="2.42578125" style="144" customWidth="1"/>
    <col min="4613" max="4613" width="33.28515625" style="144" customWidth="1"/>
    <col min="4614" max="4614" width="46.7109375" style="144" customWidth="1"/>
    <col min="4615" max="4615" width="13.140625" style="144" customWidth="1"/>
    <col min="4616" max="4616" width="17" style="144" customWidth="1"/>
    <col min="4617" max="4617" width="18.28515625" style="144" customWidth="1"/>
    <col min="4618" max="4627" width="14.7109375" style="144" customWidth="1"/>
    <col min="4628" max="4628" width="8.85546875" style="144"/>
    <col min="4629" max="4629" width="15.7109375" style="144" customWidth="1"/>
    <col min="4630" max="4630" width="14.140625" style="144" customWidth="1"/>
    <col min="4631" max="4631" width="15.7109375" style="144" customWidth="1"/>
    <col min="4632" max="4632" width="11.28515625" style="144" bestFit="1" customWidth="1"/>
    <col min="4633" max="4633" width="13.140625" style="144" customWidth="1"/>
    <col min="4634" max="4634" width="12.140625" style="144" customWidth="1"/>
    <col min="4635" max="4867" width="8.85546875" style="144"/>
    <col min="4868" max="4868" width="2.42578125" style="144" customWidth="1"/>
    <col min="4869" max="4869" width="33.28515625" style="144" customWidth="1"/>
    <col min="4870" max="4870" width="46.7109375" style="144" customWidth="1"/>
    <col min="4871" max="4871" width="13.140625" style="144" customWidth="1"/>
    <col min="4872" max="4872" width="17" style="144" customWidth="1"/>
    <col min="4873" max="4873" width="18.28515625" style="144" customWidth="1"/>
    <col min="4874" max="4883" width="14.7109375" style="144" customWidth="1"/>
    <col min="4884" max="4884" width="8.85546875" style="144"/>
    <col min="4885" max="4885" width="15.7109375" style="144" customWidth="1"/>
    <col min="4886" max="4886" width="14.140625" style="144" customWidth="1"/>
    <col min="4887" max="4887" width="15.7109375" style="144" customWidth="1"/>
    <col min="4888" max="4888" width="11.28515625" style="144" bestFit="1" customWidth="1"/>
    <col min="4889" max="4889" width="13.140625" style="144" customWidth="1"/>
    <col min="4890" max="4890" width="12.140625" style="144" customWidth="1"/>
    <col min="4891" max="5123" width="8.85546875" style="144"/>
    <col min="5124" max="5124" width="2.42578125" style="144" customWidth="1"/>
    <col min="5125" max="5125" width="33.28515625" style="144" customWidth="1"/>
    <col min="5126" max="5126" width="46.7109375" style="144" customWidth="1"/>
    <col min="5127" max="5127" width="13.140625" style="144" customWidth="1"/>
    <col min="5128" max="5128" width="17" style="144" customWidth="1"/>
    <col min="5129" max="5129" width="18.28515625" style="144" customWidth="1"/>
    <col min="5130" max="5139" width="14.7109375" style="144" customWidth="1"/>
    <col min="5140" max="5140" width="8.85546875" style="144"/>
    <col min="5141" max="5141" width="15.7109375" style="144" customWidth="1"/>
    <col min="5142" max="5142" width="14.140625" style="144" customWidth="1"/>
    <col min="5143" max="5143" width="15.7109375" style="144" customWidth="1"/>
    <col min="5144" max="5144" width="11.28515625" style="144" bestFit="1" customWidth="1"/>
    <col min="5145" max="5145" width="13.140625" style="144" customWidth="1"/>
    <col min="5146" max="5146" width="12.140625" style="144" customWidth="1"/>
    <col min="5147" max="5379" width="8.85546875" style="144"/>
    <col min="5380" max="5380" width="2.42578125" style="144" customWidth="1"/>
    <col min="5381" max="5381" width="33.28515625" style="144" customWidth="1"/>
    <col min="5382" max="5382" width="46.7109375" style="144" customWidth="1"/>
    <col min="5383" max="5383" width="13.140625" style="144" customWidth="1"/>
    <col min="5384" max="5384" width="17" style="144" customWidth="1"/>
    <col min="5385" max="5385" width="18.28515625" style="144" customWidth="1"/>
    <col min="5386" max="5395" width="14.7109375" style="144" customWidth="1"/>
    <col min="5396" max="5396" width="8.85546875" style="144"/>
    <col min="5397" max="5397" width="15.7109375" style="144" customWidth="1"/>
    <col min="5398" max="5398" width="14.140625" style="144" customWidth="1"/>
    <col min="5399" max="5399" width="15.7109375" style="144" customWidth="1"/>
    <col min="5400" max="5400" width="11.28515625" style="144" bestFit="1" customWidth="1"/>
    <col min="5401" max="5401" width="13.140625" style="144" customWidth="1"/>
    <col min="5402" max="5402" width="12.140625" style="144" customWidth="1"/>
    <col min="5403" max="5635" width="8.85546875" style="144"/>
    <col min="5636" max="5636" width="2.42578125" style="144" customWidth="1"/>
    <col min="5637" max="5637" width="33.28515625" style="144" customWidth="1"/>
    <col min="5638" max="5638" width="46.7109375" style="144" customWidth="1"/>
    <col min="5639" max="5639" width="13.140625" style="144" customWidth="1"/>
    <col min="5640" max="5640" width="17" style="144" customWidth="1"/>
    <col min="5641" max="5641" width="18.28515625" style="144" customWidth="1"/>
    <col min="5642" max="5651" width="14.7109375" style="144" customWidth="1"/>
    <col min="5652" max="5652" width="8.85546875" style="144"/>
    <col min="5653" max="5653" width="15.7109375" style="144" customWidth="1"/>
    <col min="5654" max="5654" width="14.140625" style="144" customWidth="1"/>
    <col min="5655" max="5655" width="15.7109375" style="144" customWidth="1"/>
    <col min="5656" max="5656" width="11.28515625" style="144" bestFit="1" customWidth="1"/>
    <col min="5657" max="5657" width="13.140625" style="144" customWidth="1"/>
    <col min="5658" max="5658" width="12.140625" style="144" customWidth="1"/>
    <col min="5659" max="5891" width="8.85546875" style="144"/>
    <col min="5892" max="5892" width="2.42578125" style="144" customWidth="1"/>
    <col min="5893" max="5893" width="33.28515625" style="144" customWidth="1"/>
    <col min="5894" max="5894" width="46.7109375" style="144" customWidth="1"/>
    <col min="5895" max="5895" width="13.140625" style="144" customWidth="1"/>
    <col min="5896" max="5896" width="17" style="144" customWidth="1"/>
    <col min="5897" max="5897" width="18.28515625" style="144" customWidth="1"/>
    <col min="5898" max="5907" width="14.7109375" style="144" customWidth="1"/>
    <col min="5908" max="5908" width="8.85546875" style="144"/>
    <col min="5909" max="5909" width="15.7109375" style="144" customWidth="1"/>
    <col min="5910" max="5910" width="14.140625" style="144" customWidth="1"/>
    <col min="5911" max="5911" width="15.7109375" style="144" customWidth="1"/>
    <col min="5912" max="5912" width="11.28515625" style="144" bestFit="1" customWidth="1"/>
    <col min="5913" max="5913" width="13.140625" style="144" customWidth="1"/>
    <col min="5914" max="5914" width="12.140625" style="144" customWidth="1"/>
    <col min="5915" max="6147" width="8.85546875" style="144"/>
    <col min="6148" max="6148" width="2.42578125" style="144" customWidth="1"/>
    <col min="6149" max="6149" width="33.28515625" style="144" customWidth="1"/>
    <col min="6150" max="6150" width="46.7109375" style="144" customWidth="1"/>
    <col min="6151" max="6151" width="13.140625" style="144" customWidth="1"/>
    <col min="6152" max="6152" width="17" style="144" customWidth="1"/>
    <col min="6153" max="6153" width="18.28515625" style="144" customWidth="1"/>
    <col min="6154" max="6163" width="14.7109375" style="144" customWidth="1"/>
    <col min="6164" max="6164" width="8.85546875" style="144"/>
    <col min="6165" max="6165" width="15.7109375" style="144" customWidth="1"/>
    <col min="6166" max="6166" width="14.140625" style="144" customWidth="1"/>
    <col min="6167" max="6167" width="15.7109375" style="144" customWidth="1"/>
    <col min="6168" max="6168" width="11.28515625" style="144" bestFit="1" customWidth="1"/>
    <col min="6169" max="6169" width="13.140625" style="144" customWidth="1"/>
    <col min="6170" max="6170" width="12.140625" style="144" customWidth="1"/>
    <col min="6171" max="6403" width="8.85546875" style="144"/>
    <col min="6404" max="6404" width="2.42578125" style="144" customWidth="1"/>
    <col min="6405" max="6405" width="33.28515625" style="144" customWidth="1"/>
    <col min="6406" max="6406" width="46.7109375" style="144" customWidth="1"/>
    <col min="6407" max="6407" width="13.140625" style="144" customWidth="1"/>
    <col min="6408" max="6408" width="17" style="144" customWidth="1"/>
    <col min="6409" max="6409" width="18.28515625" style="144" customWidth="1"/>
    <col min="6410" max="6419" width="14.7109375" style="144" customWidth="1"/>
    <col min="6420" max="6420" width="8.85546875" style="144"/>
    <col min="6421" max="6421" width="15.7109375" style="144" customWidth="1"/>
    <col min="6422" max="6422" width="14.140625" style="144" customWidth="1"/>
    <col min="6423" max="6423" width="15.7109375" style="144" customWidth="1"/>
    <col min="6424" max="6424" width="11.28515625" style="144" bestFit="1" customWidth="1"/>
    <col min="6425" max="6425" width="13.140625" style="144" customWidth="1"/>
    <col min="6426" max="6426" width="12.140625" style="144" customWidth="1"/>
    <col min="6427" max="6659" width="8.85546875" style="144"/>
    <col min="6660" max="6660" width="2.42578125" style="144" customWidth="1"/>
    <col min="6661" max="6661" width="33.28515625" style="144" customWidth="1"/>
    <col min="6662" max="6662" width="46.7109375" style="144" customWidth="1"/>
    <col min="6663" max="6663" width="13.140625" style="144" customWidth="1"/>
    <col min="6664" max="6664" width="17" style="144" customWidth="1"/>
    <col min="6665" max="6665" width="18.28515625" style="144" customWidth="1"/>
    <col min="6666" max="6675" width="14.7109375" style="144" customWidth="1"/>
    <col min="6676" max="6676" width="8.85546875" style="144"/>
    <col min="6677" max="6677" width="15.7109375" style="144" customWidth="1"/>
    <col min="6678" max="6678" width="14.140625" style="144" customWidth="1"/>
    <col min="6679" max="6679" width="15.7109375" style="144" customWidth="1"/>
    <col min="6680" max="6680" width="11.28515625" style="144" bestFit="1" customWidth="1"/>
    <col min="6681" max="6681" width="13.140625" style="144" customWidth="1"/>
    <col min="6682" max="6682" width="12.140625" style="144" customWidth="1"/>
    <col min="6683" max="6915" width="8.85546875" style="144"/>
    <col min="6916" max="6916" width="2.42578125" style="144" customWidth="1"/>
    <col min="6917" max="6917" width="33.28515625" style="144" customWidth="1"/>
    <col min="6918" max="6918" width="46.7109375" style="144" customWidth="1"/>
    <col min="6919" max="6919" width="13.140625" style="144" customWidth="1"/>
    <col min="6920" max="6920" width="17" style="144" customWidth="1"/>
    <col min="6921" max="6921" width="18.28515625" style="144" customWidth="1"/>
    <col min="6922" max="6931" width="14.7109375" style="144" customWidth="1"/>
    <col min="6932" max="6932" width="8.85546875" style="144"/>
    <col min="6933" max="6933" width="15.7109375" style="144" customWidth="1"/>
    <col min="6934" max="6934" width="14.140625" style="144" customWidth="1"/>
    <col min="6935" max="6935" width="15.7109375" style="144" customWidth="1"/>
    <col min="6936" max="6936" width="11.28515625" style="144" bestFit="1" customWidth="1"/>
    <col min="6937" max="6937" width="13.140625" style="144" customWidth="1"/>
    <col min="6938" max="6938" width="12.140625" style="144" customWidth="1"/>
    <col min="6939" max="7171" width="8.85546875" style="144"/>
    <col min="7172" max="7172" width="2.42578125" style="144" customWidth="1"/>
    <col min="7173" max="7173" width="33.28515625" style="144" customWidth="1"/>
    <col min="7174" max="7174" width="46.7109375" style="144" customWidth="1"/>
    <col min="7175" max="7175" width="13.140625" style="144" customWidth="1"/>
    <col min="7176" max="7176" width="17" style="144" customWidth="1"/>
    <col min="7177" max="7177" width="18.28515625" style="144" customWidth="1"/>
    <col min="7178" max="7187" width="14.7109375" style="144" customWidth="1"/>
    <col min="7188" max="7188" width="8.85546875" style="144"/>
    <col min="7189" max="7189" width="15.7109375" style="144" customWidth="1"/>
    <col min="7190" max="7190" width="14.140625" style="144" customWidth="1"/>
    <col min="7191" max="7191" width="15.7109375" style="144" customWidth="1"/>
    <col min="7192" max="7192" width="11.28515625" style="144" bestFit="1" customWidth="1"/>
    <col min="7193" max="7193" width="13.140625" style="144" customWidth="1"/>
    <col min="7194" max="7194" width="12.140625" style="144" customWidth="1"/>
    <col min="7195" max="7427" width="8.85546875" style="144"/>
    <col min="7428" max="7428" width="2.42578125" style="144" customWidth="1"/>
    <col min="7429" max="7429" width="33.28515625" style="144" customWidth="1"/>
    <col min="7430" max="7430" width="46.7109375" style="144" customWidth="1"/>
    <col min="7431" max="7431" width="13.140625" style="144" customWidth="1"/>
    <col min="7432" max="7432" width="17" style="144" customWidth="1"/>
    <col min="7433" max="7433" width="18.28515625" style="144" customWidth="1"/>
    <col min="7434" max="7443" width="14.7109375" style="144" customWidth="1"/>
    <col min="7444" max="7444" width="8.85546875" style="144"/>
    <col min="7445" max="7445" width="15.7109375" style="144" customWidth="1"/>
    <col min="7446" max="7446" width="14.140625" style="144" customWidth="1"/>
    <col min="7447" max="7447" width="15.7109375" style="144" customWidth="1"/>
    <col min="7448" max="7448" width="11.28515625" style="144" bestFit="1" customWidth="1"/>
    <col min="7449" max="7449" width="13.140625" style="144" customWidth="1"/>
    <col min="7450" max="7450" width="12.140625" style="144" customWidth="1"/>
    <col min="7451" max="7683" width="8.85546875" style="144"/>
    <col min="7684" max="7684" width="2.42578125" style="144" customWidth="1"/>
    <col min="7685" max="7685" width="33.28515625" style="144" customWidth="1"/>
    <col min="7686" max="7686" width="46.7109375" style="144" customWidth="1"/>
    <col min="7687" max="7687" width="13.140625" style="144" customWidth="1"/>
    <col min="7688" max="7688" width="17" style="144" customWidth="1"/>
    <col min="7689" max="7689" width="18.28515625" style="144" customWidth="1"/>
    <col min="7690" max="7699" width="14.7109375" style="144" customWidth="1"/>
    <col min="7700" max="7700" width="8.85546875" style="144"/>
    <col min="7701" max="7701" width="15.7109375" style="144" customWidth="1"/>
    <col min="7702" max="7702" width="14.140625" style="144" customWidth="1"/>
    <col min="7703" max="7703" width="15.7109375" style="144" customWidth="1"/>
    <col min="7704" max="7704" width="11.28515625" style="144" bestFit="1" customWidth="1"/>
    <col min="7705" max="7705" width="13.140625" style="144" customWidth="1"/>
    <col min="7706" max="7706" width="12.140625" style="144" customWidth="1"/>
    <col min="7707" max="7939" width="8.85546875" style="144"/>
    <col min="7940" max="7940" width="2.42578125" style="144" customWidth="1"/>
    <col min="7941" max="7941" width="33.28515625" style="144" customWidth="1"/>
    <col min="7942" max="7942" width="46.7109375" style="144" customWidth="1"/>
    <col min="7943" max="7943" width="13.140625" style="144" customWidth="1"/>
    <col min="7944" max="7944" width="17" style="144" customWidth="1"/>
    <col min="7945" max="7945" width="18.28515625" style="144" customWidth="1"/>
    <col min="7946" max="7955" width="14.7109375" style="144" customWidth="1"/>
    <col min="7956" max="7956" width="8.85546875" style="144"/>
    <col min="7957" max="7957" width="15.7109375" style="144" customWidth="1"/>
    <col min="7958" max="7958" width="14.140625" style="144" customWidth="1"/>
    <col min="7959" max="7959" width="15.7109375" style="144" customWidth="1"/>
    <col min="7960" max="7960" width="11.28515625" style="144" bestFit="1" customWidth="1"/>
    <col min="7961" max="7961" width="13.140625" style="144" customWidth="1"/>
    <col min="7962" max="7962" width="12.140625" style="144" customWidth="1"/>
    <col min="7963" max="8195" width="8.85546875" style="144"/>
    <col min="8196" max="8196" width="2.42578125" style="144" customWidth="1"/>
    <col min="8197" max="8197" width="33.28515625" style="144" customWidth="1"/>
    <col min="8198" max="8198" width="46.7109375" style="144" customWidth="1"/>
    <col min="8199" max="8199" width="13.140625" style="144" customWidth="1"/>
    <col min="8200" max="8200" width="17" style="144" customWidth="1"/>
    <col min="8201" max="8201" width="18.28515625" style="144" customWidth="1"/>
    <col min="8202" max="8211" width="14.7109375" style="144" customWidth="1"/>
    <col min="8212" max="8212" width="8.85546875" style="144"/>
    <col min="8213" max="8213" width="15.7109375" style="144" customWidth="1"/>
    <col min="8214" max="8214" width="14.140625" style="144" customWidth="1"/>
    <col min="8215" max="8215" width="15.7109375" style="144" customWidth="1"/>
    <col min="8216" max="8216" width="11.28515625" style="144" bestFit="1" customWidth="1"/>
    <col min="8217" max="8217" width="13.140625" style="144" customWidth="1"/>
    <col min="8218" max="8218" width="12.140625" style="144" customWidth="1"/>
    <col min="8219" max="8451" width="8.85546875" style="144"/>
    <col min="8452" max="8452" width="2.42578125" style="144" customWidth="1"/>
    <col min="8453" max="8453" width="33.28515625" style="144" customWidth="1"/>
    <col min="8454" max="8454" width="46.7109375" style="144" customWidth="1"/>
    <col min="8455" max="8455" width="13.140625" style="144" customWidth="1"/>
    <col min="8456" max="8456" width="17" style="144" customWidth="1"/>
    <col min="8457" max="8457" width="18.28515625" style="144" customWidth="1"/>
    <col min="8458" max="8467" width="14.7109375" style="144" customWidth="1"/>
    <col min="8468" max="8468" width="8.85546875" style="144"/>
    <col min="8469" max="8469" width="15.7109375" style="144" customWidth="1"/>
    <col min="8470" max="8470" width="14.140625" style="144" customWidth="1"/>
    <col min="8471" max="8471" width="15.7109375" style="144" customWidth="1"/>
    <col min="8472" max="8472" width="11.28515625" style="144" bestFit="1" customWidth="1"/>
    <col min="8473" max="8473" width="13.140625" style="144" customWidth="1"/>
    <col min="8474" max="8474" width="12.140625" style="144" customWidth="1"/>
    <col min="8475" max="8707" width="8.85546875" style="144"/>
    <col min="8708" max="8708" width="2.42578125" style="144" customWidth="1"/>
    <col min="8709" max="8709" width="33.28515625" style="144" customWidth="1"/>
    <col min="8710" max="8710" width="46.7109375" style="144" customWidth="1"/>
    <col min="8711" max="8711" width="13.140625" style="144" customWidth="1"/>
    <col min="8712" max="8712" width="17" style="144" customWidth="1"/>
    <col min="8713" max="8713" width="18.28515625" style="144" customWidth="1"/>
    <col min="8714" max="8723" width="14.7109375" style="144" customWidth="1"/>
    <col min="8724" max="8724" width="8.85546875" style="144"/>
    <col min="8725" max="8725" width="15.7109375" style="144" customWidth="1"/>
    <col min="8726" max="8726" width="14.140625" style="144" customWidth="1"/>
    <col min="8727" max="8727" width="15.7109375" style="144" customWidth="1"/>
    <col min="8728" max="8728" width="11.28515625" style="144" bestFit="1" customWidth="1"/>
    <col min="8729" max="8729" width="13.140625" style="144" customWidth="1"/>
    <col min="8730" max="8730" width="12.140625" style="144" customWidth="1"/>
    <col min="8731" max="8963" width="8.85546875" style="144"/>
    <col min="8964" max="8964" width="2.42578125" style="144" customWidth="1"/>
    <col min="8965" max="8965" width="33.28515625" style="144" customWidth="1"/>
    <col min="8966" max="8966" width="46.7109375" style="144" customWidth="1"/>
    <col min="8967" max="8967" width="13.140625" style="144" customWidth="1"/>
    <col min="8968" max="8968" width="17" style="144" customWidth="1"/>
    <col min="8969" max="8969" width="18.28515625" style="144" customWidth="1"/>
    <col min="8970" max="8979" width="14.7109375" style="144" customWidth="1"/>
    <col min="8980" max="8980" width="8.85546875" style="144"/>
    <col min="8981" max="8981" width="15.7109375" style="144" customWidth="1"/>
    <col min="8982" max="8982" width="14.140625" style="144" customWidth="1"/>
    <col min="8983" max="8983" width="15.7109375" style="144" customWidth="1"/>
    <col min="8984" max="8984" width="11.28515625" style="144" bestFit="1" customWidth="1"/>
    <col min="8985" max="8985" width="13.140625" style="144" customWidth="1"/>
    <col min="8986" max="8986" width="12.140625" style="144" customWidth="1"/>
    <col min="8987" max="9219" width="8.85546875" style="144"/>
    <col min="9220" max="9220" width="2.42578125" style="144" customWidth="1"/>
    <col min="9221" max="9221" width="33.28515625" style="144" customWidth="1"/>
    <col min="9222" max="9222" width="46.7109375" style="144" customWidth="1"/>
    <col min="9223" max="9223" width="13.140625" style="144" customWidth="1"/>
    <col min="9224" max="9224" width="17" style="144" customWidth="1"/>
    <col min="9225" max="9225" width="18.28515625" style="144" customWidth="1"/>
    <col min="9226" max="9235" width="14.7109375" style="144" customWidth="1"/>
    <col min="9236" max="9236" width="8.85546875" style="144"/>
    <col min="9237" max="9237" width="15.7109375" style="144" customWidth="1"/>
    <col min="9238" max="9238" width="14.140625" style="144" customWidth="1"/>
    <col min="9239" max="9239" width="15.7109375" style="144" customWidth="1"/>
    <col min="9240" max="9240" width="11.28515625" style="144" bestFit="1" customWidth="1"/>
    <col min="9241" max="9241" width="13.140625" style="144" customWidth="1"/>
    <col min="9242" max="9242" width="12.140625" style="144" customWidth="1"/>
    <col min="9243" max="9475" width="8.85546875" style="144"/>
    <col min="9476" max="9476" width="2.42578125" style="144" customWidth="1"/>
    <col min="9477" max="9477" width="33.28515625" style="144" customWidth="1"/>
    <col min="9478" max="9478" width="46.7109375" style="144" customWidth="1"/>
    <col min="9479" max="9479" width="13.140625" style="144" customWidth="1"/>
    <col min="9480" max="9480" width="17" style="144" customWidth="1"/>
    <col min="9481" max="9481" width="18.28515625" style="144" customWidth="1"/>
    <col min="9482" max="9491" width="14.7109375" style="144" customWidth="1"/>
    <col min="9492" max="9492" width="8.85546875" style="144"/>
    <col min="9493" max="9493" width="15.7109375" style="144" customWidth="1"/>
    <col min="9494" max="9494" width="14.140625" style="144" customWidth="1"/>
    <col min="9495" max="9495" width="15.7109375" style="144" customWidth="1"/>
    <col min="9496" max="9496" width="11.28515625" style="144" bestFit="1" customWidth="1"/>
    <col min="9497" max="9497" width="13.140625" style="144" customWidth="1"/>
    <col min="9498" max="9498" width="12.140625" style="144" customWidth="1"/>
    <col min="9499" max="9731" width="8.85546875" style="144"/>
    <col min="9732" max="9732" width="2.42578125" style="144" customWidth="1"/>
    <col min="9733" max="9733" width="33.28515625" style="144" customWidth="1"/>
    <col min="9734" max="9734" width="46.7109375" style="144" customWidth="1"/>
    <col min="9735" max="9735" width="13.140625" style="144" customWidth="1"/>
    <col min="9736" max="9736" width="17" style="144" customWidth="1"/>
    <col min="9737" max="9737" width="18.28515625" style="144" customWidth="1"/>
    <col min="9738" max="9747" width="14.7109375" style="144" customWidth="1"/>
    <col min="9748" max="9748" width="8.85546875" style="144"/>
    <col min="9749" max="9749" width="15.7109375" style="144" customWidth="1"/>
    <col min="9750" max="9750" width="14.140625" style="144" customWidth="1"/>
    <col min="9751" max="9751" width="15.7109375" style="144" customWidth="1"/>
    <col min="9752" max="9752" width="11.28515625" style="144" bestFit="1" customWidth="1"/>
    <col min="9753" max="9753" width="13.140625" style="144" customWidth="1"/>
    <col min="9754" max="9754" width="12.140625" style="144" customWidth="1"/>
    <col min="9755" max="9987" width="8.85546875" style="144"/>
    <col min="9988" max="9988" width="2.42578125" style="144" customWidth="1"/>
    <col min="9989" max="9989" width="33.28515625" style="144" customWidth="1"/>
    <col min="9990" max="9990" width="46.7109375" style="144" customWidth="1"/>
    <col min="9991" max="9991" width="13.140625" style="144" customWidth="1"/>
    <col min="9992" max="9992" width="17" style="144" customWidth="1"/>
    <col min="9993" max="9993" width="18.28515625" style="144" customWidth="1"/>
    <col min="9994" max="10003" width="14.7109375" style="144" customWidth="1"/>
    <col min="10004" max="10004" width="8.85546875" style="144"/>
    <col min="10005" max="10005" width="15.7109375" style="144" customWidth="1"/>
    <col min="10006" max="10006" width="14.140625" style="144" customWidth="1"/>
    <col min="10007" max="10007" width="15.7109375" style="144" customWidth="1"/>
    <col min="10008" max="10008" width="11.28515625" style="144" bestFit="1" customWidth="1"/>
    <col min="10009" max="10009" width="13.140625" style="144" customWidth="1"/>
    <col min="10010" max="10010" width="12.140625" style="144" customWidth="1"/>
    <col min="10011" max="10243" width="8.85546875" style="144"/>
    <col min="10244" max="10244" width="2.42578125" style="144" customWidth="1"/>
    <col min="10245" max="10245" width="33.28515625" style="144" customWidth="1"/>
    <col min="10246" max="10246" width="46.7109375" style="144" customWidth="1"/>
    <col min="10247" max="10247" width="13.140625" style="144" customWidth="1"/>
    <col min="10248" max="10248" width="17" style="144" customWidth="1"/>
    <col min="10249" max="10249" width="18.28515625" style="144" customWidth="1"/>
    <col min="10250" max="10259" width="14.7109375" style="144" customWidth="1"/>
    <col min="10260" max="10260" width="8.85546875" style="144"/>
    <col min="10261" max="10261" width="15.7109375" style="144" customWidth="1"/>
    <col min="10262" max="10262" width="14.140625" style="144" customWidth="1"/>
    <col min="10263" max="10263" width="15.7109375" style="144" customWidth="1"/>
    <col min="10264" max="10264" width="11.28515625" style="144" bestFit="1" customWidth="1"/>
    <col min="10265" max="10265" width="13.140625" style="144" customWidth="1"/>
    <col min="10266" max="10266" width="12.140625" style="144" customWidth="1"/>
    <col min="10267" max="10499" width="8.85546875" style="144"/>
    <col min="10500" max="10500" width="2.42578125" style="144" customWidth="1"/>
    <col min="10501" max="10501" width="33.28515625" style="144" customWidth="1"/>
    <col min="10502" max="10502" width="46.7109375" style="144" customWidth="1"/>
    <col min="10503" max="10503" width="13.140625" style="144" customWidth="1"/>
    <col min="10504" max="10504" width="17" style="144" customWidth="1"/>
    <col min="10505" max="10505" width="18.28515625" style="144" customWidth="1"/>
    <col min="10506" max="10515" width="14.7109375" style="144" customWidth="1"/>
    <col min="10516" max="10516" width="8.85546875" style="144"/>
    <col min="10517" max="10517" width="15.7109375" style="144" customWidth="1"/>
    <col min="10518" max="10518" width="14.140625" style="144" customWidth="1"/>
    <col min="10519" max="10519" width="15.7109375" style="144" customWidth="1"/>
    <col min="10520" max="10520" width="11.28515625" style="144" bestFit="1" customWidth="1"/>
    <col min="10521" max="10521" width="13.140625" style="144" customWidth="1"/>
    <col min="10522" max="10522" width="12.140625" style="144" customWidth="1"/>
    <col min="10523" max="10755" width="8.85546875" style="144"/>
    <col min="10756" max="10756" width="2.42578125" style="144" customWidth="1"/>
    <col min="10757" max="10757" width="33.28515625" style="144" customWidth="1"/>
    <col min="10758" max="10758" width="46.7109375" style="144" customWidth="1"/>
    <col min="10759" max="10759" width="13.140625" style="144" customWidth="1"/>
    <col min="10760" max="10760" width="17" style="144" customWidth="1"/>
    <col min="10761" max="10761" width="18.28515625" style="144" customWidth="1"/>
    <col min="10762" max="10771" width="14.7109375" style="144" customWidth="1"/>
    <col min="10772" max="10772" width="8.85546875" style="144"/>
    <col min="10773" max="10773" width="15.7109375" style="144" customWidth="1"/>
    <col min="10774" max="10774" width="14.140625" style="144" customWidth="1"/>
    <col min="10775" max="10775" width="15.7109375" style="144" customWidth="1"/>
    <col min="10776" max="10776" width="11.28515625" style="144" bestFit="1" customWidth="1"/>
    <col min="10777" max="10777" width="13.140625" style="144" customWidth="1"/>
    <col min="10778" max="10778" width="12.140625" style="144" customWidth="1"/>
    <col min="10779" max="11011" width="8.85546875" style="144"/>
    <col min="11012" max="11012" width="2.42578125" style="144" customWidth="1"/>
    <col min="11013" max="11013" width="33.28515625" style="144" customWidth="1"/>
    <col min="11014" max="11014" width="46.7109375" style="144" customWidth="1"/>
    <col min="11015" max="11015" width="13.140625" style="144" customWidth="1"/>
    <col min="11016" max="11016" width="17" style="144" customWidth="1"/>
    <col min="11017" max="11017" width="18.28515625" style="144" customWidth="1"/>
    <col min="11018" max="11027" width="14.7109375" style="144" customWidth="1"/>
    <col min="11028" max="11028" width="8.85546875" style="144"/>
    <col min="11029" max="11029" width="15.7109375" style="144" customWidth="1"/>
    <col min="11030" max="11030" width="14.140625" style="144" customWidth="1"/>
    <col min="11031" max="11031" width="15.7109375" style="144" customWidth="1"/>
    <col min="11032" max="11032" width="11.28515625" style="144" bestFit="1" customWidth="1"/>
    <col min="11033" max="11033" width="13.140625" style="144" customWidth="1"/>
    <col min="11034" max="11034" width="12.140625" style="144" customWidth="1"/>
    <col min="11035" max="11267" width="8.85546875" style="144"/>
    <col min="11268" max="11268" width="2.42578125" style="144" customWidth="1"/>
    <col min="11269" max="11269" width="33.28515625" style="144" customWidth="1"/>
    <col min="11270" max="11270" width="46.7109375" style="144" customWidth="1"/>
    <col min="11271" max="11271" width="13.140625" style="144" customWidth="1"/>
    <col min="11272" max="11272" width="17" style="144" customWidth="1"/>
    <col min="11273" max="11273" width="18.28515625" style="144" customWidth="1"/>
    <col min="11274" max="11283" width="14.7109375" style="144" customWidth="1"/>
    <col min="11284" max="11284" width="8.85546875" style="144"/>
    <col min="11285" max="11285" width="15.7109375" style="144" customWidth="1"/>
    <col min="11286" max="11286" width="14.140625" style="144" customWidth="1"/>
    <col min="11287" max="11287" width="15.7109375" style="144" customWidth="1"/>
    <col min="11288" max="11288" width="11.28515625" style="144" bestFit="1" customWidth="1"/>
    <col min="11289" max="11289" width="13.140625" style="144" customWidth="1"/>
    <col min="11290" max="11290" width="12.140625" style="144" customWidth="1"/>
    <col min="11291" max="11523" width="8.85546875" style="144"/>
    <col min="11524" max="11524" width="2.42578125" style="144" customWidth="1"/>
    <col min="11525" max="11525" width="33.28515625" style="144" customWidth="1"/>
    <col min="11526" max="11526" width="46.7109375" style="144" customWidth="1"/>
    <col min="11527" max="11527" width="13.140625" style="144" customWidth="1"/>
    <col min="11528" max="11528" width="17" style="144" customWidth="1"/>
    <col min="11529" max="11529" width="18.28515625" style="144" customWidth="1"/>
    <col min="11530" max="11539" width="14.7109375" style="144" customWidth="1"/>
    <col min="11540" max="11540" width="8.85546875" style="144"/>
    <col min="11541" max="11541" width="15.7109375" style="144" customWidth="1"/>
    <col min="11542" max="11542" width="14.140625" style="144" customWidth="1"/>
    <col min="11543" max="11543" width="15.7109375" style="144" customWidth="1"/>
    <col min="11544" max="11544" width="11.28515625" style="144" bestFit="1" customWidth="1"/>
    <col min="11545" max="11545" width="13.140625" style="144" customWidth="1"/>
    <col min="11546" max="11546" width="12.140625" style="144" customWidth="1"/>
    <col min="11547" max="11779" width="8.85546875" style="144"/>
    <col min="11780" max="11780" width="2.42578125" style="144" customWidth="1"/>
    <col min="11781" max="11781" width="33.28515625" style="144" customWidth="1"/>
    <col min="11782" max="11782" width="46.7109375" style="144" customWidth="1"/>
    <col min="11783" max="11783" width="13.140625" style="144" customWidth="1"/>
    <col min="11784" max="11784" width="17" style="144" customWidth="1"/>
    <col min="11785" max="11785" width="18.28515625" style="144" customWidth="1"/>
    <col min="11786" max="11795" width="14.7109375" style="144" customWidth="1"/>
    <col min="11796" max="11796" width="8.85546875" style="144"/>
    <col min="11797" max="11797" width="15.7109375" style="144" customWidth="1"/>
    <col min="11798" max="11798" width="14.140625" style="144" customWidth="1"/>
    <col min="11799" max="11799" width="15.7109375" style="144" customWidth="1"/>
    <col min="11800" max="11800" width="11.28515625" style="144" bestFit="1" customWidth="1"/>
    <col min="11801" max="11801" width="13.140625" style="144" customWidth="1"/>
    <col min="11802" max="11802" width="12.140625" style="144" customWidth="1"/>
    <col min="11803" max="12035" width="8.85546875" style="144"/>
    <col min="12036" max="12036" width="2.42578125" style="144" customWidth="1"/>
    <col min="12037" max="12037" width="33.28515625" style="144" customWidth="1"/>
    <col min="12038" max="12038" width="46.7109375" style="144" customWidth="1"/>
    <col min="12039" max="12039" width="13.140625" style="144" customWidth="1"/>
    <col min="12040" max="12040" width="17" style="144" customWidth="1"/>
    <col min="12041" max="12041" width="18.28515625" style="144" customWidth="1"/>
    <col min="12042" max="12051" width="14.7109375" style="144" customWidth="1"/>
    <col min="12052" max="12052" width="8.85546875" style="144"/>
    <col min="12053" max="12053" width="15.7109375" style="144" customWidth="1"/>
    <col min="12054" max="12054" width="14.140625" style="144" customWidth="1"/>
    <col min="12055" max="12055" width="15.7109375" style="144" customWidth="1"/>
    <col min="12056" max="12056" width="11.28515625" style="144" bestFit="1" customWidth="1"/>
    <col min="12057" max="12057" width="13.140625" style="144" customWidth="1"/>
    <col min="12058" max="12058" width="12.140625" style="144" customWidth="1"/>
    <col min="12059" max="12291" width="8.85546875" style="144"/>
    <col min="12292" max="12292" width="2.42578125" style="144" customWidth="1"/>
    <col min="12293" max="12293" width="33.28515625" style="144" customWidth="1"/>
    <col min="12294" max="12294" width="46.7109375" style="144" customWidth="1"/>
    <col min="12295" max="12295" width="13.140625" style="144" customWidth="1"/>
    <col min="12296" max="12296" width="17" style="144" customWidth="1"/>
    <col min="12297" max="12297" width="18.28515625" style="144" customWidth="1"/>
    <col min="12298" max="12307" width="14.7109375" style="144" customWidth="1"/>
    <col min="12308" max="12308" width="8.85546875" style="144"/>
    <col min="12309" max="12309" width="15.7109375" style="144" customWidth="1"/>
    <col min="12310" max="12310" width="14.140625" style="144" customWidth="1"/>
    <col min="12311" max="12311" width="15.7109375" style="144" customWidth="1"/>
    <col min="12312" max="12312" width="11.28515625" style="144" bestFit="1" customWidth="1"/>
    <col min="12313" max="12313" width="13.140625" style="144" customWidth="1"/>
    <col min="12314" max="12314" width="12.140625" style="144" customWidth="1"/>
    <col min="12315" max="12547" width="8.85546875" style="144"/>
    <col min="12548" max="12548" width="2.42578125" style="144" customWidth="1"/>
    <col min="12549" max="12549" width="33.28515625" style="144" customWidth="1"/>
    <col min="12550" max="12550" width="46.7109375" style="144" customWidth="1"/>
    <col min="12551" max="12551" width="13.140625" style="144" customWidth="1"/>
    <col min="12552" max="12552" width="17" style="144" customWidth="1"/>
    <col min="12553" max="12553" width="18.28515625" style="144" customWidth="1"/>
    <col min="12554" max="12563" width="14.7109375" style="144" customWidth="1"/>
    <col min="12564" max="12564" width="8.85546875" style="144"/>
    <col min="12565" max="12565" width="15.7109375" style="144" customWidth="1"/>
    <col min="12566" max="12566" width="14.140625" style="144" customWidth="1"/>
    <col min="12567" max="12567" width="15.7109375" style="144" customWidth="1"/>
    <col min="12568" max="12568" width="11.28515625" style="144" bestFit="1" customWidth="1"/>
    <col min="12569" max="12569" width="13.140625" style="144" customWidth="1"/>
    <col min="12570" max="12570" width="12.140625" style="144" customWidth="1"/>
    <col min="12571" max="12803" width="8.85546875" style="144"/>
    <col min="12804" max="12804" width="2.42578125" style="144" customWidth="1"/>
    <col min="12805" max="12805" width="33.28515625" style="144" customWidth="1"/>
    <col min="12806" max="12806" width="46.7109375" style="144" customWidth="1"/>
    <col min="12807" max="12807" width="13.140625" style="144" customWidth="1"/>
    <col min="12808" max="12808" width="17" style="144" customWidth="1"/>
    <col min="12809" max="12809" width="18.28515625" style="144" customWidth="1"/>
    <col min="12810" max="12819" width="14.7109375" style="144" customWidth="1"/>
    <col min="12820" max="12820" width="8.85546875" style="144"/>
    <col min="12821" max="12821" width="15.7109375" style="144" customWidth="1"/>
    <col min="12822" max="12822" width="14.140625" style="144" customWidth="1"/>
    <col min="12823" max="12823" width="15.7109375" style="144" customWidth="1"/>
    <col min="12824" max="12824" width="11.28515625" style="144" bestFit="1" customWidth="1"/>
    <col min="12825" max="12825" width="13.140625" style="144" customWidth="1"/>
    <col min="12826" max="12826" width="12.140625" style="144" customWidth="1"/>
    <col min="12827" max="13059" width="8.85546875" style="144"/>
    <col min="13060" max="13060" width="2.42578125" style="144" customWidth="1"/>
    <col min="13061" max="13061" width="33.28515625" style="144" customWidth="1"/>
    <col min="13062" max="13062" width="46.7109375" style="144" customWidth="1"/>
    <col min="13063" max="13063" width="13.140625" style="144" customWidth="1"/>
    <col min="13064" max="13064" width="17" style="144" customWidth="1"/>
    <col min="13065" max="13065" width="18.28515625" style="144" customWidth="1"/>
    <col min="13066" max="13075" width="14.7109375" style="144" customWidth="1"/>
    <col min="13076" max="13076" width="8.85546875" style="144"/>
    <col min="13077" max="13077" width="15.7109375" style="144" customWidth="1"/>
    <col min="13078" max="13078" width="14.140625" style="144" customWidth="1"/>
    <col min="13079" max="13079" width="15.7109375" style="144" customWidth="1"/>
    <col min="13080" max="13080" width="11.28515625" style="144" bestFit="1" customWidth="1"/>
    <col min="13081" max="13081" width="13.140625" style="144" customWidth="1"/>
    <col min="13082" max="13082" width="12.140625" style="144" customWidth="1"/>
    <col min="13083" max="13315" width="8.85546875" style="144"/>
    <col min="13316" max="13316" width="2.42578125" style="144" customWidth="1"/>
    <col min="13317" max="13317" width="33.28515625" style="144" customWidth="1"/>
    <col min="13318" max="13318" width="46.7109375" style="144" customWidth="1"/>
    <col min="13319" max="13319" width="13.140625" style="144" customWidth="1"/>
    <col min="13320" max="13320" width="17" style="144" customWidth="1"/>
    <col min="13321" max="13321" width="18.28515625" style="144" customWidth="1"/>
    <col min="13322" max="13331" width="14.7109375" style="144" customWidth="1"/>
    <col min="13332" max="13332" width="8.85546875" style="144"/>
    <col min="13333" max="13333" width="15.7109375" style="144" customWidth="1"/>
    <col min="13334" max="13334" width="14.140625" style="144" customWidth="1"/>
    <col min="13335" max="13335" width="15.7109375" style="144" customWidth="1"/>
    <col min="13336" max="13336" width="11.28515625" style="144" bestFit="1" customWidth="1"/>
    <col min="13337" max="13337" width="13.140625" style="144" customWidth="1"/>
    <col min="13338" max="13338" width="12.140625" style="144" customWidth="1"/>
    <col min="13339" max="13571" width="8.85546875" style="144"/>
    <col min="13572" max="13572" width="2.42578125" style="144" customWidth="1"/>
    <col min="13573" max="13573" width="33.28515625" style="144" customWidth="1"/>
    <col min="13574" max="13574" width="46.7109375" style="144" customWidth="1"/>
    <col min="13575" max="13575" width="13.140625" style="144" customWidth="1"/>
    <col min="13576" max="13576" width="17" style="144" customWidth="1"/>
    <col min="13577" max="13577" width="18.28515625" style="144" customWidth="1"/>
    <col min="13578" max="13587" width="14.7109375" style="144" customWidth="1"/>
    <col min="13588" max="13588" width="8.85546875" style="144"/>
    <col min="13589" max="13589" width="15.7109375" style="144" customWidth="1"/>
    <col min="13590" max="13590" width="14.140625" style="144" customWidth="1"/>
    <col min="13591" max="13591" width="15.7109375" style="144" customWidth="1"/>
    <col min="13592" max="13592" width="11.28515625" style="144" bestFit="1" customWidth="1"/>
    <col min="13593" max="13593" width="13.140625" style="144" customWidth="1"/>
    <col min="13594" max="13594" width="12.140625" style="144" customWidth="1"/>
    <col min="13595" max="13827" width="8.85546875" style="144"/>
    <col min="13828" max="13828" width="2.42578125" style="144" customWidth="1"/>
    <col min="13829" max="13829" width="33.28515625" style="144" customWidth="1"/>
    <col min="13830" max="13830" width="46.7109375" style="144" customWidth="1"/>
    <col min="13831" max="13831" width="13.140625" style="144" customWidth="1"/>
    <col min="13832" max="13832" width="17" style="144" customWidth="1"/>
    <col min="13833" max="13833" width="18.28515625" style="144" customWidth="1"/>
    <col min="13834" max="13843" width="14.7109375" style="144" customWidth="1"/>
    <col min="13844" max="13844" width="8.85546875" style="144"/>
    <col min="13845" max="13845" width="15.7109375" style="144" customWidth="1"/>
    <col min="13846" max="13846" width="14.140625" style="144" customWidth="1"/>
    <col min="13847" max="13847" width="15.7109375" style="144" customWidth="1"/>
    <col min="13848" max="13848" width="11.28515625" style="144" bestFit="1" customWidth="1"/>
    <col min="13849" max="13849" width="13.140625" style="144" customWidth="1"/>
    <col min="13850" max="13850" width="12.140625" style="144" customWidth="1"/>
    <col min="13851" max="14083" width="8.85546875" style="144"/>
    <col min="14084" max="14084" width="2.42578125" style="144" customWidth="1"/>
    <col min="14085" max="14085" width="33.28515625" style="144" customWidth="1"/>
    <col min="14086" max="14086" width="46.7109375" style="144" customWidth="1"/>
    <col min="14087" max="14087" width="13.140625" style="144" customWidth="1"/>
    <col min="14088" max="14088" width="17" style="144" customWidth="1"/>
    <col min="14089" max="14089" width="18.28515625" style="144" customWidth="1"/>
    <col min="14090" max="14099" width="14.7109375" style="144" customWidth="1"/>
    <col min="14100" max="14100" width="8.85546875" style="144"/>
    <col min="14101" max="14101" width="15.7109375" style="144" customWidth="1"/>
    <col min="14102" max="14102" width="14.140625" style="144" customWidth="1"/>
    <col min="14103" max="14103" width="15.7109375" style="144" customWidth="1"/>
    <col min="14104" max="14104" width="11.28515625" style="144" bestFit="1" customWidth="1"/>
    <col min="14105" max="14105" width="13.140625" style="144" customWidth="1"/>
    <col min="14106" max="14106" width="12.140625" style="144" customWidth="1"/>
    <col min="14107" max="14339" width="8.85546875" style="144"/>
    <col min="14340" max="14340" width="2.42578125" style="144" customWidth="1"/>
    <col min="14341" max="14341" width="33.28515625" style="144" customWidth="1"/>
    <col min="14342" max="14342" width="46.7109375" style="144" customWidth="1"/>
    <col min="14343" max="14343" width="13.140625" style="144" customWidth="1"/>
    <col min="14344" max="14344" width="17" style="144" customWidth="1"/>
    <col min="14345" max="14345" width="18.28515625" style="144" customWidth="1"/>
    <col min="14346" max="14355" width="14.7109375" style="144" customWidth="1"/>
    <col min="14356" max="14356" width="8.85546875" style="144"/>
    <col min="14357" max="14357" width="15.7109375" style="144" customWidth="1"/>
    <col min="14358" max="14358" width="14.140625" style="144" customWidth="1"/>
    <col min="14359" max="14359" width="15.7109375" style="144" customWidth="1"/>
    <col min="14360" max="14360" width="11.28515625" style="144" bestFit="1" customWidth="1"/>
    <col min="14361" max="14361" width="13.140625" style="144" customWidth="1"/>
    <col min="14362" max="14362" width="12.140625" style="144" customWidth="1"/>
    <col min="14363" max="14595" width="8.85546875" style="144"/>
    <col min="14596" max="14596" width="2.42578125" style="144" customWidth="1"/>
    <col min="14597" max="14597" width="33.28515625" style="144" customWidth="1"/>
    <col min="14598" max="14598" width="46.7109375" style="144" customWidth="1"/>
    <col min="14599" max="14599" width="13.140625" style="144" customWidth="1"/>
    <col min="14600" max="14600" width="17" style="144" customWidth="1"/>
    <col min="14601" max="14601" width="18.28515625" style="144" customWidth="1"/>
    <col min="14602" max="14611" width="14.7109375" style="144" customWidth="1"/>
    <col min="14612" max="14612" width="8.85546875" style="144"/>
    <col min="14613" max="14613" width="15.7109375" style="144" customWidth="1"/>
    <col min="14614" max="14614" width="14.140625" style="144" customWidth="1"/>
    <col min="14615" max="14615" width="15.7109375" style="144" customWidth="1"/>
    <col min="14616" max="14616" width="11.28515625" style="144" bestFit="1" customWidth="1"/>
    <col min="14617" max="14617" width="13.140625" style="144" customWidth="1"/>
    <col min="14618" max="14618" width="12.140625" style="144" customWidth="1"/>
    <col min="14619" max="14851" width="8.85546875" style="144"/>
    <col min="14852" max="14852" width="2.42578125" style="144" customWidth="1"/>
    <col min="14853" max="14853" width="33.28515625" style="144" customWidth="1"/>
    <col min="14854" max="14854" width="46.7109375" style="144" customWidth="1"/>
    <col min="14855" max="14855" width="13.140625" style="144" customWidth="1"/>
    <col min="14856" max="14856" width="17" style="144" customWidth="1"/>
    <col min="14857" max="14857" width="18.28515625" style="144" customWidth="1"/>
    <col min="14858" max="14867" width="14.7109375" style="144" customWidth="1"/>
    <col min="14868" max="14868" width="8.85546875" style="144"/>
    <col min="14869" max="14869" width="15.7109375" style="144" customWidth="1"/>
    <col min="14870" max="14870" width="14.140625" style="144" customWidth="1"/>
    <col min="14871" max="14871" width="15.7109375" style="144" customWidth="1"/>
    <col min="14872" max="14872" width="11.28515625" style="144" bestFit="1" customWidth="1"/>
    <col min="14873" max="14873" width="13.140625" style="144" customWidth="1"/>
    <col min="14874" max="14874" width="12.140625" style="144" customWidth="1"/>
    <col min="14875" max="15107" width="8.85546875" style="144"/>
    <col min="15108" max="15108" width="2.42578125" style="144" customWidth="1"/>
    <col min="15109" max="15109" width="33.28515625" style="144" customWidth="1"/>
    <col min="15110" max="15110" width="46.7109375" style="144" customWidth="1"/>
    <col min="15111" max="15111" width="13.140625" style="144" customWidth="1"/>
    <col min="15112" max="15112" width="17" style="144" customWidth="1"/>
    <col min="15113" max="15113" width="18.28515625" style="144" customWidth="1"/>
    <col min="15114" max="15123" width="14.7109375" style="144" customWidth="1"/>
    <col min="15124" max="15124" width="8.85546875" style="144"/>
    <col min="15125" max="15125" width="15.7109375" style="144" customWidth="1"/>
    <col min="15126" max="15126" width="14.140625" style="144" customWidth="1"/>
    <col min="15127" max="15127" width="15.7109375" style="144" customWidth="1"/>
    <col min="15128" max="15128" width="11.28515625" style="144" bestFit="1" customWidth="1"/>
    <col min="15129" max="15129" width="13.140625" style="144" customWidth="1"/>
    <col min="15130" max="15130" width="12.140625" style="144" customWidth="1"/>
    <col min="15131" max="15363" width="8.85546875" style="144"/>
    <col min="15364" max="15364" width="2.42578125" style="144" customWidth="1"/>
    <col min="15365" max="15365" width="33.28515625" style="144" customWidth="1"/>
    <col min="15366" max="15366" width="46.7109375" style="144" customWidth="1"/>
    <col min="15367" max="15367" width="13.140625" style="144" customWidth="1"/>
    <col min="15368" max="15368" width="17" style="144" customWidth="1"/>
    <col min="15369" max="15369" width="18.28515625" style="144" customWidth="1"/>
    <col min="15370" max="15379" width="14.7109375" style="144" customWidth="1"/>
    <col min="15380" max="15380" width="8.85546875" style="144"/>
    <col min="15381" max="15381" width="15.7109375" style="144" customWidth="1"/>
    <col min="15382" max="15382" width="14.140625" style="144" customWidth="1"/>
    <col min="15383" max="15383" width="15.7109375" style="144" customWidth="1"/>
    <col min="15384" max="15384" width="11.28515625" style="144" bestFit="1" customWidth="1"/>
    <col min="15385" max="15385" width="13.140625" style="144" customWidth="1"/>
    <col min="15386" max="15386" width="12.140625" style="144" customWidth="1"/>
    <col min="15387" max="15619" width="8.85546875" style="144"/>
    <col min="15620" max="15620" width="2.42578125" style="144" customWidth="1"/>
    <col min="15621" max="15621" width="33.28515625" style="144" customWidth="1"/>
    <col min="15622" max="15622" width="46.7109375" style="144" customWidth="1"/>
    <col min="15623" max="15623" width="13.140625" style="144" customWidth="1"/>
    <col min="15624" max="15624" width="17" style="144" customWidth="1"/>
    <col min="15625" max="15625" width="18.28515625" style="144" customWidth="1"/>
    <col min="15626" max="15635" width="14.7109375" style="144" customWidth="1"/>
    <col min="15636" max="15636" width="8.85546875" style="144"/>
    <col min="15637" max="15637" width="15.7109375" style="144" customWidth="1"/>
    <col min="15638" max="15638" width="14.140625" style="144" customWidth="1"/>
    <col min="15639" max="15639" width="15.7109375" style="144" customWidth="1"/>
    <col min="15640" max="15640" width="11.28515625" style="144" bestFit="1" customWidth="1"/>
    <col min="15641" max="15641" width="13.140625" style="144" customWidth="1"/>
    <col min="15642" max="15642" width="12.140625" style="144" customWidth="1"/>
    <col min="15643" max="15875" width="8.85546875" style="144"/>
    <col min="15876" max="15876" width="2.42578125" style="144" customWidth="1"/>
    <col min="15877" max="15877" width="33.28515625" style="144" customWidth="1"/>
    <col min="15878" max="15878" width="46.7109375" style="144" customWidth="1"/>
    <col min="15879" max="15879" width="13.140625" style="144" customWidth="1"/>
    <col min="15880" max="15880" width="17" style="144" customWidth="1"/>
    <col min="15881" max="15881" width="18.28515625" style="144" customWidth="1"/>
    <col min="15882" max="15891" width="14.7109375" style="144" customWidth="1"/>
    <col min="15892" max="15892" width="8.85546875" style="144"/>
    <col min="15893" max="15893" width="15.7109375" style="144" customWidth="1"/>
    <col min="15894" max="15894" width="14.140625" style="144" customWidth="1"/>
    <col min="15895" max="15895" width="15.7109375" style="144" customWidth="1"/>
    <col min="15896" max="15896" width="11.28515625" style="144" bestFit="1" customWidth="1"/>
    <col min="15897" max="15897" width="13.140625" style="144" customWidth="1"/>
    <col min="15898" max="15898" width="12.140625" style="144" customWidth="1"/>
    <col min="15899" max="16131" width="8.85546875" style="144"/>
    <col min="16132" max="16132" width="2.42578125" style="144" customWidth="1"/>
    <col min="16133" max="16133" width="33.28515625" style="144" customWidth="1"/>
    <col min="16134" max="16134" width="46.7109375" style="144" customWidth="1"/>
    <col min="16135" max="16135" width="13.140625" style="144" customWidth="1"/>
    <col min="16136" max="16136" width="17" style="144" customWidth="1"/>
    <col min="16137" max="16137" width="18.28515625" style="144" customWidth="1"/>
    <col min="16138" max="16147" width="14.7109375" style="144" customWidth="1"/>
    <col min="16148" max="16148" width="8.85546875" style="144"/>
    <col min="16149" max="16149" width="15.7109375" style="144" customWidth="1"/>
    <col min="16150" max="16150" width="14.140625" style="144" customWidth="1"/>
    <col min="16151" max="16151" width="15.7109375" style="144" customWidth="1"/>
    <col min="16152" max="16152" width="11.28515625" style="144" bestFit="1" customWidth="1"/>
    <col min="16153" max="16153" width="13.140625" style="144" customWidth="1"/>
    <col min="16154" max="16154" width="12.140625" style="144" customWidth="1"/>
    <col min="16155" max="16384" width="8.85546875" style="144"/>
  </cols>
  <sheetData>
    <row r="1" spans="2:26" ht="16.149999999999999" hidden="1" customHeight="1"/>
    <row r="2" spans="2:26" ht="16.149999999999999" hidden="1" customHeight="1">
      <c r="B2" s="148"/>
      <c r="C2" s="148"/>
      <c r="D2" s="331"/>
      <c r="E2" s="148"/>
      <c r="F2" s="148"/>
      <c r="G2" s="148"/>
      <c r="H2" s="148"/>
      <c r="I2" s="148"/>
      <c r="J2" s="149"/>
      <c r="K2" s="1064" t="s">
        <v>366</v>
      </c>
      <c r="L2" s="1064"/>
      <c r="M2" s="1064"/>
      <c r="N2" s="1064"/>
      <c r="O2" s="1064"/>
      <c r="P2" s="1064"/>
      <c r="Q2" s="331"/>
      <c r="R2" s="331"/>
      <c r="S2" s="331"/>
    </row>
    <row r="3" spans="2:26" ht="16.149999999999999" hidden="1" customHeight="1">
      <c r="B3" s="331"/>
      <c r="C3" s="148"/>
      <c r="D3" s="331"/>
      <c r="E3" s="148"/>
      <c r="F3" s="148"/>
      <c r="G3" s="148"/>
      <c r="H3" s="148"/>
      <c r="I3" s="148"/>
      <c r="J3" s="149"/>
      <c r="K3" s="1065" t="s">
        <v>367</v>
      </c>
      <c r="L3" s="1065"/>
      <c r="M3" s="1065"/>
      <c r="N3" s="1065"/>
      <c r="O3" s="1065"/>
      <c r="P3" s="1065"/>
      <c r="Q3" s="332"/>
      <c r="R3" s="332"/>
      <c r="S3" s="332"/>
      <c r="T3" s="150"/>
      <c r="U3" s="331"/>
    </row>
    <row r="4" spans="2:26" ht="16.149999999999999" hidden="1" customHeight="1">
      <c r="B4" s="148"/>
      <c r="C4" s="148"/>
      <c r="D4" s="331"/>
      <c r="E4" s="148"/>
      <c r="F4" s="148"/>
      <c r="G4" s="148"/>
      <c r="H4" s="148"/>
      <c r="I4" s="148"/>
      <c r="J4" s="149"/>
      <c r="K4" s="149"/>
      <c r="L4" s="150"/>
      <c r="M4" s="150"/>
      <c r="N4" s="710"/>
      <c r="O4" s="710"/>
      <c r="P4" s="710"/>
      <c r="Q4" s="150"/>
      <c r="R4" s="150"/>
      <c r="S4" s="150"/>
      <c r="T4" s="150"/>
      <c r="U4" s="331"/>
    </row>
    <row r="5" spans="2:26" ht="16.149999999999999" hidden="1" customHeight="1">
      <c r="B5" s="151"/>
      <c r="C5" s="148"/>
      <c r="D5" s="331"/>
      <c r="E5" s="148"/>
      <c r="F5" s="148"/>
      <c r="G5" s="148"/>
      <c r="H5" s="148"/>
      <c r="I5" s="148"/>
      <c r="J5" s="149"/>
      <c r="K5" s="149"/>
      <c r="L5" s="148"/>
      <c r="M5" s="148"/>
      <c r="N5" s="711"/>
      <c r="O5" s="711"/>
      <c r="P5" s="711"/>
      <c r="Q5" s="148"/>
      <c r="R5" s="148"/>
      <c r="S5" s="148"/>
    </row>
    <row r="6" spans="2:26" ht="16.149999999999999" hidden="1" customHeight="1">
      <c r="B6" s="1063" t="s">
        <v>368</v>
      </c>
      <c r="C6" s="1063"/>
      <c r="D6" s="1063"/>
      <c r="E6" s="1063"/>
      <c r="F6" s="1063"/>
      <c r="G6" s="1063"/>
      <c r="H6" s="1063"/>
      <c r="I6" s="1063"/>
      <c r="J6" s="1063"/>
      <c r="K6" s="1063"/>
      <c r="L6" s="1063"/>
      <c r="M6" s="1063"/>
      <c r="N6" s="1063"/>
      <c r="O6" s="1063"/>
      <c r="P6" s="1063"/>
      <c r="Q6" s="330"/>
      <c r="R6" s="330"/>
      <c r="S6" s="330"/>
    </row>
    <row r="7" spans="2:26" ht="16.149999999999999" hidden="1" customHeight="1">
      <c r="B7" s="1063" t="s">
        <v>369</v>
      </c>
      <c r="C7" s="1063"/>
      <c r="D7" s="1063"/>
      <c r="E7" s="1063"/>
      <c r="F7" s="1063"/>
      <c r="G7" s="1063"/>
      <c r="H7" s="1063"/>
      <c r="I7" s="1063"/>
      <c r="J7" s="1063"/>
      <c r="K7" s="1063"/>
      <c r="L7" s="1063"/>
      <c r="M7" s="1063"/>
      <c r="N7" s="1063"/>
      <c r="O7" s="1063"/>
      <c r="P7" s="1063"/>
      <c r="Q7" s="330"/>
      <c r="R7" s="330"/>
      <c r="S7" s="330"/>
    </row>
    <row r="8" spans="2:26" ht="16.149999999999999" hidden="1" customHeight="1">
      <c r="B8" s="1063" t="s">
        <v>370</v>
      </c>
      <c r="C8" s="1063"/>
      <c r="D8" s="1063"/>
      <c r="E8" s="1063"/>
      <c r="F8" s="1063"/>
      <c r="G8" s="1063"/>
      <c r="H8" s="1063"/>
      <c r="I8" s="1063"/>
      <c r="J8" s="1063"/>
      <c r="K8" s="1063"/>
      <c r="L8" s="1063"/>
      <c r="M8" s="1063"/>
      <c r="N8" s="1063"/>
      <c r="O8" s="1063"/>
      <c r="P8" s="1063"/>
      <c r="Q8" s="330"/>
      <c r="R8" s="330"/>
      <c r="S8" s="330"/>
    </row>
    <row r="9" spans="2:26" ht="16.149999999999999" hidden="1" customHeight="1">
      <c r="B9" s="1063" t="s">
        <v>371</v>
      </c>
      <c r="C9" s="1063"/>
      <c r="D9" s="1063"/>
      <c r="E9" s="1063"/>
      <c r="F9" s="1063"/>
      <c r="G9" s="1063"/>
      <c r="H9" s="1063"/>
      <c r="I9" s="1063"/>
      <c r="J9" s="1063"/>
      <c r="K9" s="1063"/>
      <c r="L9" s="1063"/>
      <c r="M9" s="1063"/>
      <c r="N9" s="1063"/>
      <c r="O9" s="1063"/>
      <c r="P9" s="1063"/>
      <c r="Q9" s="330"/>
      <c r="R9" s="330"/>
      <c r="S9" s="330"/>
    </row>
    <row r="10" spans="2:26" ht="16.149999999999999" hidden="1" customHeight="1">
      <c r="B10" s="152"/>
      <c r="C10" s="148"/>
      <c r="D10" s="331"/>
      <c r="E10" s="148"/>
      <c r="F10" s="148"/>
      <c r="G10" s="148"/>
      <c r="H10" s="148"/>
      <c r="I10" s="148"/>
      <c r="J10" s="149"/>
      <c r="K10" s="149"/>
      <c r="L10" s="148"/>
      <c r="M10" s="148"/>
      <c r="N10" s="711"/>
      <c r="O10" s="711"/>
      <c r="P10" s="711"/>
      <c r="Q10" s="148"/>
      <c r="R10" s="148"/>
      <c r="S10" s="148"/>
    </row>
    <row r="11" spans="2:26" ht="37.9" customHeight="1">
      <c r="B11" s="1071" t="s">
        <v>363</v>
      </c>
      <c r="C11" s="1073" t="s">
        <v>372</v>
      </c>
      <c r="D11" s="1073" t="s">
        <v>373</v>
      </c>
      <c r="E11" s="1073" t="s">
        <v>374</v>
      </c>
      <c r="F11" s="1073" t="s">
        <v>695</v>
      </c>
      <c r="G11" s="1067" t="s">
        <v>30</v>
      </c>
      <c r="H11" s="1068"/>
      <c r="I11" s="1068"/>
      <c r="J11" s="1068"/>
      <c r="K11" s="1068"/>
      <c r="L11" s="1068"/>
      <c r="M11" s="1068"/>
      <c r="N11" s="1068"/>
      <c r="O11" s="1068"/>
      <c r="P11" s="1068"/>
      <c r="Q11" s="1068"/>
      <c r="R11" s="1068"/>
      <c r="S11" s="1069"/>
    </row>
    <row r="12" spans="2:26" ht="25.15" customHeight="1">
      <c r="B12" s="1072"/>
      <c r="C12" s="1073"/>
      <c r="D12" s="1073"/>
      <c r="E12" s="1073"/>
      <c r="F12" s="1073"/>
      <c r="G12" s="327" t="s">
        <v>375</v>
      </c>
      <c r="H12" s="325" t="s">
        <v>376</v>
      </c>
      <c r="I12" s="325" t="s">
        <v>377</v>
      </c>
      <c r="J12" s="325" t="s">
        <v>378</v>
      </c>
      <c r="K12" s="325" t="s">
        <v>379</v>
      </c>
      <c r="L12" s="325" t="s">
        <v>380</v>
      </c>
      <c r="M12" s="621" t="s">
        <v>381</v>
      </c>
      <c r="N12" s="712" t="s">
        <v>382</v>
      </c>
      <c r="O12" s="713" t="s">
        <v>383</v>
      </c>
      <c r="P12" s="713" t="s">
        <v>384</v>
      </c>
      <c r="Q12" s="327" t="s">
        <v>694</v>
      </c>
      <c r="R12" s="327" t="s">
        <v>693</v>
      </c>
      <c r="S12" s="327" t="s">
        <v>692</v>
      </c>
    </row>
    <row r="13" spans="2:26" ht="49.15" hidden="1" customHeight="1">
      <c r="B13" s="1074" t="s">
        <v>385</v>
      </c>
      <c r="C13" s="1075"/>
      <c r="D13" s="1075"/>
      <c r="E13" s="1075"/>
      <c r="F13" s="1075"/>
      <c r="G13" s="1075"/>
      <c r="H13" s="1075"/>
      <c r="I13" s="1075"/>
      <c r="J13" s="1075"/>
      <c r="K13" s="1075"/>
      <c r="L13" s="1075"/>
      <c r="M13" s="1075"/>
      <c r="N13" s="1075"/>
      <c r="O13" s="1075"/>
      <c r="P13" s="1076"/>
      <c r="Q13" s="158"/>
      <c r="R13" s="158"/>
      <c r="S13" s="158"/>
      <c r="T13" s="153">
        <f>J16+K19</f>
        <v>12778.3</v>
      </c>
      <c r="U13" s="154"/>
      <c r="V13" s="155"/>
      <c r="W13" s="272">
        <f>U17+U46</f>
        <v>443.13099999999997</v>
      </c>
      <c r="X13" s="273">
        <f>U16+U45</f>
        <v>-44.475999999998749</v>
      </c>
      <c r="Y13" s="156">
        <f>U19+U47</f>
        <v>13.8</v>
      </c>
      <c r="Z13" s="157">
        <f>U20+U51</f>
        <v>508.3</v>
      </c>
    </row>
    <row r="14" spans="2:26" ht="75" customHeight="1">
      <c r="B14" s="1077" t="s">
        <v>386</v>
      </c>
      <c r="C14" s="158" t="s">
        <v>357</v>
      </c>
      <c r="D14" s="327" t="s">
        <v>349</v>
      </c>
      <c r="E14" s="159">
        <f>G69</f>
        <v>78.952946163628653</v>
      </c>
      <c r="F14" s="159">
        <f>S14</f>
        <v>84.485486080676694</v>
      </c>
      <c r="G14" s="160">
        <f>G70</f>
        <v>79.193605266251325</v>
      </c>
      <c r="H14" s="161">
        <f>G71</f>
        <v>80.246990825831588</v>
      </c>
      <c r="I14" s="161">
        <v>80.569999999999993</v>
      </c>
      <c r="J14" s="162">
        <v>80.94</v>
      </c>
      <c r="K14" s="162">
        <v>81.25</v>
      </c>
      <c r="L14" s="162">
        <f>G75</f>
        <v>81.28151040568379</v>
      </c>
      <c r="M14" s="162">
        <f>G76</f>
        <v>81.294321345361823</v>
      </c>
      <c r="N14" s="714">
        <f>G77</f>
        <v>84.274411314425066</v>
      </c>
      <c r="O14" s="715">
        <f>G78</f>
        <v>84.37494600187685</v>
      </c>
      <c r="P14" s="716">
        <f>G79</f>
        <v>84.475129200488425</v>
      </c>
      <c r="Q14" s="159">
        <f>G80</f>
        <v>84.475129200488425</v>
      </c>
      <c r="R14" s="159">
        <f>G81</f>
        <v>84.485486080676694</v>
      </c>
      <c r="S14" s="159">
        <f>G82</f>
        <v>84.485486080676694</v>
      </c>
      <c r="U14" s="163">
        <f>P14-H14</f>
        <v>4.2281383746568366</v>
      </c>
      <c r="V14" s="357">
        <f>S14-H14</f>
        <v>4.2384952548451054</v>
      </c>
      <c r="W14" s="345" t="s">
        <v>691</v>
      </c>
      <c r="X14" s="155"/>
      <c r="Y14" s="155"/>
      <c r="Z14" s="155"/>
    </row>
    <row r="15" spans="2:26" ht="78" customHeight="1">
      <c r="B15" s="1078"/>
      <c r="C15" s="164" t="s">
        <v>356</v>
      </c>
      <c r="D15" s="325" t="s">
        <v>387</v>
      </c>
      <c r="E15" s="162">
        <f>H69</f>
        <v>56.439393939393945</v>
      </c>
      <c r="F15" s="159">
        <f>S15</f>
        <v>60.407710437710435</v>
      </c>
      <c r="G15" s="165">
        <f>H70</f>
        <v>56.708754208754208</v>
      </c>
      <c r="H15" s="166">
        <f>H71</f>
        <v>57.57744107744108</v>
      </c>
      <c r="I15" s="166">
        <v>57.88</v>
      </c>
      <c r="J15" s="159">
        <v>58.03</v>
      </c>
      <c r="K15" s="159">
        <v>58.11</v>
      </c>
      <c r="L15" s="159">
        <f>H75</f>
        <v>58.077951739618406</v>
      </c>
      <c r="M15" s="159">
        <f>H76</f>
        <v>58.073428731762078</v>
      </c>
      <c r="N15" s="716">
        <f>H77</f>
        <v>60.211863075196412</v>
      </c>
      <c r="O15" s="717">
        <f>H78</f>
        <v>60.28369248035915</v>
      </c>
      <c r="P15" s="714">
        <f>H79</f>
        <v>60.360011223344557</v>
      </c>
      <c r="Q15" s="162">
        <f>H80</f>
        <v>60.360011223344557</v>
      </c>
      <c r="R15" s="162">
        <f>H81</f>
        <v>60.407710437710435</v>
      </c>
      <c r="S15" s="162">
        <f>H82</f>
        <v>60.407710437710435</v>
      </c>
      <c r="U15" s="167">
        <f>P15-H15</f>
        <v>2.7825701459034775</v>
      </c>
      <c r="V15" s="356">
        <f>S15-H15</f>
        <v>2.8302693602693552</v>
      </c>
      <c r="W15" s="345" t="s">
        <v>690</v>
      </c>
      <c r="X15" s="155"/>
      <c r="Y15" s="155"/>
      <c r="Z15" s="155"/>
    </row>
    <row r="16" spans="2:26" ht="96.6" customHeight="1">
      <c r="B16" s="1078"/>
      <c r="C16" s="168" t="s">
        <v>354</v>
      </c>
      <c r="D16" s="169" t="s">
        <v>348</v>
      </c>
      <c r="E16" s="170">
        <v>12738.59</v>
      </c>
      <c r="F16" s="192">
        <f>S16</f>
        <v>12741.424000000001</v>
      </c>
      <c r="G16" s="170">
        <v>12760.5</v>
      </c>
      <c r="H16" s="170">
        <v>12785.9</v>
      </c>
      <c r="I16" s="170">
        <v>12801.5</v>
      </c>
      <c r="J16" s="170">
        <v>12777.4</v>
      </c>
      <c r="K16" s="170">
        <v>12741.8</v>
      </c>
      <c r="L16" s="170">
        <v>12732.897000000001</v>
      </c>
      <c r="M16" s="170">
        <f>12731.199+M19-1.3</f>
        <v>12729.899000000001</v>
      </c>
      <c r="N16" s="718">
        <f>12730.424+N19</f>
        <v>12731.924000000001</v>
      </c>
      <c r="O16" s="718">
        <f t="shared" ref="O16:S16" si="0">N16+O19</f>
        <v>12731.924000000001</v>
      </c>
      <c r="P16" s="718">
        <f t="shared" si="0"/>
        <v>12732.924000000001</v>
      </c>
      <c r="Q16" s="170">
        <f t="shared" si="0"/>
        <v>12732.924000000001</v>
      </c>
      <c r="R16" s="170">
        <f t="shared" si="0"/>
        <v>12741.424000000001</v>
      </c>
      <c r="S16" s="170">
        <f t="shared" si="0"/>
        <v>12741.424000000001</v>
      </c>
      <c r="T16" s="355">
        <f>S16-H16</f>
        <v>-44.475999999998749</v>
      </c>
      <c r="U16" s="194">
        <f>S16-H16</f>
        <v>-44.475999999998749</v>
      </c>
      <c r="V16" s="844">
        <f>U16+V45</f>
        <v>2123.1240000000034</v>
      </c>
      <c r="W16" s="347" t="s">
        <v>689</v>
      </c>
      <c r="X16" s="176" t="s">
        <v>688</v>
      </c>
      <c r="Y16" s="155"/>
      <c r="Z16" s="155"/>
    </row>
    <row r="17" spans="2:29" ht="102.75" customHeight="1">
      <c r="B17" s="1078"/>
      <c r="C17" s="171" t="s">
        <v>353</v>
      </c>
      <c r="D17" s="172" t="s">
        <v>348</v>
      </c>
      <c r="E17" s="173">
        <v>268.5</v>
      </c>
      <c r="F17" s="173">
        <f>SUM(G17:S17)</f>
        <v>685.93099999999993</v>
      </c>
      <c r="G17" s="174">
        <v>48</v>
      </c>
      <c r="H17" s="174">
        <v>38.299999999999997</v>
      </c>
      <c r="I17" s="173">
        <v>38.299999999999997</v>
      </c>
      <c r="J17" s="173">
        <v>42.5</v>
      </c>
      <c r="K17" s="173">
        <v>39.1</v>
      </c>
      <c r="L17" s="173">
        <v>18.100000000000001</v>
      </c>
      <c r="M17" s="173">
        <f>37.7-2.1</f>
        <v>35.6</v>
      </c>
      <c r="N17" s="719">
        <f>17.9+16.586</f>
        <v>34.485999999999997</v>
      </c>
      <c r="O17" s="720">
        <f>13.3+16+0.645</f>
        <v>29.945</v>
      </c>
      <c r="P17" s="720">
        <v>35</v>
      </c>
      <c r="Q17" s="189">
        <f>Q19+Q20+250.9</f>
        <v>273.5</v>
      </c>
      <c r="R17" s="189">
        <f>R19+R20</f>
        <v>33.1</v>
      </c>
      <c r="S17" s="189">
        <f>S19+S20</f>
        <v>20</v>
      </c>
      <c r="T17" s="175">
        <f>SUM(J17:P17)</f>
        <v>234.73099999999997</v>
      </c>
      <c r="U17" s="188">
        <f>SUM(G17:P17)</f>
        <v>359.33099999999996</v>
      </c>
      <c r="V17" s="354">
        <f>F17</f>
        <v>685.93099999999993</v>
      </c>
      <c r="W17" s="179">
        <f>U17+V47+V48</f>
        <v>465.63099999999997</v>
      </c>
      <c r="X17" s="155"/>
      <c r="Y17" s="155"/>
      <c r="Z17" s="155"/>
    </row>
    <row r="18" spans="2:29" ht="102.75" customHeight="1">
      <c r="B18" s="1078"/>
      <c r="C18" s="171" t="s">
        <v>687</v>
      </c>
      <c r="D18" s="172" t="s">
        <v>468</v>
      </c>
      <c r="E18" s="173"/>
      <c r="F18" s="173">
        <f>L18+M18+N18+O18+P18</f>
        <v>15</v>
      </c>
      <c r="G18" s="174"/>
      <c r="H18" s="174"/>
      <c r="I18" s="173"/>
      <c r="J18" s="173"/>
      <c r="K18" s="173"/>
      <c r="L18" s="173"/>
      <c r="M18" s="173">
        <v>0</v>
      </c>
      <c r="N18" s="720">
        <v>5</v>
      </c>
      <c r="O18" s="720">
        <v>5</v>
      </c>
      <c r="P18" s="720">
        <v>5</v>
      </c>
      <c r="Q18" s="173">
        <v>0</v>
      </c>
      <c r="R18" s="173">
        <v>0</v>
      </c>
      <c r="S18" s="173">
        <v>0</v>
      </c>
      <c r="T18" s="175"/>
      <c r="U18" s="843">
        <f>F19+F20+F46</f>
        <v>514.09999999999991</v>
      </c>
      <c r="V18" s="353" t="s">
        <v>686</v>
      </c>
      <c r="W18" s="179">
        <f>SUM(I19:S19)</f>
        <v>34.799999999999997</v>
      </c>
      <c r="X18" s="845">
        <f>W18+W47</f>
        <v>59.400000000000006</v>
      </c>
      <c r="Y18" s="155" t="s">
        <v>685</v>
      </c>
      <c r="Z18" s="155"/>
    </row>
    <row r="19" spans="2:29" ht="115.9" customHeight="1">
      <c r="B19" s="1078"/>
      <c r="C19" s="171" t="s">
        <v>684</v>
      </c>
      <c r="D19" s="169" t="s">
        <v>348</v>
      </c>
      <c r="E19" s="177">
        <v>64.599999999999994</v>
      </c>
      <c r="F19" s="177">
        <f>SUM(G19:S19)</f>
        <v>84.9</v>
      </c>
      <c r="G19" s="177">
        <v>30</v>
      </c>
      <c r="H19" s="177">
        <v>20.100000000000001</v>
      </c>
      <c r="I19" s="177">
        <v>15.6</v>
      </c>
      <c r="J19" s="177">
        <v>7.3</v>
      </c>
      <c r="K19" s="177">
        <v>0.9</v>
      </c>
      <c r="L19" s="177">
        <f>'[2]Подробный перечень'!$AF$13</f>
        <v>0</v>
      </c>
      <c r="M19" s="177">
        <v>0</v>
      </c>
      <c r="N19" s="721">
        <v>1.5</v>
      </c>
      <c r="O19" s="721">
        <v>0</v>
      </c>
      <c r="P19" s="721">
        <v>1</v>
      </c>
      <c r="Q19" s="177">
        <v>0</v>
      </c>
      <c r="R19" s="177">
        <v>8.5</v>
      </c>
      <c r="S19" s="177">
        <v>0</v>
      </c>
      <c r="U19" s="178"/>
      <c r="V19" s="352">
        <f>SUM(I19:S19)</f>
        <v>34.799999999999997</v>
      </c>
      <c r="W19" s="350" t="s">
        <v>683</v>
      </c>
      <c r="X19" s="351">
        <f>V19+W47</f>
        <v>59.400000000000006</v>
      </c>
      <c r="Y19" s="179">
        <f>I16*I40</f>
        <v>4710.9520000000002</v>
      </c>
      <c r="Z19" s="155"/>
      <c r="AC19" s="153">
        <f>U17+U46</f>
        <v>443.13099999999997</v>
      </c>
    </row>
    <row r="20" spans="2:29" ht="213.75" customHeight="1">
      <c r="B20" s="1078"/>
      <c r="C20" s="171" t="s">
        <v>682</v>
      </c>
      <c r="D20" s="169" t="s">
        <v>348</v>
      </c>
      <c r="E20" s="177">
        <v>203.9</v>
      </c>
      <c r="F20" s="177">
        <f>SUM(G20:S20)</f>
        <v>298.79999999999995</v>
      </c>
      <c r="G20" s="177">
        <v>18</v>
      </c>
      <c r="H20" s="177">
        <v>18.199999999999996</v>
      </c>
      <c r="I20" s="177">
        <v>10.9</v>
      </c>
      <c r="J20" s="177">
        <v>21.3</v>
      </c>
      <c r="K20" s="177">
        <v>37.5</v>
      </c>
      <c r="L20" s="177">
        <v>17.43</v>
      </c>
      <c r="M20" s="177">
        <f>13.7+12.67</f>
        <v>26.369999999999997</v>
      </c>
      <c r="N20" s="721">
        <f>12.5+11.2</f>
        <v>23.7</v>
      </c>
      <c r="O20" s="721">
        <f>12.8+13.3</f>
        <v>26.1</v>
      </c>
      <c r="P20" s="721">
        <f>14.1+18</f>
        <v>32.1</v>
      </c>
      <c r="Q20" s="177">
        <v>22.6</v>
      </c>
      <c r="R20" s="177">
        <v>24.6</v>
      </c>
      <c r="S20" s="177">
        <v>20</v>
      </c>
      <c r="U20" s="181">
        <f>SUM(I20:P20)</f>
        <v>195.39999999999998</v>
      </c>
      <c r="V20" s="349">
        <f>SUM(I20:S20)</f>
        <v>262.59999999999997</v>
      </c>
      <c r="W20" s="350" t="s">
        <v>681</v>
      </c>
      <c r="X20" s="176">
        <f>V19+V20</f>
        <v>297.39999999999998</v>
      </c>
      <c r="Y20" s="155"/>
      <c r="Z20" s="155"/>
    </row>
    <row r="21" spans="2:29" ht="213.75" customHeight="1">
      <c r="B21" s="1078"/>
      <c r="C21" s="171" t="s">
        <v>680</v>
      </c>
      <c r="D21" s="172" t="s">
        <v>348</v>
      </c>
      <c r="E21" s="173"/>
      <c r="F21" s="173"/>
      <c r="G21" s="173"/>
      <c r="H21" s="277">
        <v>18.123999999999999</v>
      </c>
      <c r="I21" s="277">
        <v>9.57</v>
      </c>
      <c r="J21" s="277">
        <v>5.5679999999999996</v>
      </c>
      <c r="K21" s="277">
        <v>27.959</v>
      </c>
      <c r="L21" s="277">
        <v>9.5939999999999994</v>
      </c>
      <c r="M21" s="277">
        <v>12.67</v>
      </c>
      <c r="N21" s="722">
        <v>12.486000000000001</v>
      </c>
      <c r="O21" s="722">
        <v>12.8</v>
      </c>
      <c r="P21" s="722">
        <v>12.6</v>
      </c>
      <c r="Q21" s="277">
        <v>0</v>
      </c>
      <c r="R21" s="277">
        <v>0</v>
      </c>
      <c r="S21" s="277">
        <v>0</v>
      </c>
      <c r="T21" s="153"/>
      <c r="U21" s="338">
        <f>SUM(I20:S20)</f>
        <v>262.59999999999997</v>
      </c>
      <c r="V21" s="846">
        <f>V20+V48</f>
        <v>339.59999999999997</v>
      </c>
      <c r="W21" s="340" t="s">
        <v>679</v>
      </c>
      <c r="X21" s="176">
        <f>SUM(G19:S19)</f>
        <v>84.9</v>
      </c>
      <c r="Y21" s="179">
        <f>SUM(G20:S20)</f>
        <v>298.79999999999995</v>
      </c>
      <c r="Z21" s="155"/>
    </row>
    <row r="22" spans="2:29" ht="177.75" customHeight="1">
      <c r="B22" s="1078"/>
      <c r="C22" s="171" t="s">
        <v>678</v>
      </c>
      <c r="D22" s="172" t="s">
        <v>349</v>
      </c>
      <c r="E22" s="173" t="s">
        <v>276</v>
      </c>
      <c r="F22" s="174">
        <f>Q22</f>
        <v>100</v>
      </c>
      <c r="G22" s="174"/>
      <c r="H22" s="174"/>
      <c r="I22" s="174"/>
      <c r="J22" s="174"/>
      <c r="K22" s="174"/>
      <c r="L22" s="174">
        <v>1</v>
      </c>
      <c r="M22" s="174">
        <v>8.59</v>
      </c>
      <c r="N22" s="723">
        <v>13.99</v>
      </c>
      <c r="O22" s="723">
        <v>44.16</v>
      </c>
      <c r="P22" s="724">
        <v>71.61</v>
      </c>
      <c r="Q22" s="348">
        <v>100</v>
      </c>
      <c r="R22" s="348" t="s">
        <v>276</v>
      </c>
      <c r="S22" s="348" t="s">
        <v>276</v>
      </c>
      <c r="U22" s="181"/>
      <c r="V22" s="179"/>
      <c r="W22" s="180" t="s">
        <v>677</v>
      </c>
      <c r="X22" s="347">
        <f>X21+Y21</f>
        <v>383.69999999999993</v>
      </c>
      <c r="Y22" s="155"/>
      <c r="Z22" s="155"/>
    </row>
    <row r="23" spans="2:29" ht="270" customHeight="1">
      <c r="B23" s="1078"/>
      <c r="C23" s="171" t="s">
        <v>676</v>
      </c>
      <c r="D23" s="172" t="s">
        <v>349</v>
      </c>
      <c r="E23" s="173"/>
      <c r="F23" s="174">
        <v>69.05</v>
      </c>
      <c r="G23" s="174"/>
      <c r="H23" s="174"/>
      <c r="I23" s="174"/>
      <c r="J23" s="174"/>
      <c r="K23" s="174"/>
      <c r="L23" s="174">
        <v>48.31</v>
      </c>
      <c r="M23" s="174">
        <v>66.62</v>
      </c>
      <c r="N23" s="723">
        <v>33.270000000000003</v>
      </c>
      <c r="O23" s="723">
        <v>73.56</v>
      </c>
      <c r="P23" s="725">
        <v>86.22</v>
      </c>
      <c r="Q23" s="191">
        <v>55.37</v>
      </c>
      <c r="R23" s="191"/>
      <c r="S23" s="191"/>
      <c r="U23" s="181"/>
      <c r="V23" s="179"/>
      <c r="W23" s="180"/>
      <c r="X23" s="176"/>
      <c r="Y23" s="155"/>
      <c r="Z23" s="155"/>
    </row>
    <row r="24" spans="2:29" ht="125.25" customHeight="1">
      <c r="B24" s="1078"/>
      <c r="C24" s="171" t="s">
        <v>675</v>
      </c>
      <c r="D24" s="172" t="s">
        <v>468</v>
      </c>
      <c r="E24" s="173"/>
      <c r="F24" s="174">
        <f>L24+M24+N24+O24+P24</f>
        <v>215</v>
      </c>
      <c r="G24" s="174"/>
      <c r="H24" s="174"/>
      <c r="I24" s="174"/>
      <c r="J24" s="174"/>
      <c r="K24" s="174"/>
      <c r="L24" s="174">
        <v>31</v>
      </c>
      <c r="M24" s="174">
        <v>146</v>
      </c>
      <c r="N24" s="723">
        <v>38</v>
      </c>
      <c r="O24" s="723">
        <v>0</v>
      </c>
      <c r="P24" s="723">
        <v>0</v>
      </c>
      <c r="Q24" s="174">
        <v>0</v>
      </c>
      <c r="R24" s="174">
        <v>0</v>
      </c>
      <c r="S24" s="174">
        <v>0</v>
      </c>
      <c r="U24" s="181"/>
      <c r="V24" s="179"/>
      <c r="W24" s="180"/>
      <c r="X24" s="176"/>
      <c r="Y24" s="155"/>
      <c r="Z24" s="155"/>
    </row>
    <row r="25" spans="2:29" ht="136.9" hidden="1" customHeight="1">
      <c r="B25" s="1078"/>
      <c r="C25" s="171" t="s">
        <v>674</v>
      </c>
      <c r="D25" s="172" t="s">
        <v>348</v>
      </c>
      <c r="E25" s="173" t="s">
        <v>276</v>
      </c>
      <c r="F25" s="173">
        <v>0</v>
      </c>
      <c r="G25" s="173" t="s">
        <v>276</v>
      </c>
      <c r="H25" s="173" t="s">
        <v>276</v>
      </c>
      <c r="I25" s="173" t="s">
        <v>276</v>
      </c>
      <c r="J25" s="173">
        <v>0</v>
      </c>
      <c r="K25" s="173">
        <v>0</v>
      </c>
      <c r="L25" s="173">
        <v>0</v>
      </c>
      <c r="M25" s="173">
        <v>0</v>
      </c>
      <c r="N25" s="720">
        <v>0</v>
      </c>
      <c r="O25" s="720">
        <v>0</v>
      </c>
      <c r="P25" s="720">
        <v>0</v>
      </c>
      <c r="Q25" s="189">
        <f>34273932.5/136626.3</f>
        <v>250.85896712419208</v>
      </c>
      <c r="R25" s="189">
        <v>0</v>
      </c>
      <c r="S25" s="189">
        <v>0</v>
      </c>
      <c r="U25" s="181"/>
      <c r="V25" s="179"/>
      <c r="W25" s="180"/>
      <c r="X25" s="176"/>
      <c r="Y25" s="155"/>
      <c r="Z25" s="155"/>
    </row>
    <row r="26" spans="2:29" ht="174.75" customHeight="1">
      <c r="B26" s="1078"/>
      <c r="C26" s="171" t="s">
        <v>673</v>
      </c>
      <c r="D26" s="172" t="s">
        <v>349</v>
      </c>
      <c r="E26" s="173">
        <v>64</v>
      </c>
      <c r="F26" s="173">
        <f t="shared" ref="F26:F34" si="1">S26</f>
        <v>53.9</v>
      </c>
      <c r="G26" s="173">
        <f>100-36</f>
        <v>64</v>
      </c>
      <c r="H26" s="173">
        <f>100-36</f>
        <v>64</v>
      </c>
      <c r="I26" s="173">
        <v>63.2</v>
      </c>
      <c r="J26" s="173">
        <v>62.3</v>
      </c>
      <c r="K26" s="173">
        <f>100-36.7</f>
        <v>63.3</v>
      </c>
      <c r="L26" s="173">
        <f>100-36.8</f>
        <v>63.2</v>
      </c>
      <c r="M26" s="173">
        <f>100-M41</f>
        <v>62.3</v>
      </c>
      <c r="N26" s="720">
        <f t="shared" ref="N26:S26" si="2">100-N41</f>
        <v>60.2</v>
      </c>
      <c r="O26" s="720">
        <f t="shared" si="2"/>
        <v>59.026678483485696</v>
      </c>
      <c r="P26" s="720">
        <f t="shared" si="2"/>
        <v>57.681362112897247</v>
      </c>
      <c r="Q26" s="173">
        <f t="shared" si="2"/>
        <v>55.784704283163869</v>
      </c>
      <c r="R26" s="173">
        <f t="shared" si="2"/>
        <v>53.991013877255796</v>
      </c>
      <c r="S26" s="173">
        <f t="shared" si="2"/>
        <v>53.9</v>
      </c>
      <c r="U26" s="181"/>
      <c r="V26" s="179"/>
      <c r="W26" s="180"/>
      <c r="X26" s="176"/>
      <c r="Y26" s="155"/>
      <c r="Z26" s="155"/>
    </row>
    <row r="27" spans="2:29" s="510" customFormat="1" ht="136.9" hidden="1" customHeight="1">
      <c r="B27" s="1078"/>
      <c r="C27" s="507" t="s">
        <v>672</v>
      </c>
      <c r="D27" s="508" t="s">
        <v>348</v>
      </c>
      <c r="E27" s="509">
        <v>6658</v>
      </c>
      <c r="F27" s="509">
        <f t="shared" si="1"/>
        <v>6784.6279999999997</v>
      </c>
      <c r="G27" s="509">
        <v>6714.1</v>
      </c>
      <c r="H27" s="509">
        <v>6752.4999999999991</v>
      </c>
      <c r="I27" s="509">
        <v>6779.4</v>
      </c>
      <c r="J27" s="509">
        <v>6780.2</v>
      </c>
      <c r="K27" s="509">
        <v>6771</v>
      </c>
      <c r="L27" s="509">
        <f>6773.685+2</f>
        <v>6775.6850000000004</v>
      </c>
      <c r="M27" s="173">
        <f>6770.628+2</f>
        <v>6772.6279999999997</v>
      </c>
      <c r="N27" s="720">
        <f t="shared" ref="N27:S27" si="3">M27+2</f>
        <v>6774.6279999999997</v>
      </c>
      <c r="O27" s="720">
        <f t="shared" si="3"/>
        <v>6776.6279999999997</v>
      </c>
      <c r="P27" s="720">
        <f t="shared" si="3"/>
        <v>6778.6279999999997</v>
      </c>
      <c r="Q27" s="509">
        <f t="shared" si="3"/>
        <v>6780.6279999999997</v>
      </c>
      <c r="R27" s="509">
        <f t="shared" si="3"/>
        <v>6782.6279999999997</v>
      </c>
      <c r="S27" s="509">
        <f t="shared" si="3"/>
        <v>6784.6279999999997</v>
      </c>
      <c r="U27" s="511"/>
      <c r="V27" s="512"/>
      <c r="W27" s="513"/>
      <c r="X27" s="514"/>
      <c r="Y27" s="515"/>
      <c r="Z27" s="515"/>
    </row>
    <row r="28" spans="2:29" ht="136.9" customHeight="1">
      <c r="B28" s="1078"/>
      <c r="C28" s="171" t="s">
        <v>811</v>
      </c>
      <c r="D28" s="172" t="s">
        <v>348</v>
      </c>
      <c r="E28" s="173">
        <v>2622.7000000000007</v>
      </c>
      <c r="F28" s="173">
        <f t="shared" ref="F28" si="4">S28</f>
        <v>1929.37</v>
      </c>
      <c r="G28" s="173">
        <v>2538.5</v>
      </c>
      <c r="H28" s="173">
        <v>2497.7000000000007</v>
      </c>
      <c r="I28" s="173">
        <v>2457.1000000000004</v>
      </c>
      <c r="J28" s="173">
        <v>2426.5</v>
      </c>
      <c r="K28" s="173">
        <v>2416</v>
      </c>
      <c r="L28" s="173">
        <f>2400.836-10</f>
        <v>2390.8359999999998</v>
      </c>
      <c r="M28" s="173">
        <f>2392.284-M21+1.564</f>
        <v>2381.1779999999999</v>
      </c>
      <c r="N28" s="720">
        <f>2014.656-N21</f>
        <v>2002.1699999999998</v>
      </c>
      <c r="O28" s="720">
        <f>N28-O21</f>
        <v>1989.37</v>
      </c>
      <c r="P28" s="720">
        <f>O28-15</f>
        <v>1974.37</v>
      </c>
      <c r="Q28" s="173">
        <f>P28-15</f>
        <v>1959.37</v>
      </c>
      <c r="R28" s="173">
        <f>Q28-15</f>
        <v>1944.37</v>
      </c>
      <c r="S28" s="173">
        <f>R28-15</f>
        <v>1929.37</v>
      </c>
      <c r="U28" s="181"/>
      <c r="V28" s="179"/>
      <c r="W28" s="180"/>
      <c r="X28" s="176"/>
      <c r="Y28" s="155"/>
      <c r="Z28" s="155"/>
    </row>
    <row r="29" spans="2:29" ht="136.9" customHeight="1">
      <c r="B29" s="1078"/>
      <c r="C29" s="171" t="s">
        <v>809</v>
      </c>
      <c r="D29" s="172" t="s">
        <v>349</v>
      </c>
      <c r="E29" s="173"/>
      <c r="F29" s="174">
        <v>100</v>
      </c>
      <c r="G29" s="173"/>
      <c r="H29" s="173"/>
      <c r="I29" s="173"/>
      <c r="J29" s="173"/>
      <c r="K29" s="173"/>
      <c r="L29" s="173"/>
      <c r="M29" s="531">
        <v>11.446441521946042</v>
      </c>
      <c r="N29" s="726">
        <v>36.4</v>
      </c>
      <c r="O29" s="726">
        <v>70</v>
      </c>
      <c r="P29" s="726">
        <v>100</v>
      </c>
      <c r="Q29" s="173"/>
      <c r="R29" s="173"/>
      <c r="S29" s="173"/>
      <c r="U29" s="181"/>
      <c r="V29" s="179"/>
      <c r="W29" s="180"/>
      <c r="X29" s="176"/>
      <c r="Y29" s="155"/>
      <c r="Z29" s="155"/>
    </row>
    <row r="30" spans="2:29" ht="135.6" customHeight="1">
      <c r="B30" s="1078"/>
      <c r="C30" s="171" t="s">
        <v>810</v>
      </c>
      <c r="D30" s="169" t="s">
        <v>349</v>
      </c>
      <c r="E30" s="173"/>
      <c r="F30" s="174">
        <v>100</v>
      </c>
      <c r="G30" s="173"/>
      <c r="H30" s="173"/>
      <c r="I30" s="173"/>
      <c r="J30" s="173"/>
      <c r="K30" s="173"/>
      <c r="L30" s="173"/>
      <c r="M30" s="531">
        <v>57.788567617267041</v>
      </c>
      <c r="N30" s="726">
        <v>57</v>
      </c>
      <c r="O30" s="726">
        <v>100</v>
      </c>
      <c r="P30" s="726"/>
      <c r="Q30" s="173"/>
      <c r="R30" s="173"/>
      <c r="S30" s="173"/>
      <c r="U30" s="181"/>
      <c r="V30" s="179"/>
      <c r="W30" s="180"/>
      <c r="X30" s="176"/>
      <c r="Y30" s="155"/>
      <c r="Z30" s="155"/>
    </row>
    <row r="31" spans="2:29" ht="72" customHeight="1">
      <c r="B31" s="1079"/>
      <c r="C31" s="171" t="s">
        <v>1151</v>
      </c>
      <c r="D31" s="169" t="s">
        <v>349</v>
      </c>
      <c r="E31" s="173"/>
      <c r="F31" s="174">
        <v>100</v>
      </c>
      <c r="G31" s="173"/>
      <c r="H31" s="173"/>
      <c r="I31" s="173"/>
      <c r="J31" s="173"/>
      <c r="K31" s="173"/>
      <c r="L31" s="173"/>
      <c r="M31" s="531"/>
      <c r="N31" s="726">
        <v>1</v>
      </c>
      <c r="O31" s="726">
        <v>5</v>
      </c>
      <c r="P31" s="726">
        <v>10</v>
      </c>
      <c r="Q31" s="173">
        <v>70</v>
      </c>
      <c r="R31" s="173">
        <v>100</v>
      </c>
      <c r="S31" s="173"/>
      <c r="U31" s="181"/>
      <c r="V31" s="179"/>
      <c r="W31" s="180"/>
      <c r="X31" s="176"/>
      <c r="Y31" s="155"/>
      <c r="Z31" s="155"/>
    </row>
    <row r="32" spans="2:29" ht="184.5" customHeight="1">
      <c r="B32" s="1077" t="s">
        <v>326</v>
      </c>
      <c r="C32" s="164" t="s">
        <v>812</v>
      </c>
      <c r="D32" s="169" t="s">
        <v>348</v>
      </c>
      <c r="E32" s="177">
        <f>E33+E34</f>
        <v>8436.4</v>
      </c>
      <c r="F32" s="173">
        <f t="shared" si="1"/>
        <v>15229.391999999996</v>
      </c>
      <c r="G32" s="177">
        <f t="shared" ref="G32:S32" si="5">G33+G34</f>
        <v>8962</v>
      </c>
      <c r="H32" s="177">
        <f t="shared" si="5"/>
        <v>9123.2000000000007</v>
      </c>
      <c r="I32" s="177">
        <f t="shared" si="5"/>
        <v>9325.9000000000015</v>
      </c>
      <c r="J32" s="275">
        <f t="shared" si="5"/>
        <v>10250</v>
      </c>
      <c r="K32" s="275">
        <f t="shared" si="5"/>
        <v>17537.699999999997</v>
      </c>
      <c r="L32" s="275">
        <f t="shared" si="5"/>
        <v>17301.827600000001</v>
      </c>
      <c r="M32" s="275">
        <f t="shared" si="5"/>
        <v>16174.555923</v>
      </c>
      <c r="N32" s="727">
        <f t="shared" si="5"/>
        <v>14330.085751999999</v>
      </c>
      <c r="O32" s="727">
        <f t="shared" si="5"/>
        <v>14497.97615575825</v>
      </c>
      <c r="P32" s="727">
        <f t="shared" si="5"/>
        <v>14688.787999999999</v>
      </c>
      <c r="Q32" s="275">
        <f t="shared" si="5"/>
        <v>14949.355999999998</v>
      </c>
      <c r="R32" s="275">
        <f t="shared" si="5"/>
        <v>15200.723999999998</v>
      </c>
      <c r="S32" s="275">
        <f t="shared" si="5"/>
        <v>15229.391999999996</v>
      </c>
      <c r="U32" s="188"/>
      <c r="V32" s="847">
        <f>S32-H32</f>
        <v>6106.1919999999955</v>
      </c>
      <c r="W32" s="345" t="s">
        <v>671</v>
      </c>
      <c r="X32" s="182"/>
    </row>
    <row r="33" spans="2:25" ht="68.25" customHeight="1">
      <c r="B33" s="1078"/>
      <c r="C33" s="183" t="s">
        <v>351</v>
      </c>
      <c r="D33" s="184" t="s">
        <v>348</v>
      </c>
      <c r="E33" s="173">
        <v>4585.8</v>
      </c>
      <c r="F33" s="173">
        <f t="shared" si="1"/>
        <v>5871.8</v>
      </c>
      <c r="G33" s="173">
        <v>4593.7</v>
      </c>
      <c r="H33" s="173">
        <v>4602.8999999999996</v>
      </c>
      <c r="I33" s="173">
        <v>4635.6000000000004</v>
      </c>
      <c r="J33" s="173">
        <v>4726.6000000000004</v>
      </c>
      <c r="K33" s="173">
        <f>4676.5+2.4</f>
        <v>4678.8999999999996</v>
      </c>
      <c r="L33" s="173">
        <f>4673.9+(L36+L20)*12/100</f>
        <v>4683.8275999999996</v>
      </c>
      <c r="M33" s="173">
        <f>M16*M41/100</f>
        <v>4799.1719230000008</v>
      </c>
      <c r="N33" s="720">
        <f>N16*N41/100</f>
        <v>5067.3057520000002</v>
      </c>
      <c r="O33" s="720">
        <f>O16*O41/100</f>
        <v>5216.6921557582491</v>
      </c>
      <c r="P33" s="720">
        <v>5388.4</v>
      </c>
      <c r="Q33" s="173">
        <v>5629.9</v>
      </c>
      <c r="R33" s="173">
        <v>5862.2</v>
      </c>
      <c r="S33" s="173">
        <v>5871.8</v>
      </c>
      <c r="U33" s="188">
        <f>S33-H33</f>
        <v>1268.9000000000005</v>
      </c>
      <c r="V33" s="338">
        <f>S33-H33</f>
        <v>1268.9000000000005</v>
      </c>
      <c r="W33" s="345" t="s">
        <v>670</v>
      </c>
    </row>
    <row r="34" spans="2:25" ht="49.5" customHeight="1">
      <c r="B34" s="1078"/>
      <c r="C34" s="185" t="s">
        <v>350</v>
      </c>
      <c r="D34" s="186" t="s">
        <v>348</v>
      </c>
      <c r="E34" s="187">
        <v>3850.6</v>
      </c>
      <c r="F34" s="173">
        <f t="shared" si="1"/>
        <v>9357.5919999999969</v>
      </c>
      <c r="G34" s="187">
        <v>4368.3</v>
      </c>
      <c r="H34" s="187">
        <f>G34+H37</f>
        <v>4520.3</v>
      </c>
      <c r="I34" s="187">
        <v>4690.3</v>
      </c>
      <c r="J34" s="187">
        <v>5523.4</v>
      </c>
      <c r="K34" s="187">
        <v>12858.8</v>
      </c>
      <c r="L34" s="187">
        <f>12593.1+(L37+L48)*12/100</f>
        <v>12618</v>
      </c>
      <c r="M34" s="187">
        <f>11333.9+(M37+M48)*12/100</f>
        <v>11375.384</v>
      </c>
      <c r="N34" s="728">
        <f>9232.3+(N37+N48)*12/100</f>
        <v>9262.7799999999988</v>
      </c>
      <c r="O34" s="728">
        <f t="shared" ref="O34:S34" si="6">N34+(O37+O48)*12/100</f>
        <v>9281.2839999999997</v>
      </c>
      <c r="P34" s="728">
        <f t="shared" si="6"/>
        <v>9300.387999999999</v>
      </c>
      <c r="Q34" s="187">
        <f t="shared" si="6"/>
        <v>9319.4559999999983</v>
      </c>
      <c r="R34" s="187">
        <f t="shared" si="6"/>
        <v>9338.5239999999976</v>
      </c>
      <c r="S34" s="187">
        <f t="shared" si="6"/>
        <v>9357.5919999999969</v>
      </c>
      <c r="U34" s="188">
        <f>P34-H34</f>
        <v>4780.0879999999988</v>
      </c>
      <c r="V34" s="338">
        <f>S34-H34</f>
        <v>4837.2919999999967</v>
      </c>
      <c r="W34" s="155"/>
    </row>
    <row r="35" spans="2:25" s="146" customFormat="1" ht="187.5">
      <c r="B35" s="1078"/>
      <c r="C35" s="158" t="s">
        <v>813</v>
      </c>
      <c r="D35" s="327" t="s">
        <v>348</v>
      </c>
      <c r="E35" s="189">
        <f>E36+E37</f>
        <v>2115.62</v>
      </c>
      <c r="F35" s="189">
        <f>SUM(G35:S35)</f>
        <v>4837.46</v>
      </c>
      <c r="G35" s="189">
        <f t="shared" ref="G35:S35" si="7">G36+G37</f>
        <v>758.10000000000025</v>
      </c>
      <c r="H35" s="189">
        <f t="shared" si="7"/>
        <v>204.06</v>
      </c>
      <c r="I35" s="189">
        <f t="shared" si="7"/>
        <v>202.7</v>
      </c>
      <c r="J35" s="189">
        <f t="shared" si="7"/>
        <v>284.39999999999998</v>
      </c>
      <c r="K35" s="189">
        <f t="shared" si="7"/>
        <v>260.8</v>
      </c>
      <c r="L35" s="189">
        <f t="shared" si="7"/>
        <v>269.3</v>
      </c>
      <c r="M35" s="189">
        <f t="shared" si="7"/>
        <v>483</v>
      </c>
      <c r="N35" s="729">
        <f t="shared" si="7"/>
        <v>412.2</v>
      </c>
      <c r="O35" s="729">
        <f t="shared" si="7"/>
        <v>394.2</v>
      </c>
      <c r="P35" s="729">
        <f t="shared" si="7"/>
        <v>383</v>
      </c>
      <c r="Q35" s="189">
        <f t="shared" si="7"/>
        <v>451.9</v>
      </c>
      <c r="R35" s="189">
        <f t="shared" si="7"/>
        <v>440.8</v>
      </c>
      <c r="S35" s="189">
        <f t="shared" si="7"/>
        <v>293</v>
      </c>
      <c r="T35" s="144"/>
      <c r="U35" s="188">
        <f>SUM(I35:P35)</f>
        <v>2689.6</v>
      </c>
      <c r="V35" s="847">
        <f>SUM(I35:S35)</f>
        <v>3875.3</v>
      </c>
      <c r="W35" s="345" t="s">
        <v>669</v>
      </c>
      <c r="X35" s="144"/>
      <c r="Y35" s="144"/>
    </row>
    <row r="36" spans="2:25" ht="56.25">
      <c r="B36" s="1078"/>
      <c r="C36" s="183" t="s">
        <v>351</v>
      </c>
      <c r="D36" s="184" t="s">
        <v>348</v>
      </c>
      <c r="E36" s="189">
        <f>141.6+113.4+57.96+7.47+58.9+61.3+118.3+157.1+119.3+123+47.4+74.8+52.3+126.5+43.8+107.2+58.4+175.3</f>
        <v>1644.03</v>
      </c>
      <c r="F36" s="189">
        <f>SUM(G36:S36)</f>
        <v>2134.46</v>
      </c>
      <c r="G36" s="189">
        <f>115.65+124.75</f>
        <v>240.4</v>
      </c>
      <c r="H36" s="189">
        <f>26.27+25.79</f>
        <v>52.06</v>
      </c>
      <c r="I36" s="189">
        <f>20+12.7</f>
        <v>32.700000000000003</v>
      </c>
      <c r="J36" s="189">
        <v>129.4</v>
      </c>
      <c r="K36" s="189">
        <v>100.5</v>
      </c>
      <c r="L36" s="189">
        <f>18.7+50.4-3.8</f>
        <v>65.3</v>
      </c>
      <c r="M36" s="624">
        <f>23.6+108.6+3.3-3.1+6.6</f>
        <v>139</v>
      </c>
      <c r="N36" s="729">
        <f>14.7+147.5</f>
        <v>162.19999999999999</v>
      </c>
      <c r="O36" s="729">
        <f>14+230.2</f>
        <v>244.2</v>
      </c>
      <c r="P36" s="729">
        <f>10.8+222.2</f>
        <v>233</v>
      </c>
      <c r="Q36" s="189">
        <f>6.1+212.8+83</f>
        <v>301.89999999999998</v>
      </c>
      <c r="R36" s="189">
        <f>3+204.8+83</f>
        <v>290.8</v>
      </c>
      <c r="S36" s="189">
        <f>60+83</f>
        <v>143</v>
      </c>
      <c r="U36" s="188">
        <f>SUM(I36:P36)</f>
        <v>1106.3</v>
      </c>
      <c r="V36" s="338">
        <f>SUM(I36:S36)</f>
        <v>1841.9999999999998</v>
      </c>
      <c r="W36" s="155" t="s">
        <v>668</v>
      </c>
    </row>
    <row r="37" spans="2:25" ht="37.5">
      <c r="B37" s="1078"/>
      <c r="C37" s="185" t="s">
        <v>350</v>
      </c>
      <c r="D37" s="186" t="s">
        <v>348</v>
      </c>
      <c r="E37" s="189">
        <f>14.9+30.39+50+80+150+16.3+130</f>
        <v>471.59</v>
      </c>
      <c r="F37" s="189">
        <f>SUM(G37:S37)</f>
        <v>2703</v>
      </c>
      <c r="G37" s="189">
        <f>G34-E34</f>
        <v>517.70000000000027</v>
      </c>
      <c r="H37" s="189">
        <v>152</v>
      </c>
      <c r="I37" s="189">
        <v>170</v>
      </c>
      <c r="J37" s="189">
        <v>155</v>
      </c>
      <c r="K37" s="189">
        <f>159+1.3</f>
        <v>160.30000000000001</v>
      </c>
      <c r="L37" s="189">
        <f>204</f>
        <v>204</v>
      </c>
      <c r="M37" s="189">
        <f>330+14</f>
        <v>344</v>
      </c>
      <c r="N37" s="729">
        <v>250</v>
      </c>
      <c r="O37" s="729">
        <v>150</v>
      </c>
      <c r="P37" s="729">
        <v>150</v>
      </c>
      <c r="Q37" s="189">
        <v>150</v>
      </c>
      <c r="R37" s="189">
        <v>150</v>
      </c>
      <c r="S37" s="189">
        <v>150</v>
      </c>
      <c r="U37" s="188">
        <f>SUM(I37:P37)</f>
        <v>1583.3</v>
      </c>
      <c r="V37" s="338">
        <f>SUM(I37:S37)</f>
        <v>2033.3</v>
      </c>
      <c r="W37" s="155" t="s">
        <v>667</v>
      </c>
    </row>
    <row r="38" spans="2:25" ht="111" hidden="1" customHeight="1">
      <c r="B38" s="1078"/>
      <c r="C38" s="158" t="s">
        <v>734</v>
      </c>
      <c r="D38" s="622" t="s">
        <v>468</v>
      </c>
      <c r="E38" s="189"/>
      <c r="F38" s="189"/>
      <c r="G38" s="189"/>
      <c r="H38" s="189"/>
      <c r="I38" s="189"/>
      <c r="J38" s="189"/>
      <c r="K38" s="189"/>
      <c r="L38" s="189"/>
      <c r="M38" s="189">
        <v>16</v>
      </c>
      <c r="N38" s="729">
        <v>7</v>
      </c>
      <c r="O38" s="729">
        <v>5</v>
      </c>
      <c r="P38" s="729">
        <v>5</v>
      </c>
      <c r="Q38" s="189">
        <v>5</v>
      </c>
      <c r="R38" s="189">
        <v>5</v>
      </c>
      <c r="S38" s="189">
        <v>5</v>
      </c>
      <c r="U38" s="188"/>
      <c r="V38" s="338"/>
      <c r="W38" s="155"/>
    </row>
    <row r="39" spans="2:25" ht="131.25" hidden="1" customHeight="1">
      <c r="B39" s="1078"/>
      <c r="C39" s="158" t="s">
        <v>814</v>
      </c>
      <c r="D39" s="622" t="s">
        <v>348</v>
      </c>
      <c r="E39" s="189"/>
      <c r="F39" s="189"/>
      <c r="G39" s="189"/>
      <c r="H39" s="189"/>
      <c r="I39" s="189"/>
      <c r="J39" s="189"/>
      <c r="K39" s="189">
        <v>107.3</v>
      </c>
      <c r="L39" s="189">
        <v>169.2</v>
      </c>
      <c r="M39" s="189">
        <v>101.7</v>
      </c>
      <c r="N39" s="729">
        <v>0</v>
      </c>
      <c r="O39" s="729">
        <v>0</v>
      </c>
      <c r="P39" s="729">
        <v>0</v>
      </c>
      <c r="Q39" s="189">
        <v>0</v>
      </c>
      <c r="R39" s="189">
        <v>0</v>
      </c>
      <c r="S39" s="189">
        <v>0</v>
      </c>
      <c r="U39" s="188"/>
      <c r="V39" s="179"/>
      <c r="W39" s="155"/>
    </row>
    <row r="40" spans="2:25" s="146" customFormat="1" ht="164.25" customHeight="1">
      <c r="B40" s="1078"/>
      <c r="C40" s="158" t="s">
        <v>1045</v>
      </c>
      <c r="D40" s="327" t="s">
        <v>349</v>
      </c>
      <c r="E40" s="190">
        <f>E32/SUM(E16+E45)</f>
        <v>0.35999622781440671</v>
      </c>
      <c r="F40" s="190">
        <f>F32/SUM(F16+F45)</f>
        <v>0.55445488610393923</v>
      </c>
      <c r="G40" s="190">
        <f>G32/SUM(G16+G45)</f>
        <v>0.35999775051617622</v>
      </c>
      <c r="H40" s="190">
        <v>0.36</v>
      </c>
      <c r="I40" s="190">
        <v>0.36799999999999999</v>
      </c>
      <c r="J40" s="190">
        <f>(J41+J42)/2</f>
        <v>0.37695938140779817</v>
      </c>
      <c r="K40" s="190">
        <f t="shared" ref="K40:S40" si="8">K32/SUM(K16+K45)</f>
        <v>0.64090879190755656</v>
      </c>
      <c r="L40" s="190">
        <f t="shared" si="8"/>
        <v>0.6323791204330923</v>
      </c>
      <c r="M40" s="190">
        <f t="shared" si="8"/>
        <v>0.59110163952890515</v>
      </c>
      <c r="N40" s="730">
        <f t="shared" si="8"/>
        <v>0.52211882318546388</v>
      </c>
      <c r="O40" s="730">
        <f t="shared" si="8"/>
        <v>0.52822246311648158</v>
      </c>
      <c r="P40" s="730">
        <f t="shared" si="8"/>
        <v>0.53514919689665086</v>
      </c>
      <c r="Q40" s="190">
        <f t="shared" si="8"/>
        <v>0.54457091500306121</v>
      </c>
      <c r="R40" s="190">
        <f t="shared" si="8"/>
        <v>0.55348371546407904</v>
      </c>
      <c r="S40" s="190">
        <f t="shared" si="8"/>
        <v>0.55445488610393923</v>
      </c>
      <c r="T40" s="147"/>
      <c r="U40" s="338">
        <f>55.4-36</f>
        <v>19.399999999999999</v>
      </c>
      <c r="V40" s="274" t="s">
        <v>666</v>
      </c>
      <c r="W40" s="155"/>
      <c r="X40" s="144"/>
      <c r="Y40" s="144"/>
    </row>
    <row r="41" spans="2:25" s="146" customFormat="1" ht="64.5" customHeight="1">
      <c r="B41" s="1078"/>
      <c r="C41" s="183" t="s">
        <v>351</v>
      </c>
      <c r="D41" s="327" t="s">
        <v>349</v>
      </c>
      <c r="E41" s="190">
        <f>E33/E16</f>
        <v>0.35999274644996032</v>
      </c>
      <c r="F41" s="190">
        <f>F33/F16</f>
        <v>0.46084330919369765</v>
      </c>
      <c r="G41" s="190">
        <f>G33/G16</f>
        <v>0.35999373065318757</v>
      </c>
      <c r="H41" s="190">
        <f>H33/H16</f>
        <v>0.35999812293229261</v>
      </c>
      <c r="I41" s="190">
        <v>0.36199999999999999</v>
      </c>
      <c r="J41" s="190">
        <f>J33/J16</f>
        <v>0.36991876281559632</v>
      </c>
      <c r="K41" s="190">
        <v>0.36725415930319943</v>
      </c>
      <c r="L41" s="190">
        <f>L33/L16</f>
        <v>0.36785246908068125</v>
      </c>
      <c r="M41" s="408">
        <v>37.700000000000003</v>
      </c>
      <c r="N41" s="731">
        <v>39.799999999999997</v>
      </c>
      <c r="O41" s="731">
        <v>40.973321516514304</v>
      </c>
      <c r="P41" s="731">
        <f>P33/P16*100</f>
        <v>42.318637887102753</v>
      </c>
      <c r="Q41" s="408">
        <f>Q33/Q16*100</f>
        <v>44.215295716836131</v>
      </c>
      <c r="R41" s="408">
        <f>R33/R16*100</f>
        <v>46.008986122744204</v>
      </c>
      <c r="S41" s="408">
        <v>46.1</v>
      </c>
      <c r="T41" s="144"/>
      <c r="U41" s="188">
        <f>37.1-36</f>
        <v>1.1000000000000014</v>
      </c>
      <c r="V41" s="338">
        <f>S41-36</f>
        <v>10.100000000000001</v>
      </c>
      <c r="W41" s="345" t="s">
        <v>665</v>
      </c>
      <c r="X41" s="144"/>
      <c r="Y41" s="144"/>
    </row>
    <row r="42" spans="2:25" s="146" customFormat="1" ht="38.450000000000003" customHeight="1">
      <c r="B42" s="1078"/>
      <c r="C42" s="185" t="s">
        <v>350</v>
      </c>
      <c r="D42" s="327" t="s">
        <v>349</v>
      </c>
      <c r="E42" s="190">
        <f>E34/E45</f>
        <v>0.36000037396808182</v>
      </c>
      <c r="F42" s="190">
        <f>F34/F45</f>
        <v>0.63545127971804749</v>
      </c>
      <c r="G42" s="190">
        <f>G34/G45</f>
        <v>0.360001977897001</v>
      </c>
      <c r="H42" s="190">
        <f>H34/H45</f>
        <v>0.35994521551483882</v>
      </c>
      <c r="I42" s="190">
        <v>0.373</v>
      </c>
      <c r="J42" s="190">
        <v>0.38400000000000001</v>
      </c>
      <c r="K42" s="190">
        <v>0.87928687240461634</v>
      </c>
      <c r="L42" s="190">
        <f t="shared" ref="L42:S42" si="9">L34/L45</f>
        <v>0.86265126136596704</v>
      </c>
      <c r="M42" s="190">
        <f t="shared" si="9"/>
        <v>0.77735170851012503</v>
      </c>
      <c r="N42" s="190">
        <f t="shared" si="9"/>
        <v>0.6295172657518977</v>
      </c>
      <c r="O42" s="730">
        <f t="shared" si="9"/>
        <v>0.63074482833609691</v>
      </c>
      <c r="P42" s="730">
        <f t="shared" si="9"/>
        <v>0.63203022745343207</v>
      </c>
      <c r="Q42" s="190">
        <f t="shared" si="9"/>
        <v>0.63317113603782926</v>
      </c>
      <c r="R42" s="190">
        <f t="shared" si="9"/>
        <v>0.63431148665629666</v>
      </c>
      <c r="S42" s="190">
        <f t="shared" si="9"/>
        <v>0.63545127971804749</v>
      </c>
      <c r="T42" s="144"/>
      <c r="U42" s="188">
        <f>86.7-36</f>
        <v>50.7</v>
      </c>
      <c r="V42" s="197">
        <f>87.1-36</f>
        <v>51.099999999999994</v>
      </c>
      <c r="W42" s="155" t="s">
        <v>664</v>
      </c>
      <c r="X42" s="144"/>
      <c r="Y42" s="144"/>
    </row>
    <row r="43" spans="2:25" s="510" customFormat="1" ht="100.5" hidden="1" customHeight="1">
      <c r="B43" s="1078"/>
      <c r="C43" s="521" t="s">
        <v>663</v>
      </c>
      <c r="D43" s="522" t="s">
        <v>349</v>
      </c>
      <c r="E43" s="523">
        <v>58.5</v>
      </c>
      <c r="F43" s="523">
        <f>S43</f>
        <v>24.339745519188085</v>
      </c>
      <c r="G43" s="523">
        <v>56</v>
      </c>
      <c r="H43" s="524">
        <v>54.6</v>
      </c>
      <c r="I43" s="524">
        <v>54</v>
      </c>
      <c r="J43" s="525">
        <v>41.59</v>
      </c>
      <c r="K43" s="525">
        <v>49.25</v>
      </c>
      <c r="L43" s="525">
        <f>K75</f>
        <v>48.944713813936239</v>
      </c>
      <c r="M43" s="159">
        <f>K76</f>
        <v>48.622025783718968</v>
      </c>
      <c r="N43" s="716">
        <f>K77</f>
        <v>47.36338414410303</v>
      </c>
      <c r="O43" s="716">
        <f>$K$78</f>
        <v>42.083128194875869</v>
      </c>
      <c r="P43" s="716">
        <f>$K$79</f>
        <v>38.837994068492357</v>
      </c>
      <c r="Q43" s="525">
        <f>$K$80</f>
        <v>33.761854195265535</v>
      </c>
      <c r="R43" s="525">
        <f>$K$81</f>
        <v>28.68571432203872</v>
      </c>
      <c r="S43" s="525">
        <f>$K$82</f>
        <v>24.339745519188085</v>
      </c>
      <c r="U43" s="526">
        <f>H43-P43</f>
        <v>15.762005931507645</v>
      </c>
      <c r="V43" s="527">
        <f>H43-S43</f>
        <v>30.260254480811916</v>
      </c>
      <c r="W43" s="528" t="s">
        <v>662</v>
      </c>
    </row>
    <row r="44" spans="2:25" ht="135.75" customHeight="1">
      <c r="B44" s="1078"/>
      <c r="C44" s="164" t="s">
        <v>1046</v>
      </c>
      <c r="D44" s="409" t="s">
        <v>349</v>
      </c>
      <c r="E44" s="189">
        <v>15.3</v>
      </c>
      <c r="F44" s="189">
        <f>S44</f>
        <v>18.609999999999992</v>
      </c>
      <c r="G44" s="189">
        <v>15</v>
      </c>
      <c r="H44" s="411">
        <v>15.8</v>
      </c>
      <c r="I44" s="411">
        <v>18.5</v>
      </c>
      <c r="J44" s="192">
        <v>15.8</v>
      </c>
      <c r="K44" s="192">
        <v>23.5</v>
      </c>
      <c r="L44" s="192">
        <v>19.600000000000001</v>
      </c>
      <c r="M44" s="192">
        <f>L76</f>
        <v>18.819188191881921</v>
      </c>
      <c r="N44" s="732">
        <v>19.11</v>
      </c>
      <c r="O44" s="732">
        <f>N44-0.1</f>
        <v>19.009999999999998</v>
      </c>
      <c r="P44" s="732">
        <f>O44-0.1</f>
        <v>18.909999999999997</v>
      </c>
      <c r="Q44" s="192">
        <f>P44-0.1</f>
        <v>18.809999999999995</v>
      </c>
      <c r="R44" s="192">
        <f>Q44-0.1</f>
        <v>18.709999999999994</v>
      </c>
      <c r="S44" s="192">
        <f>R44-0.1</f>
        <v>18.609999999999992</v>
      </c>
      <c r="U44" s="188">
        <f>P44-H44</f>
        <v>3.1099999999999959</v>
      </c>
      <c r="V44" s="197">
        <f>S44-H44</f>
        <v>2.8099999999999916</v>
      </c>
      <c r="W44" s="155"/>
    </row>
    <row r="45" spans="2:25" ht="90" customHeight="1">
      <c r="B45" s="1078"/>
      <c r="C45" s="168" t="s">
        <v>1047</v>
      </c>
      <c r="D45" s="326" t="s">
        <v>348</v>
      </c>
      <c r="E45" s="193">
        <v>10696.1</v>
      </c>
      <c r="F45" s="189">
        <f>S45</f>
        <v>14725.900000000001</v>
      </c>
      <c r="G45" s="193">
        <v>12134.1</v>
      </c>
      <c r="H45" s="193">
        <v>12558.3</v>
      </c>
      <c r="I45" s="193">
        <v>12561.3</v>
      </c>
      <c r="J45" s="193">
        <v>14393.7</v>
      </c>
      <c r="K45" s="193">
        <v>14622</v>
      </c>
      <c r="L45" s="193">
        <f>14624.6+L47</f>
        <v>14627</v>
      </c>
      <c r="M45" s="193">
        <f>14630.2+M47+1.31</f>
        <v>14633.51</v>
      </c>
      <c r="N45" s="733">
        <f>14713.6+N47</f>
        <v>14714.1</v>
      </c>
      <c r="O45" s="733">
        <f t="shared" ref="O45:S45" si="10">N45+O47</f>
        <v>14714.800000000001</v>
      </c>
      <c r="P45" s="733">
        <f>O45+P47</f>
        <v>14715.1</v>
      </c>
      <c r="Q45" s="193">
        <f t="shared" si="10"/>
        <v>14718.7</v>
      </c>
      <c r="R45" s="193">
        <f t="shared" si="10"/>
        <v>14722.300000000001</v>
      </c>
      <c r="S45" s="193">
        <f t="shared" si="10"/>
        <v>14725.900000000001</v>
      </c>
      <c r="U45" s="194"/>
      <c r="V45" s="344">
        <f>S45-H45</f>
        <v>2167.6000000000022</v>
      </c>
      <c r="W45" s="346" t="s">
        <v>661</v>
      </c>
    </row>
    <row r="46" spans="2:25" ht="91.5" customHeight="1">
      <c r="B46" s="1078"/>
      <c r="C46" s="171" t="s">
        <v>1048</v>
      </c>
      <c r="D46" s="195" t="s">
        <v>348</v>
      </c>
      <c r="E46" s="196">
        <v>63</v>
      </c>
      <c r="F46" s="196">
        <f>SUM(G46:S46)</f>
        <v>130.40000000000003</v>
      </c>
      <c r="G46" s="196">
        <v>9.1</v>
      </c>
      <c r="H46" s="196">
        <v>19.7</v>
      </c>
      <c r="I46" s="196">
        <v>10.5</v>
      </c>
      <c r="J46" s="196">
        <f t="shared" ref="J46:S46" si="11">J47+J48</f>
        <v>9.6999999999999993</v>
      </c>
      <c r="K46" s="196">
        <f t="shared" si="11"/>
        <v>15.399999999999999</v>
      </c>
      <c r="L46" s="196">
        <f t="shared" si="11"/>
        <v>5.9</v>
      </c>
      <c r="M46" s="196">
        <f t="shared" si="11"/>
        <v>3.7</v>
      </c>
      <c r="N46" s="734">
        <f t="shared" si="11"/>
        <v>4.5</v>
      </c>
      <c r="O46" s="734">
        <f t="shared" si="11"/>
        <v>4.9000000000000004</v>
      </c>
      <c r="P46" s="734">
        <f t="shared" si="11"/>
        <v>9.5</v>
      </c>
      <c r="Q46" s="196">
        <f t="shared" si="11"/>
        <v>12.5</v>
      </c>
      <c r="R46" s="196">
        <f t="shared" si="11"/>
        <v>12.5</v>
      </c>
      <c r="S46" s="196">
        <f t="shared" si="11"/>
        <v>12.5</v>
      </c>
      <c r="U46" s="188">
        <f>SUM(H46:P46)</f>
        <v>83.8</v>
      </c>
      <c r="V46" s="338">
        <f>SUM(G46:S46)</f>
        <v>130.40000000000003</v>
      </c>
      <c r="W46" s="345" t="s">
        <v>660</v>
      </c>
    </row>
    <row r="47" spans="2:25" ht="131.25" customHeight="1">
      <c r="B47" s="1078"/>
      <c r="C47" s="171" t="s">
        <v>1049</v>
      </c>
      <c r="D47" s="195" t="s">
        <v>348</v>
      </c>
      <c r="E47" s="196">
        <v>20.5</v>
      </c>
      <c r="F47" s="196">
        <f>SUM(G47:S47)</f>
        <v>40.1</v>
      </c>
      <c r="G47" s="196">
        <v>5.5</v>
      </c>
      <c r="H47" s="196">
        <v>10</v>
      </c>
      <c r="I47" s="196">
        <v>3</v>
      </c>
      <c r="J47" s="196">
        <v>1.2</v>
      </c>
      <c r="K47" s="196">
        <v>3.7</v>
      </c>
      <c r="L47" s="196">
        <v>2.4</v>
      </c>
      <c r="M47" s="196">
        <v>2</v>
      </c>
      <c r="N47" s="734">
        <v>0.5</v>
      </c>
      <c r="O47" s="734">
        <v>0.7</v>
      </c>
      <c r="P47" s="734">
        <v>0.3</v>
      </c>
      <c r="Q47" s="196">
        <v>3.6</v>
      </c>
      <c r="R47" s="196">
        <v>3.6</v>
      </c>
      <c r="S47" s="196">
        <v>3.6</v>
      </c>
      <c r="U47" s="178">
        <f>SUM(I47:P47)</f>
        <v>13.8</v>
      </c>
      <c r="V47" s="344">
        <f>SUM(G47:P47)</f>
        <v>29.299999999999997</v>
      </c>
      <c r="W47" s="343">
        <f>SUM(I47:S47)</f>
        <v>24.600000000000005</v>
      </c>
      <c r="X47" s="342" t="s">
        <v>659</v>
      </c>
    </row>
    <row r="48" spans="2:25" ht="181.5" customHeight="1">
      <c r="B48" s="1078"/>
      <c r="C48" s="164" t="s">
        <v>1050</v>
      </c>
      <c r="D48" s="195" t="s">
        <v>348</v>
      </c>
      <c r="E48" s="196">
        <v>42.5</v>
      </c>
      <c r="F48" s="196">
        <f>SUM(G48:S48)</f>
        <v>90.300000000000026</v>
      </c>
      <c r="G48" s="196">
        <v>3.5999999999999996</v>
      </c>
      <c r="H48" s="196">
        <v>9.6999999999999993</v>
      </c>
      <c r="I48" s="196">
        <v>7.5</v>
      </c>
      <c r="J48" s="196">
        <v>8.5</v>
      </c>
      <c r="K48" s="196">
        <v>11.7</v>
      </c>
      <c r="L48" s="196">
        <v>3.5</v>
      </c>
      <c r="M48" s="196">
        <v>1.7</v>
      </c>
      <c r="N48" s="734">
        <v>4</v>
      </c>
      <c r="O48" s="734">
        <v>4.2</v>
      </c>
      <c r="P48" s="734">
        <v>9.1999999999999993</v>
      </c>
      <c r="Q48" s="196">
        <v>8.9</v>
      </c>
      <c r="R48" s="196">
        <v>8.9</v>
      </c>
      <c r="S48" s="196">
        <v>8.9</v>
      </c>
      <c r="U48" s="341"/>
      <c r="V48" s="338">
        <f>SUM(I48:S48)</f>
        <v>77</v>
      </c>
      <c r="W48" s="340" t="s">
        <v>658</v>
      </c>
    </row>
    <row r="49" spans="2:23" s="510" customFormat="1" ht="121.15" hidden="1" customHeight="1">
      <c r="B49" s="1078"/>
      <c r="C49" s="516" t="s">
        <v>657</v>
      </c>
      <c r="D49" s="517" t="s">
        <v>348</v>
      </c>
      <c r="E49" s="518">
        <f>4997.2-2450.9</f>
        <v>2546.2999999999997</v>
      </c>
      <c r="F49" s="518">
        <f>S49</f>
        <v>4222.1000000000004</v>
      </c>
      <c r="G49" s="518">
        <f>6586.2-3140.2</f>
        <v>3446</v>
      </c>
      <c r="H49" s="518">
        <f>7050.2-3304.9</f>
        <v>3745.2999999999997</v>
      </c>
      <c r="I49" s="518">
        <f>8281.5-4482.5</f>
        <v>3799</v>
      </c>
      <c r="J49" s="518">
        <v>3809</v>
      </c>
      <c r="K49" s="518">
        <v>4042.6</v>
      </c>
      <c r="L49" s="518">
        <f>4028.7+10</f>
        <v>4038.7</v>
      </c>
      <c r="M49" s="196">
        <f>4152.1+10</f>
        <v>4162.1000000000004</v>
      </c>
      <c r="N49" s="734">
        <f t="shared" ref="N49:S49" si="12">M49+10</f>
        <v>4172.1000000000004</v>
      </c>
      <c r="O49" s="734">
        <f t="shared" si="12"/>
        <v>4182.1000000000004</v>
      </c>
      <c r="P49" s="734">
        <f t="shared" si="12"/>
        <v>4192.1000000000004</v>
      </c>
      <c r="Q49" s="518">
        <f t="shared" si="12"/>
        <v>4202.1000000000004</v>
      </c>
      <c r="R49" s="518">
        <f t="shared" si="12"/>
        <v>4212.1000000000004</v>
      </c>
      <c r="S49" s="518">
        <f t="shared" si="12"/>
        <v>4222.1000000000004</v>
      </c>
      <c r="T49" s="519">
        <f>I49-H49</f>
        <v>53.700000000000273</v>
      </c>
      <c r="U49" s="520"/>
      <c r="V49" s="515"/>
      <c r="W49" s="513"/>
    </row>
    <row r="50" spans="2:23" ht="121.15" customHeight="1">
      <c r="B50" s="1078"/>
      <c r="C50" s="164" t="s">
        <v>1051</v>
      </c>
      <c r="D50" s="195" t="s">
        <v>348</v>
      </c>
      <c r="E50" s="196">
        <f>9092.6-1997.2</f>
        <v>7095.4000000000005</v>
      </c>
      <c r="F50" s="196">
        <f>S50</f>
        <v>5739</v>
      </c>
      <c r="G50" s="196">
        <f>12116.8-6586.2</f>
        <v>5530.5999999999995</v>
      </c>
      <c r="H50" s="196">
        <f>12558.3-7050</f>
        <v>5508.2999999999993</v>
      </c>
      <c r="I50" s="196">
        <f>14392.5-8281.5</f>
        <v>6111</v>
      </c>
      <c r="J50" s="196">
        <v>6091</v>
      </c>
      <c r="K50" s="196">
        <v>6072.2</v>
      </c>
      <c r="L50" s="196">
        <f>6061.3-15</f>
        <v>6046.3</v>
      </c>
      <c r="M50" s="196">
        <f>5875.6-15-1.6</f>
        <v>5859</v>
      </c>
      <c r="N50" s="734">
        <f>5829-15</f>
        <v>5814</v>
      </c>
      <c r="O50" s="734">
        <f t="shared" ref="O50" si="13">N50-15</f>
        <v>5799</v>
      </c>
      <c r="P50" s="734">
        <f t="shared" ref="P50" si="14">O50-15</f>
        <v>5784</v>
      </c>
      <c r="Q50" s="196">
        <f t="shared" ref="Q50" si="15">P50-15</f>
        <v>5769</v>
      </c>
      <c r="R50" s="196">
        <f t="shared" ref="R50" si="16">Q50-15</f>
        <v>5754</v>
      </c>
      <c r="S50" s="196">
        <f t="shared" ref="S50" si="17">R50-15</f>
        <v>5739</v>
      </c>
      <c r="T50" s="339"/>
      <c r="U50" s="178"/>
      <c r="V50" s="155"/>
      <c r="W50" s="180"/>
    </row>
    <row r="51" spans="2:23" ht="121.9" customHeight="1">
      <c r="B51" s="1078"/>
      <c r="C51" s="158" t="s">
        <v>1052</v>
      </c>
      <c r="D51" s="195" t="s">
        <v>349</v>
      </c>
      <c r="E51" s="196"/>
      <c r="F51" s="196">
        <v>85.1</v>
      </c>
      <c r="G51" s="196"/>
      <c r="H51" s="196"/>
      <c r="I51" s="196"/>
      <c r="J51" s="196"/>
      <c r="K51" s="196"/>
      <c r="L51" s="196">
        <v>50</v>
      </c>
      <c r="M51" s="196">
        <v>56.5</v>
      </c>
      <c r="N51" s="734">
        <v>63.4</v>
      </c>
      <c r="O51" s="734">
        <v>69.2</v>
      </c>
      <c r="P51" s="734">
        <v>73.8</v>
      </c>
      <c r="Q51" s="196">
        <v>78.900000000000006</v>
      </c>
      <c r="R51" s="196">
        <v>85.1</v>
      </c>
      <c r="S51" s="196" t="s">
        <v>276</v>
      </c>
      <c r="T51" s="153"/>
      <c r="U51" s="188">
        <f>SUM(I51:P51)</f>
        <v>312.90000000000003</v>
      </c>
      <c r="V51" s="338">
        <f>SUM(I51:S51)</f>
        <v>476.90000000000009</v>
      </c>
      <c r="W51" s="180"/>
    </row>
    <row r="52" spans="2:23" ht="121.9" customHeight="1">
      <c r="B52" s="1078"/>
      <c r="C52" s="436" t="s">
        <v>1053</v>
      </c>
      <c r="D52" s="437" t="s">
        <v>349</v>
      </c>
      <c r="E52" s="434"/>
      <c r="F52" s="434">
        <v>1.27</v>
      </c>
      <c r="G52" s="434"/>
      <c r="H52" s="434"/>
      <c r="I52" s="434"/>
      <c r="J52" s="434"/>
      <c r="K52" s="434"/>
      <c r="L52" s="434">
        <v>1.42</v>
      </c>
      <c r="M52" s="434">
        <v>1.42</v>
      </c>
      <c r="N52" s="735">
        <v>1.42</v>
      </c>
      <c r="O52" s="735">
        <v>1.33</v>
      </c>
      <c r="P52" s="735">
        <v>1.3</v>
      </c>
      <c r="Q52" s="434">
        <v>1.28</v>
      </c>
      <c r="R52" s="434">
        <v>1.27</v>
      </c>
      <c r="S52" s="438" t="s">
        <v>276</v>
      </c>
      <c r="T52" s="153"/>
      <c r="U52" s="188"/>
      <c r="V52" s="338"/>
      <c r="W52" s="180"/>
    </row>
    <row r="53" spans="2:23" ht="138.75" customHeight="1">
      <c r="B53" s="1078"/>
      <c r="C53" s="158" t="s">
        <v>1054</v>
      </c>
      <c r="D53" s="430" t="s">
        <v>349</v>
      </c>
      <c r="E53" s="193"/>
      <c r="F53" s="193">
        <v>48.8</v>
      </c>
      <c r="G53" s="193"/>
      <c r="H53" s="193"/>
      <c r="I53" s="193"/>
      <c r="J53" s="193"/>
      <c r="K53" s="193"/>
      <c r="L53" s="193">
        <v>93</v>
      </c>
      <c r="M53" s="193">
        <v>86</v>
      </c>
      <c r="N53" s="733">
        <v>79.099999999999994</v>
      </c>
      <c r="O53" s="733">
        <v>72.099999999999994</v>
      </c>
      <c r="P53" s="733">
        <v>65.099999999999994</v>
      </c>
      <c r="Q53" s="193">
        <v>58.1</v>
      </c>
      <c r="R53" s="193">
        <v>48.8</v>
      </c>
      <c r="S53" s="196" t="s">
        <v>276</v>
      </c>
      <c r="T53" s="153"/>
      <c r="U53" s="188"/>
      <c r="V53" s="338"/>
      <c r="W53" s="180"/>
    </row>
    <row r="54" spans="2:23" ht="262.5" customHeight="1">
      <c r="B54" s="1078"/>
      <c r="C54" s="158" t="s">
        <v>1055</v>
      </c>
      <c r="D54" s="430" t="s">
        <v>349</v>
      </c>
      <c r="E54" s="193"/>
      <c r="F54" s="193">
        <v>80</v>
      </c>
      <c r="G54" s="193"/>
      <c r="H54" s="193"/>
      <c r="I54" s="193"/>
      <c r="J54" s="193"/>
      <c r="K54" s="193"/>
      <c r="L54" s="193">
        <v>0</v>
      </c>
      <c r="M54" s="193">
        <v>10</v>
      </c>
      <c r="N54" s="733">
        <v>20</v>
      </c>
      <c r="O54" s="733">
        <v>40</v>
      </c>
      <c r="P54" s="733">
        <v>53</v>
      </c>
      <c r="Q54" s="193">
        <v>66</v>
      </c>
      <c r="R54" s="193">
        <v>80</v>
      </c>
      <c r="S54" s="196" t="s">
        <v>276</v>
      </c>
      <c r="T54" s="153"/>
      <c r="U54" s="188"/>
      <c r="V54" s="338"/>
      <c r="W54" s="180"/>
    </row>
    <row r="55" spans="2:23" ht="207.75" customHeight="1">
      <c r="B55" s="1078"/>
      <c r="C55" s="158" t="s">
        <v>1056</v>
      </c>
      <c r="D55" s="704" t="s">
        <v>349</v>
      </c>
      <c r="E55" s="189"/>
      <c r="F55" s="189">
        <v>70</v>
      </c>
      <c r="G55" s="189"/>
      <c r="H55" s="189"/>
      <c r="I55" s="189"/>
      <c r="J55" s="189"/>
      <c r="K55" s="189"/>
      <c r="L55" s="189">
        <v>0</v>
      </c>
      <c r="M55" s="189">
        <v>10</v>
      </c>
      <c r="N55" s="729">
        <v>20</v>
      </c>
      <c r="O55" s="729">
        <v>35</v>
      </c>
      <c r="P55" s="729">
        <v>50</v>
      </c>
      <c r="Q55" s="189">
        <v>60</v>
      </c>
      <c r="R55" s="189">
        <v>70</v>
      </c>
      <c r="S55" s="196"/>
      <c r="T55" s="153"/>
      <c r="U55" s="188"/>
      <c r="V55" s="338"/>
      <c r="W55" s="180"/>
    </row>
    <row r="56" spans="2:23" ht="122.25" customHeight="1">
      <c r="B56" s="1079"/>
      <c r="C56" s="158" t="s">
        <v>1057</v>
      </c>
      <c r="D56" s="431" t="s">
        <v>349</v>
      </c>
      <c r="E56" s="189"/>
      <c r="F56" s="191">
        <f>R56</f>
        <v>48.379049999999999</v>
      </c>
      <c r="G56" s="191"/>
      <c r="H56" s="191"/>
      <c r="I56" s="191"/>
      <c r="J56" s="191"/>
      <c r="K56" s="191"/>
      <c r="L56" s="191">
        <v>0</v>
      </c>
      <c r="M56" s="191">
        <v>0</v>
      </c>
      <c r="N56" s="725">
        <v>40.205649999999999</v>
      </c>
      <c r="O56" s="725">
        <v>42.560360000000003</v>
      </c>
      <c r="P56" s="725">
        <v>44.091929999999998</v>
      </c>
      <c r="Q56" s="191">
        <v>46.25</v>
      </c>
      <c r="R56" s="191">
        <v>48.379049999999999</v>
      </c>
      <c r="S56" s="438" t="s">
        <v>276</v>
      </c>
      <c r="T56" s="153"/>
      <c r="U56" s="188"/>
      <c r="V56" s="338"/>
      <c r="W56" s="180"/>
    </row>
    <row r="57" spans="2:23">
      <c r="B57" s="198"/>
      <c r="C57" s="199"/>
      <c r="D57" s="200"/>
      <c r="E57" s="201"/>
      <c r="F57" s="201"/>
      <c r="G57" s="201"/>
      <c r="H57" s="201"/>
      <c r="I57" s="201"/>
      <c r="J57" s="201"/>
      <c r="K57" s="201"/>
      <c r="L57" s="201"/>
      <c r="M57" s="201"/>
      <c r="N57" s="736"/>
      <c r="O57" s="736"/>
      <c r="P57" s="736"/>
      <c r="Q57" s="201"/>
      <c r="R57" s="201"/>
      <c r="S57" s="201"/>
    </row>
    <row r="58" spans="2:23">
      <c r="B58" s="150" t="s">
        <v>388</v>
      </c>
      <c r="C58" s="199"/>
      <c r="D58" s="200"/>
      <c r="E58" s="201"/>
      <c r="F58" s="201"/>
      <c r="G58" s="201"/>
      <c r="H58" s="201">
        <f t="shared" ref="H58:K58" si="18">H51-G51</f>
        <v>0</v>
      </c>
      <c r="I58" s="201">
        <f t="shared" si="18"/>
        <v>0</v>
      </c>
      <c r="J58" s="201">
        <f t="shared" si="18"/>
        <v>0</v>
      </c>
      <c r="K58" s="201">
        <f t="shared" si="18"/>
        <v>0</v>
      </c>
      <c r="L58" s="201"/>
      <c r="M58" s="201"/>
      <c r="N58" s="736"/>
      <c r="O58" s="736"/>
      <c r="P58" s="736"/>
      <c r="Q58" s="201"/>
      <c r="R58" s="201"/>
      <c r="S58" s="201"/>
    </row>
    <row r="59" spans="2:23" hidden="1">
      <c r="B59" s="1080" t="s">
        <v>389</v>
      </c>
      <c r="C59" s="1080"/>
      <c r="D59" s="1080"/>
      <c r="E59" s="1080"/>
      <c r="F59" s="1080"/>
      <c r="G59" s="1080"/>
      <c r="H59" s="1080"/>
      <c r="I59" s="1080"/>
      <c r="J59" s="1080"/>
      <c r="K59" s="1080"/>
      <c r="L59" s="1080"/>
      <c r="M59" s="1080"/>
      <c r="N59" s="1080"/>
      <c r="O59" s="1080"/>
      <c r="P59" s="1080"/>
      <c r="Q59" s="328"/>
      <c r="R59" s="328"/>
      <c r="S59" s="328"/>
    </row>
    <row r="60" spans="2:23">
      <c r="B60" s="328" t="s">
        <v>390</v>
      </c>
      <c r="C60" s="328"/>
      <c r="D60" s="331"/>
      <c r="E60" s="328"/>
      <c r="F60" s="328"/>
      <c r="G60" s="328"/>
      <c r="H60" s="328"/>
      <c r="I60" s="328"/>
      <c r="J60" s="328"/>
      <c r="K60" s="328"/>
      <c r="L60" s="328"/>
      <c r="M60" s="623"/>
      <c r="N60" s="737"/>
      <c r="O60" s="737"/>
      <c r="P60" s="737"/>
      <c r="Q60" s="328"/>
      <c r="R60" s="328"/>
      <c r="S60" s="328"/>
    </row>
    <row r="61" spans="2:23" ht="30" customHeight="1">
      <c r="B61" s="1066" t="s">
        <v>391</v>
      </c>
      <c r="C61" s="1066"/>
      <c r="D61" s="1066"/>
      <c r="E61" s="1066"/>
      <c r="F61" s="1066"/>
      <c r="G61" s="1066"/>
      <c r="H61" s="1066"/>
      <c r="I61" s="1066"/>
      <c r="J61" s="1066"/>
      <c r="K61" s="1066"/>
      <c r="L61" s="1066"/>
      <c r="M61" s="1066"/>
      <c r="N61" s="1066"/>
      <c r="O61" s="1066"/>
      <c r="P61" s="1066"/>
      <c r="Q61" s="329"/>
      <c r="R61" s="329"/>
      <c r="S61" s="329"/>
    </row>
    <row r="62" spans="2:23">
      <c r="B62" s="1070" t="s">
        <v>392</v>
      </c>
      <c r="C62" s="1070"/>
      <c r="D62" s="1070"/>
      <c r="E62" s="1070"/>
      <c r="F62" s="1070"/>
      <c r="G62" s="1070"/>
      <c r="H62" s="1070"/>
      <c r="I62" s="1070"/>
      <c r="J62" s="1070"/>
      <c r="K62" s="1070"/>
      <c r="L62" s="1070"/>
      <c r="M62" s="1070"/>
      <c r="N62" s="1070"/>
      <c r="O62" s="1070"/>
      <c r="P62" s="1070"/>
      <c r="Q62" s="324"/>
      <c r="R62" s="324"/>
      <c r="S62" s="324"/>
    </row>
    <row r="63" spans="2:23">
      <c r="B63" s="151"/>
      <c r="E63" s="153" t="e">
        <f>E33/#REF!*100</f>
        <v>#REF!</v>
      </c>
      <c r="F63" s="153" t="e">
        <f>F33/#REF!*100</f>
        <v>#REF!</v>
      </c>
      <c r="G63" s="153" t="e">
        <f>G33/#REF!*100</f>
        <v>#REF!</v>
      </c>
      <c r="H63" s="153" t="e">
        <f>H33/#REF!*100</f>
        <v>#REF!</v>
      </c>
      <c r="I63" s="153" t="e">
        <f>I33/#REF!*100</f>
        <v>#REF!</v>
      </c>
      <c r="J63" s="153" t="e">
        <f>J33/#REF!*100</f>
        <v>#REF!</v>
      </c>
      <c r="K63" s="153" t="e">
        <f>K33/#REF!*100</f>
        <v>#REF!</v>
      </c>
      <c r="L63" s="153" t="e">
        <f>L33/#REF!*100</f>
        <v>#REF!</v>
      </c>
      <c r="M63" s="153" t="e">
        <f>M33/#REF!*100</f>
        <v>#REF!</v>
      </c>
      <c r="N63" s="738" t="e">
        <f>N33/#REF!*100</f>
        <v>#REF!</v>
      </c>
      <c r="O63" s="738" t="e">
        <f>O33/#REF!*100</f>
        <v>#REF!</v>
      </c>
      <c r="P63" s="738" t="e">
        <f>P33/#REF!*100</f>
        <v>#REF!</v>
      </c>
      <c r="Q63" s="153"/>
      <c r="R63" s="153"/>
      <c r="S63" s="153"/>
    </row>
    <row r="64" spans="2:23">
      <c r="J64" s="144"/>
      <c r="K64" s="144"/>
    </row>
    <row r="65" spans="4:19">
      <c r="E65" s="182" t="e">
        <f>#REF!*0.36</f>
        <v>#REF!</v>
      </c>
      <c r="F65" s="182" t="e">
        <f>#REF!*0.36</f>
        <v>#REF!</v>
      </c>
      <c r="G65" s="182" t="e">
        <f>#REF!*0.36</f>
        <v>#REF!</v>
      </c>
      <c r="H65" s="182" t="e">
        <f>#REF!*0.36</f>
        <v>#REF!</v>
      </c>
      <c r="I65" s="182" t="e">
        <f>#REF!*0.36</f>
        <v>#REF!</v>
      </c>
      <c r="J65" s="182" t="e">
        <f>#REF!*0.36</f>
        <v>#REF!</v>
      </c>
      <c r="K65" s="182" t="e">
        <f>#REF!*0.36</f>
        <v>#REF!</v>
      </c>
      <c r="L65" s="182" t="e">
        <f>#REF!*0.36</f>
        <v>#REF!</v>
      </c>
      <c r="M65" s="182" t="e">
        <f>#REF!*0.36</f>
        <v>#REF!</v>
      </c>
      <c r="N65" s="739" t="e">
        <f>#REF!*0.36</f>
        <v>#REF!</v>
      </c>
      <c r="O65" s="739" t="e">
        <f>#REF!*0.36</f>
        <v>#REF!</v>
      </c>
      <c r="P65" s="739" t="e">
        <f>#REF!*0.36</f>
        <v>#REF!</v>
      </c>
      <c r="Q65" s="182"/>
      <c r="R65" s="182"/>
      <c r="S65" s="182"/>
    </row>
    <row r="66" spans="4:19">
      <c r="J66" s="144"/>
      <c r="K66" s="144"/>
    </row>
    <row r="67" spans="4:19">
      <c r="E67" s="182" t="e">
        <f>#REF!+#REF!</f>
        <v>#REF!</v>
      </c>
      <c r="F67" s="182" t="e">
        <f>#REF!+#REF!</f>
        <v>#REF!</v>
      </c>
      <c r="G67" s="182" t="e">
        <f>#REF!+#REF!</f>
        <v>#REF!</v>
      </c>
      <c r="H67" s="182" t="e">
        <f>#REF!+#REF!</f>
        <v>#REF!</v>
      </c>
      <c r="I67" s="182" t="e">
        <f>#REF!+#REF!</f>
        <v>#REF!</v>
      </c>
      <c r="J67" s="182" t="e">
        <f>#REF!+#REF!</f>
        <v>#REF!</v>
      </c>
      <c r="K67" s="182" t="e">
        <f>#REF!+#REF!</f>
        <v>#REF!</v>
      </c>
      <c r="L67" s="182" t="e">
        <f>#REF!+#REF!</f>
        <v>#REF!</v>
      </c>
      <c r="M67" s="182" t="e">
        <f>#REF!+#REF!</f>
        <v>#REF!</v>
      </c>
      <c r="N67" s="739" t="e">
        <f>#REF!+#REF!</f>
        <v>#REF!</v>
      </c>
      <c r="O67" s="739" t="e">
        <f>#REF!+#REF!</f>
        <v>#REF!</v>
      </c>
      <c r="P67" s="739" t="e">
        <f>#REF!+#REF!</f>
        <v>#REF!</v>
      </c>
      <c r="Q67" s="182"/>
      <c r="R67" s="182"/>
      <c r="S67" s="182"/>
    </row>
    <row r="68" spans="4:19">
      <c r="J68" s="144"/>
      <c r="K68" s="144"/>
    </row>
    <row r="69" spans="4:19">
      <c r="D69" s="417">
        <v>2012</v>
      </c>
      <c r="E69" s="418">
        <f>10057.5</f>
        <v>10057.5</v>
      </c>
      <c r="F69" s="386"/>
      <c r="G69" s="419">
        <f>E69/12738.6*100</f>
        <v>78.952946163628653</v>
      </c>
      <c r="H69" s="420">
        <f t="shared" ref="H69:H82" si="19">E69/17820*100</f>
        <v>56.439393939393945</v>
      </c>
      <c r="I69" s="386"/>
      <c r="J69" s="386"/>
      <c r="K69" s="386"/>
      <c r="L69" s="386"/>
      <c r="M69" s="417">
        <v>2012</v>
      </c>
      <c r="N69" s="740"/>
      <c r="O69" s="740"/>
      <c r="P69" s="740"/>
    </row>
    <row r="70" spans="4:19">
      <c r="D70" s="417">
        <v>2013</v>
      </c>
      <c r="E70" s="421">
        <f>10057.5+G19+G20</f>
        <v>10105.5</v>
      </c>
      <c r="F70" s="422"/>
      <c r="G70" s="419">
        <f>E70/G16*100</f>
        <v>79.193605266251325</v>
      </c>
      <c r="H70" s="420">
        <f t="shared" si="19"/>
        <v>56.708754208754208</v>
      </c>
      <c r="I70" s="386"/>
      <c r="J70" s="386"/>
      <c r="K70" s="386"/>
      <c r="L70" s="386"/>
      <c r="M70" s="417">
        <v>2013</v>
      </c>
      <c r="N70" s="740"/>
      <c r="O70" s="740"/>
      <c r="P70" s="740"/>
    </row>
    <row r="71" spans="4:19">
      <c r="D71" s="417">
        <v>2014</v>
      </c>
      <c r="E71" s="419">
        <f>10222+H19+H20</f>
        <v>10260.300000000001</v>
      </c>
      <c r="F71" s="419"/>
      <c r="G71" s="419">
        <f>E71/H16*100</f>
        <v>80.246990825831588</v>
      </c>
      <c r="H71" s="420">
        <f t="shared" si="19"/>
        <v>57.57744107744108</v>
      </c>
      <c r="I71" s="386"/>
      <c r="J71" s="386"/>
      <c r="K71" s="386"/>
      <c r="L71" s="386"/>
      <c r="M71" s="417">
        <v>2014</v>
      </c>
      <c r="N71" s="740"/>
      <c r="O71" s="740"/>
      <c r="P71" s="740"/>
    </row>
    <row r="72" spans="4:19">
      <c r="D72" s="417">
        <v>2015</v>
      </c>
      <c r="E72" s="423">
        <v>10313.043</v>
      </c>
      <c r="F72" s="424"/>
      <c r="G72" s="419">
        <f>E72/I16*100</f>
        <v>80.56120767097606</v>
      </c>
      <c r="H72" s="420">
        <f t="shared" si="19"/>
        <v>57.873417508417504</v>
      </c>
      <c r="I72" s="386"/>
      <c r="J72" s="386"/>
      <c r="K72" s="386"/>
      <c r="L72" s="386"/>
      <c r="M72" s="417">
        <v>2015</v>
      </c>
      <c r="N72" s="740"/>
      <c r="O72" s="740"/>
      <c r="P72" s="740"/>
    </row>
    <row r="73" spans="4:19">
      <c r="D73" s="417">
        <v>2016</v>
      </c>
      <c r="E73" s="423">
        <v>10316.638999999999</v>
      </c>
      <c r="F73" s="418"/>
      <c r="G73" s="419">
        <f>E73/J16*100</f>
        <v>80.7413010471614</v>
      </c>
      <c r="H73" s="420">
        <f t="shared" si="19"/>
        <v>57.893597081930416</v>
      </c>
      <c r="I73" s="386">
        <v>1550.11</v>
      </c>
      <c r="J73" s="386">
        <v>3148.819</v>
      </c>
      <c r="K73" s="386">
        <f t="shared" ref="K73:K78" si="20">I73*100/J73</f>
        <v>49.228297974573962</v>
      </c>
      <c r="L73" s="386"/>
      <c r="M73" s="417">
        <v>2016</v>
      </c>
      <c r="N73" s="740"/>
      <c r="O73" s="740"/>
      <c r="P73" s="740"/>
    </row>
    <row r="74" spans="4:19">
      <c r="D74" s="417">
        <v>2017</v>
      </c>
      <c r="E74" s="423">
        <v>10332.061</v>
      </c>
      <c r="F74" s="418"/>
      <c r="G74" s="419">
        <f>E74/K16*100</f>
        <v>81.087923213360753</v>
      </c>
      <c r="H74" s="420">
        <f t="shared" si="19"/>
        <v>57.980140291806961</v>
      </c>
      <c r="I74" s="386">
        <v>1542.32</v>
      </c>
      <c r="J74" s="386">
        <f>3147.061</f>
        <v>3147.0610000000001</v>
      </c>
      <c r="K74" s="386">
        <f t="shared" si="20"/>
        <v>49.008265171853992</v>
      </c>
      <c r="L74" s="386">
        <f>55*100/266</f>
        <v>20.676691729323309</v>
      </c>
      <c r="M74" s="417">
        <v>2017</v>
      </c>
      <c r="N74" s="740"/>
      <c r="O74" s="740"/>
      <c r="P74" s="740"/>
    </row>
    <row r="75" spans="4:19">
      <c r="D75" s="417">
        <v>2018</v>
      </c>
      <c r="E75" s="423">
        <f>E74+L19+L20</f>
        <v>10349.491</v>
      </c>
      <c r="F75" s="418"/>
      <c r="G75" s="419">
        <f>E75/L16*100</f>
        <v>81.28151040568379</v>
      </c>
      <c r="H75" s="420">
        <f t="shared" si="19"/>
        <v>58.077951739618406</v>
      </c>
      <c r="I75" s="386">
        <v>1540.32</v>
      </c>
      <c r="J75" s="386">
        <f>J74</f>
        <v>3147.0610000000001</v>
      </c>
      <c r="K75" s="386">
        <f t="shared" si="20"/>
        <v>48.944713813936239</v>
      </c>
      <c r="L75" s="386">
        <f>(55-3)*100/266</f>
        <v>19.548872180451127</v>
      </c>
      <c r="M75" s="417">
        <v>2018</v>
      </c>
      <c r="N75" s="740"/>
      <c r="O75" s="740"/>
      <c r="P75" s="740"/>
    </row>
    <row r="76" spans="4:19">
      <c r="D76" s="417">
        <v>2019</v>
      </c>
      <c r="E76" s="425">
        <f>10338.915+M19+M21-2.9</f>
        <v>10348.685000000001</v>
      </c>
      <c r="F76" s="426"/>
      <c r="G76" s="419">
        <f>E76/M16*100</f>
        <v>81.294321345361823</v>
      </c>
      <c r="H76" s="420">
        <f t="shared" si="19"/>
        <v>58.073428731762078</v>
      </c>
      <c r="I76" s="386">
        <f>1539.77-10</f>
        <v>1529.77</v>
      </c>
      <c r="J76" s="386">
        <v>3146.2489999999998</v>
      </c>
      <c r="K76" s="386">
        <f t="shared" si="20"/>
        <v>48.622025783718968</v>
      </c>
      <c r="L76" s="386">
        <f>51/271*100</f>
        <v>18.819188191881921</v>
      </c>
      <c r="M76" s="417">
        <v>2019</v>
      </c>
      <c r="N76" s="740"/>
      <c r="O76" s="740"/>
      <c r="P76" s="740"/>
    </row>
    <row r="77" spans="4:19">
      <c r="D77" s="417">
        <v>2020</v>
      </c>
      <c r="E77" s="423">
        <f>10715.768+N19+N21</f>
        <v>10729.754000000001</v>
      </c>
      <c r="F77" s="426"/>
      <c r="G77" s="419">
        <f>E77/N16*100</f>
        <v>84.274411314425066</v>
      </c>
      <c r="H77" s="420">
        <f>E77/17820*100</f>
        <v>60.211863075196412</v>
      </c>
      <c r="I77" s="386">
        <f>I76-39.6</f>
        <v>1490.17</v>
      </c>
      <c r="J77" s="386">
        <v>3146.2489999999998</v>
      </c>
      <c r="K77" s="386">
        <f t="shared" si="20"/>
        <v>47.36338414410303</v>
      </c>
      <c r="L77" s="386">
        <f>50/27*100</f>
        <v>185.18518518518519</v>
      </c>
      <c r="M77" s="417">
        <v>2020</v>
      </c>
      <c r="N77" s="740"/>
      <c r="O77" s="740"/>
      <c r="P77" s="740"/>
    </row>
    <row r="78" spans="4:19">
      <c r="D78" s="417">
        <v>2021</v>
      </c>
      <c r="E78" s="423">
        <f>E77+O19+O21</f>
        <v>10742.554</v>
      </c>
      <c r="F78" s="426"/>
      <c r="G78" s="419">
        <f>E78/O16*100</f>
        <v>84.37494600187685</v>
      </c>
      <c r="H78" s="420">
        <f t="shared" si="19"/>
        <v>60.28369248035915</v>
      </c>
      <c r="I78" s="386">
        <f>I77-166.13</f>
        <v>1324.04</v>
      </c>
      <c r="J78" s="386">
        <v>3146.2489999999998</v>
      </c>
      <c r="K78" s="386">
        <f t="shared" si="20"/>
        <v>42.083128194875869</v>
      </c>
      <c r="L78" s="386"/>
      <c r="M78" s="417">
        <v>2021</v>
      </c>
      <c r="N78" s="740"/>
      <c r="O78" s="740"/>
      <c r="P78" s="740"/>
    </row>
    <row r="79" spans="4:19">
      <c r="D79" s="417">
        <v>2022</v>
      </c>
      <c r="E79" s="423">
        <f>E78+P19+P21</f>
        <v>10756.154</v>
      </c>
      <c r="F79" s="426"/>
      <c r="G79" s="419">
        <f>E79/P16*100</f>
        <v>84.475129200488425</v>
      </c>
      <c r="H79" s="420">
        <f t="shared" si="19"/>
        <v>60.360011223344557</v>
      </c>
      <c r="I79" s="386">
        <f>I78-102.1</f>
        <v>1221.94</v>
      </c>
      <c r="J79" s="386">
        <v>3146.2489999999998</v>
      </c>
      <c r="K79" s="386">
        <f t="shared" ref="K79:K82" si="21">I79*100/J79</f>
        <v>38.837994068492357</v>
      </c>
      <c r="L79" s="386"/>
      <c r="M79" s="417">
        <v>2022</v>
      </c>
      <c r="N79" s="740"/>
      <c r="O79" s="740"/>
      <c r="P79" s="740"/>
    </row>
    <row r="80" spans="4:19">
      <c r="D80" s="417">
        <v>2023</v>
      </c>
      <c r="E80" s="423">
        <f>E79+Q19+Q21</f>
        <v>10756.154</v>
      </c>
      <c r="F80" s="386"/>
      <c r="G80" s="419">
        <f>E80/Q16*100</f>
        <v>84.475129200488425</v>
      </c>
      <c r="H80" s="420">
        <f t="shared" si="19"/>
        <v>60.360011223344557</v>
      </c>
      <c r="I80" s="386">
        <f>I79-159.708</f>
        <v>1062.232</v>
      </c>
      <c r="J80" s="386">
        <v>3146.2489999999998</v>
      </c>
      <c r="K80" s="386">
        <f t="shared" si="21"/>
        <v>33.761854195265535</v>
      </c>
      <c r="L80" s="386"/>
      <c r="M80" s="417">
        <v>2023</v>
      </c>
      <c r="N80" s="740"/>
      <c r="O80" s="740"/>
      <c r="P80" s="740"/>
    </row>
    <row r="81" spans="4:19">
      <c r="D81" s="417">
        <v>2024</v>
      </c>
      <c r="E81" s="423">
        <f>E80+R19+R21</f>
        <v>10764.654</v>
      </c>
      <c r="F81" s="386"/>
      <c r="G81" s="419">
        <f>E81/R16*100</f>
        <v>84.485486080676694</v>
      </c>
      <c r="H81" s="420">
        <f t="shared" si="19"/>
        <v>60.407710437710435</v>
      </c>
      <c r="I81" s="386">
        <f>I80-159.708</f>
        <v>902.524</v>
      </c>
      <c r="J81" s="386">
        <v>3146.2489999999998</v>
      </c>
      <c r="K81" s="386">
        <f t="shared" si="21"/>
        <v>28.68571432203872</v>
      </c>
      <c r="L81" s="386"/>
      <c r="M81" s="417">
        <v>2024</v>
      </c>
      <c r="N81" s="740"/>
      <c r="O81" s="740"/>
      <c r="P81" s="740"/>
    </row>
    <row r="82" spans="4:19">
      <c r="D82" s="417">
        <v>2025</v>
      </c>
      <c r="E82" s="423">
        <f>E81+S19+S21</f>
        <v>10764.654</v>
      </c>
      <c r="F82" s="386"/>
      <c r="G82" s="419">
        <f>E82/S16*100</f>
        <v>84.485486080676694</v>
      </c>
      <c r="H82" s="420">
        <f t="shared" si="19"/>
        <v>60.407710437710435</v>
      </c>
      <c r="I82" s="386">
        <f>I81-136.735</f>
        <v>765.78899999999999</v>
      </c>
      <c r="J82" s="386">
        <v>3146.2489999999998</v>
      </c>
      <c r="K82" s="386">
        <f t="shared" si="21"/>
        <v>24.339745519188085</v>
      </c>
      <c r="L82" s="386"/>
      <c r="M82" s="417">
        <v>2025</v>
      </c>
      <c r="N82" s="740"/>
      <c r="O82" s="740"/>
      <c r="P82" s="740"/>
    </row>
    <row r="83" spans="4:19">
      <c r="D83" s="417"/>
      <c r="E83" s="427">
        <f t="shared" ref="E83:P83" si="22">E16+E45</f>
        <v>23434.690000000002</v>
      </c>
      <c r="F83" s="427">
        <f t="shared" si="22"/>
        <v>27467.324000000001</v>
      </c>
      <c r="G83" s="427">
        <f t="shared" si="22"/>
        <v>24894.6</v>
      </c>
      <c r="H83" s="427">
        <f t="shared" si="22"/>
        <v>25344.199999999997</v>
      </c>
      <c r="I83" s="427">
        <f t="shared" si="22"/>
        <v>25362.799999999999</v>
      </c>
      <c r="J83" s="427">
        <f t="shared" si="22"/>
        <v>27171.1</v>
      </c>
      <c r="K83" s="427">
        <f t="shared" si="22"/>
        <v>27363.8</v>
      </c>
      <c r="L83" s="427">
        <f t="shared" si="22"/>
        <v>27359.897000000001</v>
      </c>
      <c r="M83" s="427">
        <f t="shared" si="22"/>
        <v>27363.409</v>
      </c>
      <c r="N83" s="741">
        <f t="shared" si="22"/>
        <v>27446.024000000001</v>
      </c>
      <c r="O83" s="741">
        <f t="shared" si="22"/>
        <v>27446.724000000002</v>
      </c>
      <c r="P83" s="741">
        <f t="shared" si="22"/>
        <v>27448.024000000001</v>
      </c>
      <c r="Q83" s="175"/>
      <c r="R83" s="175"/>
      <c r="S83" s="175"/>
    </row>
    <row r="84" spans="4:19">
      <c r="D84" s="417"/>
      <c r="E84" s="386"/>
      <c r="F84" s="386"/>
      <c r="G84" s="386"/>
      <c r="H84" s="386"/>
      <c r="I84" s="386"/>
      <c r="J84" s="386"/>
      <c r="K84" s="386"/>
      <c r="L84" s="386"/>
      <c r="M84" s="386"/>
      <c r="N84" s="740"/>
      <c r="O84" s="740"/>
      <c r="P84" s="740"/>
    </row>
    <row r="85" spans="4:19">
      <c r="J85" s="144"/>
      <c r="K85" s="144"/>
    </row>
    <row r="86" spans="4:19">
      <c r="J86" s="144"/>
      <c r="K86" s="144"/>
    </row>
    <row r="87" spans="4:19">
      <c r="J87" s="144"/>
      <c r="K87" s="144"/>
    </row>
    <row r="88" spans="4:19">
      <c r="J88" s="144"/>
      <c r="K88" s="144"/>
    </row>
    <row r="89" spans="4:19">
      <c r="J89" s="144"/>
      <c r="K89" s="144"/>
    </row>
    <row r="90" spans="4:19">
      <c r="J90" s="144"/>
      <c r="K90" s="144"/>
    </row>
    <row r="91" spans="4:19">
      <c r="J91" s="144"/>
      <c r="K91" s="144"/>
    </row>
    <row r="92" spans="4:19">
      <c r="J92" s="144"/>
      <c r="K92" s="144"/>
    </row>
    <row r="93" spans="4:19">
      <c r="J93" s="144"/>
      <c r="K93" s="144"/>
    </row>
    <row r="94" spans="4:19">
      <c r="J94" s="144"/>
      <c r="K94" s="144"/>
    </row>
    <row r="95" spans="4:19">
      <c r="J95" s="144"/>
      <c r="K95" s="144"/>
    </row>
    <row r="96" spans="4:19">
      <c r="J96" s="144"/>
      <c r="K96" s="144"/>
    </row>
    <row r="97" spans="10:11">
      <c r="J97" s="144"/>
      <c r="K97" s="144"/>
    </row>
    <row r="98" spans="10:11">
      <c r="J98" s="144"/>
      <c r="K98" s="144"/>
    </row>
    <row r="99" spans="10:11">
      <c r="J99" s="144"/>
      <c r="K99" s="144"/>
    </row>
    <row r="100" spans="10:11">
      <c r="J100" s="144"/>
      <c r="K100" s="144"/>
    </row>
    <row r="101" spans="10:11">
      <c r="J101" s="144"/>
      <c r="K101" s="144"/>
    </row>
    <row r="102" spans="10:11">
      <c r="J102" s="144"/>
      <c r="K102" s="144"/>
    </row>
    <row r="103" spans="10:11">
      <c r="J103" s="144"/>
      <c r="K103" s="144"/>
    </row>
    <row r="104" spans="10:11">
      <c r="J104" s="144"/>
      <c r="K104" s="144"/>
    </row>
    <row r="105" spans="10:11">
      <c r="J105" s="144"/>
      <c r="K105" s="144"/>
    </row>
    <row r="106" spans="10:11">
      <c r="J106" s="144"/>
      <c r="K106" s="144"/>
    </row>
    <row r="107" spans="10:11">
      <c r="J107" s="144"/>
      <c r="K107" s="144"/>
    </row>
    <row r="108" spans="10:11">
      <c r="J108" s="144"/>
      <c r="K108" s="144"/>
    </row>
    <row r="109" spans="10:11">
      <c r="J109" s="144"/>
      <c r="K109" s="144"/>
    </row>
    <row r="110" spans="10:11">
      <c r="J110" s="144"/>
      <c r="K110" s="144"/>
    </row>
    <row r="111" spans="10:11">
      <c r="J111" s="144"/>
      <c r="K111" s="144"/>
    </row>
    <row r="112" spans="10:11">
      <c r="J112" s="144"/>
      <c r="K112" s="144"/>
    </row>
    <row r="113" spans="10:11">
      <c r="J113" s="144"/>
      <c r="K113" s="144"/>
    </row>
    <row r="114" spans="10:11">
      <c r="J114" s="144"/>
      <c r="K114" s="144"/>
    </row>
    <row r="115" spans="10:11">
      <c r="J115" s="144"/>
      <c r="K115" s="144"/>
    </row>
    <row r="116" spans="10:11">
      <c r="J116" s="144"/>
      <c r="K116" s="144"/>
    </row>
    <row r="117" spans="10:11">
      <c r="J117" s="144"/>
      <c r="K117" s="144"/>
    </row>
    <row r="118" spans="10:11">
      <c r="J118" s="144"/>
      <c r="K118" s="144"/>
    </row>
    <row r="119" spans="10:11">
      <c r="J119" s="144"/>
      <c r="K119" s="144"/>
    </row>
    <row r="120" spans="10:11">
      <c r="J120" s="144"/>
      <c r="K120" s="144"/>
    </row>
    <row r="121" spans="10:11">
      <c r="J121" s="144"/>
      <c r="K121" s="144"/>
    </row>
  </sheetData>
  <mergeCells count="18">
    <mergeCell ref="B61:P61"/>
    <mergeCell ref="G11:S11"/>
    <mergeCell ref="B62:P62"/>
    <mergeCell ref="B11:B12"/>
    <mergeCell ref="C11:C12"/>
    <mergeCell ref="D11:D12"/>
    <mergeCell ref="E11:E12"/>
    <mergeCell ref="F11:F12"/>
    <mergeCell ref="B13:P13"/>
    <mergeCell ref="B14:B31"/>
    <mergeCell ref="B59:P59"/>
    <mergeCell ref="B32:B56"/>
    <mergeCell ref="B9:P9"/>
    <mergeCell ref="K2:P2"/>
    <mergeCell ref="K3:P3"/>
    <mergeCell ref="B6:P6"/>
    <mergeCell ref="B7:P7"/>
    <mergeCell ref="B8:P8"/>
  </mergeCells>
  <printOptions horizontalCentered="1"/>
  <pageMargins left="0.70866141732283472" right="0.70866141732283472" top="0.74803149606299213" bottom="0.74803149606299213" header="0.31496062992125984" footer="0.31496062992125984"/>
  <pageSetup paperSize="9" scale="43" fitToHeight="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19"/>
  <sheetViews>
    <sheetView zoomScale="110" zoomScaleNormal="110" workbookViewId="0">
      <selection activeCell="H11" sqref="H11:H12"/>
    </sheetView>
  </sheetViews>
  <sheetFormatPr defaultRowHeight="15"/>
  <cols>
    <col min="1" max="1" width="36.28515625" customWidth="1"/>
    <col min="2" max="2" width="14.85546875" style="144" customWidth="1"/>
    <col min="3" max="3" width="15.85546875" style="144" customWidth="1"/>
    <col min="4" max="4" width="14.7109375" style="144" customWidth="1"/>
    <col min="5" max="5" width="17" style="144" customWidth="1"/>
    <col min="6" max="7" width="15.28515625" style="144" customWidth="1"/>
    <col min="8" max="9" width="15.28515625" style="765" customWidth="1"/>
    <col min="10" max="10" width="19.7109375" style="765" customWidth="1"/>
    <col min="11" max="12" width="19.7109375" style="144" customWidth="1"/>
    <col min="13" max="13" width="19.7109375" customWidth="1"/>
    <col min="14" max="14" width="17.5703125" customWidth="1"/>
    <col min="15" max="15" width="9.85546875" bestFit="1" customWidth="1"/>
    <col min="16" max="16" width="16.85546875" customWidth="1"/>
    <col min="17" max="17" width="16" customWidth="1"/>
    <col min="18" max="18" width="21.42578125" customWidth="1"/>
    <col min="19" max="19" width="14.7109375" bestFit="1" customWidth="1"/>
    <col min="24" max="24" width="18" customWidth="1"/>
    <col min="29" max="29" width="16.85546875" customWidth="1"/>
    <col min="30" max="30" width="22" customWidth="1"/>
  </cols>
  <sheetData>
    <row r="1" spans="1:30" ht="40.5" customHeight="1" thickBot="1">
      <c r="A1" s="1081" t="s">
        <v>393</v>
      </c>
      <c r="B1" s="1086" t="s">
        <v>394</v>
      </c>
      <c r="C1" s="1087"/>
      <c r="D1" s="1087"/>
      <c r="E1" s="1087"/>
      <c r="F1" s="1087"/>
      <c r="G1" s="1087"/>
      <c r="H1" s="1087"/>
      <c r="I1" s="1087"/>
      <c r="J1" s="1087"/>
      <c r="K1" s="1087"/>
      <c r="L1" s="1087"/>
      <c r="M1" s="1087"/>
    </row>
    <row r="2" spans="1:30" ht="15.75" customHeight="1">
      <c r="A2" s="1082"/>
      <c r="B2" s="1084" t="s">
        <v>395</v>
      </c>
      <c r="C2" s="1086" t="s">
        <v>396</v>
      </c>
      <c r="D2" s="1087"/>
      <c r="E2" s="1087"/>
      <c r="F2" s="1087"/>
      <c r="G2" s="1087"/>
      <c r="H2" s="1087"/>
      <c r="I2" s="1087"/>
      <c r="J2" s="1087"/>
      <c r="K2" s="1087"/>
      <c r="L2" s="1087"/>
      <c r="M2" s="1087"/>
    </row>
    <row r="3" spans="1:30" ht="15.75" thickBot="1">
      <c r="A3" s="1083"/>
      <c r="B3" s="1085"/>
      <c r="C3" s="393">
        <v>2015</v>
      </c>
      <c r="D3" s="393">
        <v>2016</v>
      </c>
      <c r="E3" s="393">
        <v>2017</v>
      </c>
      <c r="F3" s="393">
        <v>2018</v>
      </c>
      <c r="G3" s="393">
        <v>2019</v>
      </c>
      <c r="H3" s="749">
        <v>2020</v>
      </c>
      <c r="I3" s="749">
        <v>2021</v>
      </c>
      <c r="J3" s="749">
        <v>2022</v>
      </c>
      <c r="K3" s="393">
        <v>2023</v>
      </c>
      <c r="L3" s="393">
        <v>2024</v>
      </c>
      <c r="M3" s="392">
        <v>2025</v>
      </c>
    </row>
    <row r="4" spans="1:30" ht="21.75" customHeight="1">
      <c r="A4" s="1088" t="s">
        <v>397</v>
      </c>
      <c r="B4" s="1089"/>
      <c r="C4" s="1089"/>
      <c r="D4" s="1089"/>
      <c r="E4" s="1089"/>
      <c r="F4" s="1089"/>
      <c r="G4" s="1089"/>
      <c r="H4" s="1089"/>
      <c r="I4" s="1089"/>
      <c r="J4" s="1089"/>
      <c r="K4" s="1089"/>
      <c r="L4" s="1089"/>
      <c r="M4" s="1089"/>
      <c r="P4" s="202" t="s">
        <v>395</v>
      </c>
      <c r="AC4" s="203"/>
    </row>
    <row r="5" spans="1:30">
      <c r="A5" s="689" t="s">
        <v>398</v>
      </c>
      <c r="B5" s="529">
        <f t="shared" ref="B5:B23" si="0">SUM(C5:M5)</f>
        <v>161306114.09999996</v>
      </c>
      <c r="C5" s="529">
        <f t="shared" ref="C5:M5" si="1">SUM(C6:C9)</f>
        <v>7389522.1000000006</v>
      </c>
      <c r="D5" s="529">
        <v>8542648.9000000004</v>
      </c>
      <c r="E5" s="529">
        <f t="shared" si="1"/>
        <v>9673332</v>
      </c>
      <c r="F5" s="529">
        <f t="shared" si="1"/>
        <v>11700623.800000001</v>
      </c>
      <c r="G5" s="529">
        <f t="shared" si="1"/>
        <v>17332846.300000001</v>
      </c>
      <c r="H5" s="750">
        <f>SUM(H6:H9)</f>
        <v>18969909.600000001</v>
      </c>
      <c r="I5" s="750">
        <f t="shared" si="1"/>
        <v>26810805.299999997</v>
      </c>
      <c r="J5" s="750">
        <f t="shared" si="1"/>
        <v>26807908.999999996</v>
      </c>
      <c r="K5" s="529">
        <f t="shared" si="1"/>
        <v>14395663.699999999</v>
      </c>
      <c r="L5" s="529">
        <f t="shared" si="1"/>
        <v>9841426.6999999993</v>
      </c>
      <c r="M5" s="690">
        <f t="shared" si="1"/>
        <v>9841426.6999999993</v>
      </c>
      <c r="N5" s="309">
        <v>77708580.819999993</v>
      </c>
      <c r="O5" s="308">
        <f>B5-N5</f>
        <v>83597533.279999971</v>
      </c>
      <c r="P5" s="205">
        <f>B5-72919374.8</f>
        <v>88386739.299999967</v>
      </c>
      <c r="AC5" s="203">
        <v>72919374.799999997</v>
      </c>
      <c r="AD5" s="203">
        <f>B5-AC5</f>
        <v>88386739.299999967</v>
      </c>
    </row>
    <row r="6" spans="1:30">
      <c r="A6" s="691" t="s">
        <v>399</v>
      </c>
      <c r="B6" s="529">
        <f t="shared" si="0"/>
        <v>34450408.719999999</v>
      </c>
      <c r="C6" s="529">
        <f t="shared" ref="C6:M6" si="2">C11+C16+C21</f>
        <v>1562163.2000000002</v>
      </c>
      <c r="D6" s="529">
        <f t="shared" si="2"/>
        <v>733434.82</v>
      </c>
      <c r="E6" s="529">
        <f t="shared" si="2"/>
        <v>1254745.3999999999</v>
      </c>
      <c r="F6" s="529">
        <f t="shared" si="2"/>
        <v>1503269.9</v>
      </c>
      <c r="G6" s="529">
        <f t="shared" si="2"/>
        <v>4802561.9000000004</v>
      </c>
      <c r="H6" s="750">
        <f t="shared" si="2"/>
        <v>2229815.2999999998</v>
      </c>
      <c r="I6" s="750">
        <f t="shared" si="2"/>
        <v>9206790.0999999996</v>
      </c>
      <c r="J6" s="750">
        <f t="shared" si="2"/>
        <v>9368188.0999999996</v>
      </c>
      <c r="K6" s="529">
        <f t="shared" si="2"/>
        <v>3789440</v>
      </c>
      <c r="L6" s="529">
        <f t="shared" si="2"/>
        <v>0</v>
      </c>
      <c r="M6" s="690">
        <f t="shared" si="2"/>
        <v>0</v>
      </c>
      <c r="N6" s="309">
        <v>8645005.8200000003</v>
      </c>
      <c r="O6" s="308">
        <f>B6-N6</f>
        <v>25805402.899999999</v>
      </c>
      <c r="P6" s="205">
        <f>B6-10917605.7</f>
        <v>23532803.02</v>
      </c>
      <c r="AC6" s="203">
        <v>10917605.699999999</v>
      </c>
      <c r="AD6" s="203">
        <f>B6-AC6</f>
        <v>23532803.02</v>
      </c>
    </row>
    <row r="7" spans="1:30">
      <c r="A7" s="689" t="s">
        <v>400</v>
      </c>
      <c r="B7" s="529">
        <f t="shared" si="0"/>
        <v>115262176.49999999</v>
      </c>
      <c r="C7" s="529">
        <f t="shared" ref="C7:M7" si="3">C12+C17+C22</f>
        <v>5446414.7000000002</v>
      </c>
      <c r="D7" s="529">
        <f t="shared" si="3"/>
        <v>7684169.6000000006</v>
      </c>
      <c r="E7" s="529">
        <f t="shared" si="3"/>
        <v>8270169.5</v>
      </c>
      <c r="F7" s="529">
        <f t="shared" si="3"/>
        <v>9968783.0999999996</v>
      </c>
      <c r="G7" s="529">
        <f t="shared" si="3"/>
        <v>11950037.799999999</v>
      </c>
      <c r="H7" s="750">
        <f t="shared" si="3"/>
        <v>11653154.500000002</v>
      </c>
      <c r="I7" s="750">
        <f t="shared" si="3"/>
        <v>14660302.199999999</v>
      </c>
      <c r="J7" s="750">
        <f t="shared" si="3"/>
        <v>16344081.099999998</v>
      </c>
      <c r="K7" s="529">
        <f t="shared" si="3"/>
        <v>9761688</v>
      </c>
      <c r="L7" s="529">
        <f t="shared" si="3"/>
        <v>9761688</v>
      </c>
      <c r="M7" s="690">
        <f t="shared" si="3"/>
        <v>9761688</v>
      </c>
      <c r="N7" s="309">
        <v>67898561.5</v>
      </c>
      <c r="O7" s="308">
        <f>B7-N7</f>
        <v>47363614.999999985</v>
      </c>
      <c r="P7" s="205">
        <f>B7-61145423.5</f>
        <v>54116752.999999985</v>
      </c>
      <c r="AC7" s="203">
        <v>61145423.5</v>
      </c>
      <c r="AD7" s="203">
        <f>B7-AC7</f>
        <v>54116752.999999985</v>
      </c>
    </row>
    <row r="8" spans="1:30">
      <c r="A8" s="691" t="s">
        <v>401</v>
      </c>
      <c r="B8" s="529">
        <f t="shared" si="0"/>
        <v>3298097.9000000004</v>
      </c>
      <c r="C8" s="529">
        <f t="shared" ref="C8:M8" si="4">C13+C18+C23</f>
        <v>380944.2</v>
      </c>
      <c r="D8" s="529">
        <f t="shared" si="4"/>
        <v>125044.5</v>
      </c>
      <c r="E8" s="529">
        <f t="shared" si="4"/>
        <v>148417.1</v>
      </c>
      <c r="F8" s="529">
        <f t="shared" si="4"/>
        <v>148570.79999999999</v>
      </c>
      <c r="G8" s="529">
        <f t="shared" si="4"/>
        <v>453785.59999999998</v>
      </c>
      <c r="H8" s="750">
        <f t="shared" si="4"/>
        <v>861662.8</v>
      </c>
      <c r="I8" s="750">
        <f t="shared" si="4"/>
        <v>512972</v>
      </c>
      <c r="J8" s="750">
        <f t="shared" si="4"/>
        <v>427484.80000000005</v>
      </c>
      <c r="K8" s="529">
        <f t="shared" si="4"/>
        <v>79738.7</v>
      </c>
      <c r="L8" s="529">
        <f t="shared" si="4"/>
        <v>79738.7</v>
      </c>
      <c r="M8" s="690">
        <f t="shared" si="4"/>
        <v>79738.7</v>
      </c>
      <c r="N8" s="309">
        <v>1165013.5</v>
      </c>
      <c r="O8" s="308">
        <f>B8-N8</f>
        <v>2133084.4000000004</v>
      </c>
      <c r="P8" s="205">
        <f>B8-85634.6</f>
        <v>3212463.3000000003</v>
      </c>
      <c r="AC8" s="203">
        <v>856345.59999999998</v>
      </c>
      <c r="AD8" s="203">
        <f>B8-AC8</f>
        <v>2441752.3000000003</v>
      </c>
    </row>
    <row r="9" spans="1:30">
      <c r="A9" s="691" t="s">
        <v>402</v>
      </c>
      <c r="B9" s="529">
        <f t="shared" si="0"/>
        <v>8295431</v>
      </c>
      <c r="C9" s="529">
        <f t="shared" ref="C9:M9" si="5">C14+C19+C24</f>
        <v>0</v>
      </c>
      <c r="D9" s="529">
        <f t="shared" si="5"/>
        <v>0</v>
      </c>
      <c r="E9" s="529">
        <f t="shared" si="5"/>
        <v>0</v>
      </c>
      <c r="F9" s="529">
        <f t="shared" si="5"/>
        <v>80000</v>
      </c>
      <c r="G9" s="529">
        <f t="shared" si="5"/>
        <v>126461</v>
      </c>
      <c r="H9" s="750">
        <f t="shared" si="5"/>
        <v>4225277</v>
      </c>
      <c r="I9" s="750">
        <f t="shared" si="5"/>
        <v>2430741</v>
      </c>
      <c r="J9" s="750">
        <f t="shared" si="5"/>
        <v>668155</v>
      </c>
      <c r="K9" s="529">
        <f t="shared" si="5"/>
        <v>764797</v>
      </c>
      <c r="L9" s="529">
        <f t="shared" si="5"/>
        <v>0</v>
      </c>
      <c r="M9" s="690">
        <f t="shared" si="5"/>
        <v>0</v>
      </c>
    </row>
    <row r="10" spans="1:30">
      <c r="A10" s="689" t="s">
        <v>403</v>
      </c>
      <c r="B10" s="529">
        <f t="shared" si="0"/>
        <v>59431708.020000011</v>
      </c>
      <c r="C10" s="529">
        <f t="shared" ref="C10:M10" si="6">SUM(C11:C14)</f>
        <v>1721621.6</v>
      </c>
      <c r="D10" s="529">
        <f t="shared" si="6"/>
        <v>1219454.52</v>
      </c>
      <c r="E10" s="529">
        <f t="shared" si="6"/>
        <v>1886282.8</v>
      </c>
      <c r="F10" s="529">
        <f t="shared" si="6"/>
        <v>2996289.3</v>
      </c>
      <c r="G10" s="529">
        <f t="shared" si="6"/>
        <v>5691056.4000000004</v>
      </c>
      <c r="H10" s="750">
        <f t="shared" si="6"/>
        <v>8038509.1000000006</v>
      </c>
      <c r="I10" s="750">
        <f t="shared" si="6"/>
        <v>14648685.799999999</v>
      </c>
      <c r="J10" s="750">
        <f t="shared" si="6"/>
        <v>12813611.4</v>
      </c>
      <c r="K10" s="529">
        <f t="shared" si="6"/>
        <v>6508223.7000000002</v>
      </c>
      <c r="L10" s="529">
        <f t="shared" si="6"/>
        <v>1953986.7</v>
      </c>
      <c r="M10" s="690">
        <f t="shared" si="6"/>
        <v>1953986.7</v>
      </c>
      <c r="N10" s="205">
        <f>C10+D10+E10+F10+G10+H10+I10+J10</f>
        <v>49015510.920000002</v>
      </c>
    </row>
    <row r="11" spans="1:30" s="144" customFormat="1">
      <c r="A11" s="692" t="s">
        <v>399</v>
      </c>
      <c r="B11" s="529">
        <f t="shared" si="0"/>
        <v>29686092.920000002</v>
      </c>
      <c r="C11" s="529">
        <v>1104798.1000000001</v>
      </c>
      <c r="D11" s="529">
        <v>625434.81999999995</v>
      </c>
      <c r="E11" s="529">
        <v>445107.7</v>
      </c>
      <c r="F11" s="529">
        <f>334095.8+400000</f>
        <v>734095.8</v>
      </c>
      <c r="G11" s="529">
        <v>2844623</v>
      </c>
      <c r="H11" s="750">
        <v>1597615.3</v>
      </c>
      <c r="I11" s="750">
        <v>9176790.0999999996</v>
      </c>
      <c r="J11" s="750">
        <v>9368188.0999999996</v>
      </c>
      <c r="K11" s="529">
        <v>3789440</v>
      </c>
      <c r="L11" s="529"/>
      <c r="M11" s="529"/>
    </row>
    <row r="12" spans="1:30" s="144" customFormat="1">
      <c r="A12" s="693" t="s">
        <v>400</v>
      </c>
      <c r="B12" s="529">
        <f t="shared" si="0"/>
        <v>20843284.800000001</v>
      </c>
      <c r="C12" s="529">
        <v>288964.5</v>
      </c>
      <c r="D12" s="529">
        <v>589700.9</v>
      </c>
      <c r="E12" s="529">
        <f>1429700.5+3474-66.5</f>
        <v>1433108</v>
      </c>
      <c r="F12" s="529">
        <f>1831999.9+324558.6</f>
        <v>2156558.5</v>
      </c>
      <c r="G12" s="529">
        <v>2712397.4</v>
      </c>
      <c r="H12" s="750">
        <v>2185078.6</v>
      </c>
      <c r="I12" s="750">
        <v>2978625.5</v>
      </c>
      <c r="J12" s="750">
        <v>2648851.4</v>
      </c>
      <c r="K12" s="529">
        <v>1950000</v>
      </c>
      <c r="L12" s="529">
        <v>1950000</v>
      </c>
      <c r="M12" s="529">
        <v>1950000</v>
      </c>
    </row>
    <row r="13" spans="1:30" s="144" customFormat="1">
      <c r="A13" s="692" t="s">
        <v>401</v>
      </c>
      <c r="B13" s="529">
        <f t="shared" si="0"/>
        <v>606899.29999999981</v>
      </c>
      <c r="C13" s="529">
        <v>327859</v>
      </c>
      <c r="D13" s="529">
        <v>4318.8</v>
      </c>
      <c r="E13" s="529">
        <v>8067.1</v>
      </c>
      <c r="F13" s="529">
        <v>25635</v>
      </c>
      <c r="G13" s="529">
        <v>7575</v>
      </c>
      <c r="H13" s="750">
        <v>30538.2</v>
      </c>
      <c r="I13" s="750">
        <v>62529.2</v>
      </c>
      <c r="J13" s="750">
        <v>128416.9</v>
      </c>
      <c r="K13" s="529">
        <v>3986.7</v>
      </c>
      <c r="L13" s="529">
        <v>3986.7</v>
      </c>
      <c r="M13" s="529">
        <v>3986.7</v>
      </c>
    </row>
    <row r="14" spans="1:30" s="144" customFormat="1">
      <c r="A14" s="692" t="s">
        <v>402</v>
      </c>
      <c r="B14" s="529">
        <f t="shared" si="0"/>
        <v>8295431</v>
      </c>
      <c r="C14" s="529">
        <f>C50</f>
        <v>0</v>
      </c>
      <c r="D14" s="529">
        <f>D50</f>
        <v>0</v>
      </c>
      <c r="E14" s="529">
        <f>E50</f>
        <v>0</v>
      </c>
      <c r="F14" s="529">
        <v>80000</v>
      </c>
      <c r="G14" s="529">
        <v>126461</v>
      </c>
      <c r="H14" s="750">
        <v>4225277</v>
      </c>
      <c r="I14" s="750">
        <v>2430741</v>
      </c>
      <c r="J14" s="750">
        <v>668155</v>
      </c>
      <c r="K14" s="529">
        <v>764797</v>
      </c>
      <c r="L14" s="529">
        <v>0</v>
      </c>
      <c r="M14" s="529">
        <v>0</v>
      </c>
    </row>
    <row r="15" spans="1:30">
      <c r="A15" s="685" t="s">
        <v>404</v>
      </c>
      <c r="B15" s="529">
        <f t="shared" si="0"/>
        <v>332661.90000000002</v>
      </c>
      <c r="C15" s="383">
        <f t="shared" ref="C15:M15" si="7">SUM(C16:C19)</f>
        <v>3000</v>
      </c>
      <c r="D15" s="383">
        <f t="shared" si="7"/>
        <v>610</v>
      </c>
      <c r="E15" s="383">
        <f t="shared" si="7"/>
        <v>7750</v>
      </c>
      <c r="F15" s="383">
        <f t="shared" si="7"/>
        <v>19476.599999999999</v>
      </c>
      <c r="G15" s="383">
        <f t="shared" si="7"/>
        <v>39101.699999999997</v>
      </c>
      <c r="H15" s="751">
        <f>H17</f>
        <v>56285.2</v>
      </c>
      <c r="I15" s="751">
        <f t="shared" si="7"/>
        <v>25915.5</v>
      </c>
      <c r="J15" s="751">
        <f t="shared" si="7"/>
        <v>132522.9</v>
      </c>
      <c r="K15" s="383">
        <f t="shared" si="7"/>
        <v>16000</v>
      </c>
      <c r="L15" s="383">
        <f t="shared" si="7"/>
        <v>16000</v>
      </c>
      <c r="M15" s="382">
        <f t="shared" si="7"/>
        <v>16000</v>
      </c>
    </row>
    <row r="16" spans="1:30">
      <c r="A16" s="686" t="s">
        <v>399</v>
      </c>
      <c r="B16" s="383">
        <f t="shared" ref="B16:M19" si="8">B52</f>
        <v>0</v>
      </c>
      <c r="C16" s="383">
        <f t="shared" si="8"/>
        <v>0</v>
      </c>
      <c r="D16" s="383">
        <f t="shared" si="8"/>
        <v>0</v>
      </c>
      <c r="E16" s="383">
        <f t="shared" si="8"/>
        <v>0</v>
      </c>
      <c r="F16" s="383">
        <f t="shared" si="8"/>
        <v>0</v>
      </c>
      <c r="G16" s="383">
        <f t="shared" si="8"/>
        <v>0</v>
      </c>
      <c r="H16" s="751">
        <f t="shared" si="8"/>
        <v>0</v>
      </c>
      <c r="I16" s="751">
        <f t="shared" si="8"/>
        <v>0</v>
      </c>
      <c r="J16" s="751">
        <f t="shared" si="8"/>
        <v>0</v>
      </c>
      <c r="K16" s="383">
        <f t="shared" si="8"/>
        <v>0</v>
      </c>
      <c r="L16" s="383">
        <f t="shared" si="8"/>
        <v>0</v>
      </c>
      <c r="M16" s="383">
        <f t="shared" si="8"/>
        <v>0</v>
      </c>
    </row>
    <row r="17" spans="1:14">
      <c r="A17" s="685" t="s">
        <v>400</v>
      </c>
      <c r="B17" s="529">
        <f t="shared" si="0"/>
        <v>332661.90000000002</v>
      </c>
      <c r="C17" s="383">
        <f t="shared" si="8"/>
        <v>3000</v>
      </c>
      <c r="D17" s="383">
        <f t="shared" si="8"/>
        <v>610</v>
      </c>
      <c r="E17" s="383">
        <v>7750</v>
      </c>
      <c r="F17" s="383">
        <v>19476.599999999999</v>
      </c>
      <c r="G17" s="383">
        <v>39101.699999999997</v>
      </c>
      <c r="H17" s="751">
        <v>56285.2</v>
      </c>
      <c r="I17" s="751">
        <v>25915.5</v>
      </c>
      <c r="J17" s="751">
        <v>132522.9</v>
      </c>
      <c r="K17" s="383">
        <v>16000</v>
      </c>
      <c r="L17" s="383">
        <v>16000</v>
      </c>
      <c r="M17" s="382">
        <v>16000</v>
      </c>
    </row>
    <row r="18" spans="1:14">
      <c r="A18" s="686" t="s">
        <v>401</v>
      </c>
      <c r="B18" s="383">
        <f t="shared" ref="B18" si="9">B54</f>
        <v>0</v>
      </c>
      <c r="C18" s="383">
        <f t="shared" si="8"/>
        <v>0</v>
      </c>
      <c r="D18" s="383">
        <f t="shared" si="8"/>
        <v>0</v>
      </c>
      <c r="E18" s="383">
        <f t="shared" si="8"/>
        <v>0</v>
      </c>
      <c r="F18" s="383">
        <f t="shared" si="8"/>
        <v>0</v>
      </c>
      <c r="G18" s="383">
        <f t="shared" si="8"/>
        <v>0</v>
      </c>
      <c r="H18" s="751">
        <f t="shared" si="8"/>
        <v>0</v>
      </c>
      <c r="I18" s="751">
        <f t="shared" si="8"/>
        <v>0</v>
      </c>
      <c r="J18" s="751">
        <f>J54</f>
        <v>0</v>
      </c>
      <c r="K18" s="383">
        <v>0</v>
      </c>
      <c r="L18" s="383">
        <v>0</v>
      </c>
      <c r="M18" s="382">
        <v>0</v>
      </c>
    </row>
    <row r="19" spans="1:14">
      <c r="A19" s="686" t="s">
        <v>402</v>
      </c>
      <c r="B19" s="383">
        <f t="shared" ref="B19" si="10">B55</f>
        <v>0</v>
      </c>
      <c r="C19" s="383">
        <f t="shared" si="8"/>
        <v>0</v>
      </c>
      <c r="D19" s="383">
        <f t="shared" si="8"/>
        <v>0</v>
      </c>
      <c r="E19" s="383">
        <f t="shared" si="8"/>
        <v>0</v>
      </c>
      <c r="F19" s="383">
        <f t="shared" si="8"/>
        <v>0</v>
      </c>
      <c r="G19" s="383">
        <f t="shared" si="8"/>
        <v>0</v>
      </c>
      <c r="H19" s="751">
        <f t="shared" si="8"/>
        <v>0</v>
      </c>
      <c r="I19" s="751">
        <f t="shared" si="8"/>
        <v>0</v>
      </c>
      <c r="J19" s="751">
        <f>J55</f>
        <v>0</v>
      </c>
      <c r="K19" s="383">
        <v>0</v>
      </c>
      <c r="L19" s="383">
        <v>0</v>
      </c>
      <c r="M19" s="382">
        <v>0</v>
      </c>
    </row>
    <row r="20" spans="1:14">
      <c r="A20" s="685" t="s">
        <v>405</v>
      </c>
      <c r="B20" s="529">
        <f t="shared" si="0"/>
        <v>101541744.2</v>
      </c>
      <c r="C20" s="383">
        <f t="shared" ref="C20:M20" si="11">SUM(C21:C24)</f>
        <v>5664900.5</v>
      </c>
      <c r="D20" s="383">
        <f t="shared" si="11"/>
        <v>7322584.4000000004</v>
      </c>
      <c r="E20" s="383">
        <f t="shared" si="11"/>
        <v>7779299.2000000002</v>
      </c>
      <c r="F20" s="383">
        <f t="shared" si="11"/>
        <v>8684857.9000000004</v>
      </c>
      <c r="G20" s="383">
        <f t="shared" si="11"/>
        <v>11602688.199999999</v>
      </c>
      <c r="H20" s="751">
        <f t="shared" si="11"/>
        <v>10875115.300000001</v>
      </c>
      <c r="I20" s="751">
        <f t="shared" si="11"/>
        <v>12136204</v>
      </c>
      <c r="J20" s="751">
        <f t="shared" si="11"/>
        <v>13861774.699999999</v>
      </c>
      <c r="K20" s="383">
        <f t="shared" si="11"/>
        <v>7871440</v>
      </c>
      <c r="L20" s="383">
        <f t="shared" si="11"/>
        <v>7871440</v>
      </c>
      <c r="M20" s="382">
        <f t="shared" si="11"/>
        <v>7871440</v>
      </c>
    </row>
    <row r="21" spans="1:14" s="144" customFormat="1">
      <c r="A21" s="681" t="s">
        <v>399</v>
      </c>
      <c r="B21" s="529">
        <f t="shared" si="0"/>
        <v>4764315.8</v>
      </c>
      <c r="C21" s="383">
        <v>457365.1</v>
      </c>
      <c r="D21" s="383">
        <v>108000</v>
      </c>
      <c r="E21" s="383">
        <v>809637.7</v>
      </c>
      <c r="F21" s="383">
        <v>769174.1</v>
      </c>
      <c r="G21" s="383">
        <f>1957938.9</f>
        <v>1957938.9</v>
      </c>
      <c r="H21" s="751">
        <v>632200</v>
      </c>
      <c r="I21" s="751">
        <v>30000</v>
      </c>
      <c r="J21" s="751">
        <v>0</v>
      </c>
      <c r="K21" s="383">
        <v>0</v>
      </c>
      <c r="L21" s="383">
        <v>0</v>
      </c>
      <c r="M21" s="383">
        <v>0</v>
      </c>
    </row>
    <row r="22" spans="1:14" s="144" customFormat="1">
      <c r="A22" s="687" t="s">
        <v>400</v>
      </c>
      <c r="B22" s="529">
        <f t="shared" si="0"/>
        <v>94086229.799999997</v>
      </c>
      <c r="C22" s="383">
        <v>5154450.2</v>
      </c>
      <c r="D22" s="383">
        <v>7093858.7000000002</v>
      </c>
      <c r="E22" s="383">
        <f>6809245.1+20000+66.4</f>
        <v>6829311.5</v>
      </c>
      <c r="F22" s="383">
        <f>7676572.8+16700+99475.2</f>
        <v>7792748</v>
      </c>
      <c r="G22" s="383">
        <v>9198538.6999999993</v>
      </c>
      <c r="H22" s="751">
        <f>9158075.9-H17+310000</f>
        <v>9411790.7000000011</v>
      </c>
      <c r="I22" s="751">
        <f>11371676.7-I17+310000</f>
        <v>11655761.199999999</v>
      </c>
      <c r="J22" s="751">
        <f>13385229.7-J17+310000</f>
        <v>13562706.799999999</v>
      </c>
      <c r="K22" s="383">
        <v>7795688</v>
      </c>
      <c r="L22" s="383">
        <v>7795688</v>
      </c>
      <c r="M22" s="383">
        <v>7795688</v>
      </c>
    </row>
    <row r="23" spans="1:14" s="144" customFormat="1">
      <c r="A23" s="681" t="s">
        <v>401</v>
      </c>
      <c r="B23" s="529">
        <f t="shared" si="0"/>
        <v>2691198.6</v>
      </c>
      <c r="C23" s="383">
        <v>53085.2</v>
      </c>
      <c r="D23" s="383">
        <v>120725.7</v>
      </c>
      <c r="E23" s="383">
        <f>139297.4+1052.6</f>
        <v>140350</v>
      </c>
      <c r="F23" s="383">
        <f>117756.8+968.4+4210.6</f>
        <v>122935.8</v>
      </c>
      <c r="G23" s="383">
        <v>446210.6</v>
      </c>
      <c r="H23" s="751">
        <f>861662.8-H13</f>
        <v>831124.60000000009</v>
      </c>
      <c r="I23" s="751">
        <f>512972-I13</f>
        <v>450442.8</v>
      </c>
      <c r="J23" s="751">
        <f>427484.8-J13</f>
        <v>299067.90000000002</v>
      </c>
      <c r="K23" s="383">
        <v>75752</v>
      </c>
      <c r="L23" s="383">
        <v>75752</v>
      </c>
      <c r="M23" s="383">
        <v>75752</v>
      </c>
    </row>
    <row r="24" spans="1:14" s="144" customFormat="1">
      <c r="A24" s="681" t="s">
        <v>402</v>
      </c>
      <c r="B24" s="383">
        <f t="shared" ref="B24:J24" si="12">B60</f>
        <v>0</v>
      </c>
      <c r="C24" s="383">
        <f t="shared" si="12"/>
        <v>0</v>
      </c>
      <c r="D24" s="383">
        <f t="shared" si="12"/>
        <v>0</v>
      </c>
      <c r="E24" s="383">
        <f t="shared" si="12"/>
        <v>0</v>
      </c>
      <c r="F24" s="383">
        <f t="shared" si="12"/>
        <v>0</v>
      </c>
      <c r="G24" s="383">
        <f t="shared" si="12"/>
        <v>0</v>
      </c>
      <c r="H24" s="751">
        <f t="shared" si="12"/>
        <v>0</v>
      </c>
      <c r="I24" s="751">
        <f t="shared" si="12"/>
        <v>0</v>
      </c>
      <c r="J24" s="751">
        <f t="shared" si="12"/>
        <v>0</v>
      </c>
      <c r="K24" s="383">
        <v>0</v>
      </c>
      <c r="L24" s="383">
        <v>0</v>
      </c>
      <c r="M24" s="383">
        <v>0</v>
      </c>
    </row>
    <row r="25" spans="1:14" s="144" customFormat="1">
      <c r="A25" s="684" t="s">
        <v>1010</v>
      </c>
      <c r="B25" s="682">
        <v>0</v>
      </c>
      <c r="C25" s="682">
        <v>0</v>
      </c>
      <c r="D25" s="682">
        <v>0</v>
      </c>
      <c r="E25" s="682">
        <v>0</v>
      </c>
      <c r="F25" s="682">
        <v>0</v>
      </c>
      <c r="G25" s="682">
        <v>0</v>
      </c>
      <c r="H25" s="752">
        <v>0</v>
      </c>
      <c r="I25" s="752">
        <v>0</v>
      </c>
      <c r="J25" s="752">
        <v>0</v>
      </c>
      <c r="K25" s="682">
        <v>0</v>
      </c>
      <c r="L25" s="682">
        <v>0</v>
      </c>
      <c r="M25" s="682">
        <v>0</v>
      </c>
    </row>
    <row r="26" spans="1:14" s="144" customFormat="1">
      <c r="A26" s="617"/>
      <c r="B26" s="618"/>
      <c r="C26" s="618"/>
      <c r="D26" s="618"/>
      <c r="E26" s="618"/>
      <c r="F26" s="618"/>
      <c r="G26" s="618"/>
      <c r="H26" s="753"/>
      <c r="I26" s="753"/>
      <c r="J26" s="753"/>
      <c r="K26" s="618"/>
      <c r="L26" s="618"/>
      <c r="M26" s="389"/>
    </row>
    <row r="27" spans="1:14">
      <c r="A27" s="1090" t="s">
        <v>772</v>
      </c>
      <c r="B27" s="1091"/>
      <c r="C27" s="1091"/>
      <c r="D27" s="1091"/>
      <c r="E27" s="1091"/>
      <c r="F27" s="1091"/>
      <c r="G27" s="1091"/>
      <c r="H27" s="1091"/>
      <c r="I27" s="1091"/>
      <c r="J27" s="1091"/>
      <c r="K27" s="1091"/>
      <c r="L27" s="1091"/>
      <c r="M27" s="1092"/>
    </row>
    <row r="28" spans="1:14">
      <c r="A28" s="688" t="s">
        <v>398</v>
      </c>
      <c r="B28" s="383">
        <f>G28+H28+I28</f>
        <v>2003713.1</v>
      </c>
      <c r="C28" s="383">
        <v>0</v>
      </c>
      <c r="D28" s="383">
        <v>0</v>
      </c>
      <c r="E28" s="383">
        <v>0</v>
      </c>
      <c r="F28" s="383">
        <v>0</v>
      </c>
      <c r="G28" s="383">
        <f>G29+G30</f>
        <v>527684.4</v>
      </c>
      <c r="H28" s="751">
        <f t="shared" ref="H28:I28" si="13">H30</f>
        <v>447176.9</v>
      </c>
      <c r="I28" s="751">
        <f t="shared" si="13"/>
        <v>1028851.8</v>
      </c>
      <c r="J28" s="751">
        <v>0</v>
      </c>
      <c r="K28" s="383">
        <v>0</v>
      </c>
      <c r="L28" s="383">
        <v>0</v>
      </c>
      <c r="M28" s="382">
        <v>0</v>
      </c>
      <c r="N28">
        <v>0</v>
      </c>
    </row>
    <row r="29" spans="1:14">
      <c r="A29" s="683" t="s">
        <v>773</v>
      </c>
      <c r="B29" s="383">
        <f t="shared" ref="B29:B37" si="14">G29+H29+I29</f>
        <v>200000</v>
      </c>
      <c r="C29" s="383">
        <v>0</v>
      </c>
      <c r="D29" s="383">
        <v>0</v>
      </c>
      <c r="E29" s="383">
        <v>0</v>
      </c>
      <c r="F29" s="383">
        <v>0</v>
      </c>
      <c r="G29" s="383">
        <f>G34</f>
        <v>200000</v>
      </c>
      <c r="H29" s="751">
        <v>0</v>
      </c>
      <c r="I29" s="751">
        <v>0</v>
      </c>
      <c r="J29" s="751">
        <v>0</v>
      </c>
      <c r="K29" s="383">
        <v>0</v>
      </c>
      <c r="L29" s="383">
        <v>0</v>
      </c>
      <c r="M29" s="382">
        <v>0</v>
      </c>
    </row>
    <row r="30" spans="1:14">
      <c r="A30" s="683" t="s">
        <v>400</v>
      </c>
      <c r="B30" s="383">
        <f t="shared" si="14"/>
        <v>1803713.1</v>
      </c>
      <c r="C30" s="383">
        <v>0</v>
      </c>
      <c r="D30" s="383">
        <v>0</v>
      </c>
      <c r="E30" s="383">
        <v>0</v>
      </c>
      <c r="F30" s="383">
        <v>0</v>
      </c>
      <c r="G30" s="383">
        <f>G35</f>
        <v>327684.40000000002</v>
      </c>
      <c r="H30" s="751">
        <f>H33</f>
        <v>447176.9</v>
      </c>
      <c r="I30" s="751">
        <f>I35</f>
        <v>1028851.8</v>
      </c>
      <c r="J30" s="751">
        <v>0</v>
      </c>
      <c r="K30" s="382">
        <v>0</v>
      </c>
      <c r="L30" s="382">
        <v>0</v>
      </c>
      <c r="M30" s="382">
        <v>0</v>
      </c>
      <c r="N30" s="465">
        <v>0</v>
      </c>
    </row>
    <row r="31" spans="1:14">
      <c r="A31" s="683" t="s">
        <v>774</v>
      </c>
      <c r="B31" s="383">
        <f t="shared" si="14"/>
        <v>0</v>
      </c>
      <c r="C31" s="383">
        <v>0</v>
      </c>
      <c r="D31" s="383">
        <v>0</v>
      </c>
      <c r="E31" s="383">
        <v>0</v>
      </c>
      <c r="F31" s="383">
        <v>0</v>
      </c>
      <c r="G31" s="383">
        <v>0</v>
      </c>
      <c r="H31" s="751">
        <v>0</v>
      </c>
      <c r="I31" s="751">
        <v>0</v>
      </c>
      <c r="J31" s="751">
        <v>0</v>
      </c>
      <c r="K31" s="382">
        <v>0</v>
      </c>
      <c r="L31" s="382">
        <v>0</v>
      </c>
      <c r="M31" s="382">
        <v>0</v>
      </c>
      <c r="N31" s="465">
        <v>0</v>
      </c>
    </row>
    <row r="32" spans="1:14">
      <c r="A32" s="683" t="s">
        <v>775</v>
      </c>
      <c r="B32" s="383">
        <f t="shared" si="14"/>
        <v>0</v>
      </c>
      <c r="C32" s="383">
        <v>0</v>
      </c>
      <c r="D32" s="383">
        <v>0</v>
      </c>
      <c r="E32" s="383">
        <v>0</v>
      </c>
      <c r="F32" s="383">
        <v>0</v>
      </c>
      <c r="G32" s="383">
        <v>0</v>
      </c>
      <c r="H32" s="751">
        <v>0</v>
      </c>
      <c r="I32" s="751">
        <v>0</v>
      </c>
      <c r="J32" s="751">
        <v>0</v>
      </c>
      <c r="K32" s="383">
        <v>0</v>
      </c>
      <c r="L32" s="383">
        <v>0</v>
      </c>
      <c r="M32" s="382">
        <v>0</v>
      </c>
    </row>
    <row r="33" spans="1:14">
      <c r="A33" s="683" t="s">
        <v>403</v>
      </c>
      <c r="B33" s="383">
        <f t="shared" si="14"/>
        <v>2003713.1</v>
      </c>
      <c r="C33" s="383">
        <v>0</v>
      </c>
      <c r="D33" s="383">
        <v>0</v>
      </c>
      <c r="E33" s="383">
        <v>0</v>
      </c>
      <c r="F33" s="383">
        <v>0</v>
      </c>
      <c r="G33" s="383">
        <f>G34+G35</f>
        <v>527684.4</v>
      </c>
      <c r="H33" s="751">
        <f t="shared" ref="H33:I33" si="15">H35</f>
        <v>447176.9</v>
      </c>
      <c r="I33" s="751">
        <f t="shared" si="15"/>
        <v>1028851.8</v>
      </c>
      <c r="J33" s="751">
        <v>0</v>
      </c>
      <c r="K33" s="383">
        <v>0</v>
      </c>
      <c r="L33" s="383">
        <v>0</v>
      </c>
      <c r="M33" s="382">
        <v>0</v>
      </c>
    </row>
    <row r="34" spans="1:14">
      <c r="A34" s="683" t="s">
        <v>773</v>
      </c>
      <c r="B34" s="383">
        <f t="shared" si="14"/>
        <v>200000</v>
      </c>
      <c r="C34" s="383">
        <v>0</v>
      </c>
      <c r="D34" s="383">
        <v>0</v>
      </c>
      <c r="E34" s="383">
        <v>0</v>
      </c>
      <c r="F34" s="383">
        <v>0</v>
      </c>
      <c r="G34" s="383">
        <v>200000</v>
      </c>
      <c r="H34" s="751">
        <v>0</v>
      </c>
      <c r="I34" s="751">
        <v>0</v>
      </c>
      <c r="J34" s="751">
        <v>0</v>
      </c>
      <c r="K34" s="383">
        <v>0</v>
      </c>
      <c r="L34" s="383">
        <v>0</v>
      </c>
      <c r="M34" s="382">
        <v>0</v>
      </c>
    </row>
    <row r="35" spans="1:14">
      <c r="A35" s="683" t="s">
        <v>400</v>
      </c>
      <c r="B35" s="383">
        <f t="shared" si="14"/>
        <v>1803713.1</v>
      </c>
      <c r="C35" s="383">
        <v>0</v>
      </c>
      <c r="D35" s="383">
        <v>0</v>
      </c>
      <c r="E35" s="383">
        <v>0</v>
      </c>
      <c r="F35" s="383">
        <v>0</v>
      </c>
      <c r="G35" s="383">
        <v>327684.40000000002</v>
      </c>
      <c r="H35" s="751">
        <v>447176.9</v>
      </c>
      <c r="I35" s="751">
        <v>1028851.8</v>
      </c>
      <c r="J35" s="751">
        <v>0</v>
      </c>
      <c r="K35" s="383">
        <v>0</v>
      </c>
      <c r="L35" s="383">
        <v>0</v>
      </c>
      <c r="M35" s="382">
        <v>0</v>
      </c>
    </row>
    <row r="36" spans="1:14">
      <c r="A36" s="683" t="s">
        <v>774</v>
      </c>
      <c r="B36" s="383">
        <f t="shared" si="14"/>
        <v>0</v>
      </c>
      <c r="C36" s="383">
        <v>0</v>
      </c>
      <c r="D36" s="383">
        <v>0</v>
      </c>
      <c r="E36" s="383">
        <v>0</v>
      </c>
      <c r="F36" s="383">
        <v>0</v>
      </c>
      <c r="G36" s="383">
        <v>0</v>
      </c>
      <c r="H36" s="751">
        <v>0</v>
      </c>
      <c r="I36" s="751">
        <v>0</v>
      </c>
      <c r="J36" s="751"/>
      <c r="K36" s="383">
        <v>0</v>
      </c>
      <c r="L36" s="383">
        <v>0</v>
      </c>
      <c r="M36" s="382">
        <v>0</v>
      </c>
    </row>
    <row r="37" spans="1:14">
      <c r="A37" s="683" t="s">
        <v>775</v>
      </c>
      <c r="B37" s="383">
        <f t="shared" si="14"/>
        <v>0</v>
      </c>
      <c r="C37" s="383">
        <v>0</v>
      </c>
      <c r="D37" s="383">
        <v>0</v>
      </c>
      <c r="E37" s="383">
        <v>0</v>
      </c>
      <c r="F37" s="383">
        <v>0</v>
      </c>
      <c r="G37" s="383">
        <v>0</v>
      </c>
      <c r="H37" s="751">
        <v>0</v>
      </c>
      <c r="I37" s="751">
        <v>0</v>
      </c>
      <c r="J37" s="751">
        <v>0</v>
      </c>
      <c r="K37" s="383">
        <v>0</v>
      </c>
      <c r="L37" s="383">
        <v>0</v>
      </c>
      <c r="M37" s="382">
        <v>0</v>
      </c>
    </row>
    <row r="38" spans="1:14">
      <c r="A38" s="683" t="s">
        <v>1010</v>
      </c>
      <c r="B38" s="383">
        <v>0</v>
      </c>
      <c r="C38" s="383">
        <v>0</v>
      </c>
      <c r="D38" s="383">
        <v>0</v>
      </c>
      <c r="E38" s="383">
        <v>0</v>
      </c>
      <c r="F38" s="383">
        <v>0</v>
      </c>
      <c r="G38" s="383">
        <v>0</v>
      </c>
      <c r="H38" s="751">
        <v>0</v>
      </c>
      <c r="I38" s="751">
        <v>0</v>
      </c>
      <c r="J38" s="751">
        <v>0</v>
      </c>
      <c r="K38" s="383">
        <v>0</v>
      </c>
      <c r="L38" s="383">
        <v>0</v>
      </c>
      <c r="M38" s="382">
        <v>0</v>
      </c>
    </row>
    <row r="39" spans="1:14">
      <c r="A39" s="626"/>
      <c r="B39" s="618"/>
      <c r="C39" s="618">
        <f>G39-B39</f>
        <v>29194.099999999627</v>
      </c>
      <c r="D39" s="618"/>
      <c r="E39" s="618"/>
      <c r="F39" s="618"/>
      <c r="G39" s="618">
        <f>G43-12248528.1</f>
        <v>29194.099999999627</v>
      </c>
      <c r="H39" s="753">
        <f>H46-H49</f>
        <v>8455147.8000000007</v>
      </c>
      <c r="I39" s="753"/>
      <c r="J39" s="753"/>
      <c r="K39" s="203"/>
      <c r="L39" s="203"/>
      <c r="M39" s="203"/>
    </row>
    <row r="40" spans="1:14" ht="20.25" customHeight="1">
      <c r="A40" s="1094" t="s">
        <v>406</v>
      </c>
      <c r="B40" s="1095"/>
      <c r="C40" s="1095"/>
      <c r="D40" s="1095"/>
      <c r="E40" s="1095"/>
      <c r="F40" s="1095"/>
      <c r="G40" s="1095"/>
      <c r="H40" s="1095"/>
      <c r="I40" s="1095"/>
      <c r="J40" s="1095"/>
      <c r="K40" s="1095"/>
      <c r="L40" s="1095"/>
      <c r="M40" s="1096"/>
    </row>
    <row r="41" spans="1:14">
      <c r="A41" s="685" t="s">
        <v>398</v>
      </c>
      <c r="B41" s="383">
        <f t="shared" ref="B41:B60" si="16">SUM(C41:M41)</f>
        <v>163309827.19999996</v>
      </c>
      <c r="C41" s="383">
        <f t="shared" ref="C41:M41" si="17">SUM(C42:C45)</f>
        <v>7389522.1000000006</v>
      </c>
      <c r="D41" s="383">
        <v>8542648.9000000004</v>
      </c>
      <c r="E41" s="383">
        <f t="shared" si="17"/>
        <v>9673332</v>
      </c>
      <c r="F41" s="383">
        <f t="shared" si="17"/>
        <v>11700623.800000001</v>
      </c>
      <c r="G41" s="383">
        <f>G42+G43+G44+G45</f>
        <v>17860530.700000003</v>
      </c>
      <c r="H41" s="751">
        <f t="shared" si="17"/>
        <v>19417086.500000004</v>
      </c>
      <c r="I41" s="751">
        <f t="shared" si="17"/>
        <v>27839657.100000001</v>
      </c>
      <c r="J41" s="751">
        <f t="shared" si="17"/>
        <v>26807908.999999996</v>
      </c>
      <c r="K41" s="382">
        <f t="shared" si="17"/>
        <v>14395663.699999999</v>
      </c>
      <c r="L41" s="382">
        <f t="shared" si="17"/>
        <v>9841426.6999999993</v>
      </c>
      <c r="M41" s="382">
        <f t="shared" si="17"/>
        <v>9841426.6999999993</v>
      </c>
    </row>
    <row r="42" spans="1:14">
      <c r="A42" s="686" t="s">
        <v>399</v>
      </c>
      <c r="B42" s="383">
        <f t="shared" si="16"/>
        <v>34650408.719999999</v>
      </c>
      <c r="C42" s="383">
        <f t="shared" ref="C42:E45" si="18">C47+C52+C57</f>
        <v>1562163.2000000002</v>
      </c>
      <c r="D42" s="383">
        <f t="shared" si="18"/>
        <v>733434.82</v>
      </c>
      <c r="E42" s="383">
        <f t="shared" si="18"/>
        <v>1254745.3999999999</v>
      </c>
      <c r="F42" s="383">
        <f>F47+F57</f>
        <v>1503269.9</v>
      </c>
      <c r="G42" s="383">
        <f t="shared" ref="G42:M45" si="19">G47+G52+G57</f>
        <v>5002561.9000000004</v>
      </c>
      <c r="H42" s="751">
        <f t="shared" si="19"/>
        <v>2229815.2999999998</v>
      </c>
      <c r="I42" s="751">
        <f t="shared" si="19"/>
        <v>9206790.0999999996</v>
      </c>
      <c r="J42" s="751">
        <f t="shared" si="19"/>
        <v>9368188.0999999996</v>
      </c>
      <c r="K42" s="382">
        <f t="shared" si="19"/>
        <v>3789440</v>
      </c>
      <c r="L42" s="382">
        <f t="shared" si="19"/>
        <v>0</v>
      </c>
      <c r="M42" s="382">
        <f t="shared" si="19"/>
        <v>0</v>
      </c>
    </row>
    <row r="43" spans="1:14">
      <c r="A43" s="685" t="s">
        <v>400</v>
      </c>
      <c r="B43" s="383">
        <f t="shared" si="16"/>
        <v>117065889.59999999</v>
      </c>
      <c r="C43" s="383">
        <f t="shared" si="18"/>
        <v>5446414.7000000002</v>
      </c>
      <c r="D43" s="383">
        <f t="shared" si="18"/>
        <v>7684169.6000000006</v>
      </c>
      <c r="E43" s="383">
        <f t="shared" si="18"/>
        <v>8270169.5</v>
      </c>
      <c r="F43" s="383">
        <f>F48+F53+F58</f>
        <v>9968783.0999999996</v>
      </c>
      <c r="G43" s="383">
        <f t="shared" si="19"/>
        <v>12277722.199999999</v>
      </c>
      <c r="H43" s="751">
        <f t="shared" si="19"/>
        <v>12100331.400000002</v>
      </c>
      <c r="I43" s="751">
        <f t="shared" si="19"/>
        <v>15689154</v>
      </c>
      <c r="J43" s="751">
        <f t="shared" si="19"/>
        <v>16344081.099999998</v>
      </c>
      <c r="K43" s="382">
        <f t="shared" si="19"/>
        <v>9761688</v>
      </c>
      <c r="L43" s="382">
        <f t="shared" si="19"/>
        <v>9761688</v>
      </c>
      <c r="M43" s="382">
        <f t="shared" si="19"/>
        <v>9761688</v>
      </c>
    </row>
    <row r="44" spans="1:14">
      <c r="A44" s="686" t="s">
        <v>401</v>
      </c>
      <c r="B44" s="383">
        <f t="shared" si="16"/>
        <v>3298097.9000000004</v>
      </c>
      <c r="C44" s="383">
        <f t="shared" si="18"/>
        <v>380944.2</v>
      </c>
      <c r="D44" s="383">
        <f t="shared" si="18"/>
        <v>125044.5</v>
      </c>
      <c r="E44" s="383">
        <f t="shared" si="18"/>
        <v>148417.1</v>
      </c>
      <c r="F44" s="383">
        <f>F49+F59</f>
        <v>148570.79999999999</v>
      </c>
      <c r="G44" s="383">
        <f t="shared" si="19"/>
        <v>453785.59999999998</v>
      </c>
      <c r="H44" s="751">
        <f t="shared" si="19"/>
        <v>861662.8</v>
      </c>
      <c r="I44" s="751">
        <f t="shared" si="19"/>
        <v>512972</v>
      </c>
      <c r="J44" s="751">
        <f t="shared" si="19"/>
        <v>427484.80000000005</v>
      </c>
      <c r="K44" s="383">
        <f t="shared" si="19"/>
        <v>79738.7</v>
      </c>
      <c r="L44" s="383">
        <f t="shared" si="19"/>
        <v>79738.7</v>
      </c>
      <c r="M44" s="382">
        <f t="shared" si="19"/>
        <v>79738.7</v>
      </c>
    </row>
    <row r="45" spans="1:14">
      <c r="A45" s="686" t="s">
        <v>402</v>
      </c>
      <c r="B45" s="383">
        <f t="shared" si="16"/>
        <v>8295431</v>
      </c>
      <c r="C45" s="383">
        <f t="shared" si="18"/>
        <v>0</v>
      </c>
      <c r="D45" s="383">
        <f t="shared" si="18"/>
        <v>0</v>
      </c>
      <c r="E45" s="383">
        <f t="shared" si="18"/>
        <v>0</v>
      </c>
      <c r="F45" s="383">
        <f>F50+F55+F60</f>
        <v>80000</v>
      </c>
      <c r="G45" s="383">
        <f t="shared" si="19"/>
        <v>126461</v>
      </c>
      <c r="H45" s="751">
        <f t="shared" si="19"/>
        <v>4225277</v>
      </c>
      <c r="I45" s="751">
        <f t="shared" si="19"/>
        <v>2430741</v>
      </c>
      <c r="J45" s="751">
        <f t="shared" si="19"/>
        <v>668155</v>
      </c>
      <c r="K45" s="382">
        <f t="shared" si="19"/>
        <v>764797</v>
      </c>
      <c r="L45" s="382">
        <f t="shared" si="19"/>
        <v>0</v>
      </c>
      <c r="M45" s="382">
        <f t="shared" si="19"/>
        <v>0</v>
      </c>
    </row>
    <row r="46" spans="1:14" ht="19.5" customHeight="1">
      <c r="A46" s="685" t="s">
        <v>403</v>
      </c>
      <c r="B46" s="383">
        <f t="shared" si="16"/>
        <v>61435421.120000005</v>
      </c>
      <c r="C46" s="383">
        <f>SUM(C47:C50)</f>
        <v>1721621.6</v>
      </c>
      <c r="D46" s="383">
        <f>SUM(D47:D50)</f>
        <v>1219454.52</v>
      </c>
      <c r="E46" s="383">
        <f>SUM(E47:E50)</f>
        <v>1886282.8</v>
      </c>
      <c r="F46" s="383">
        <f>SUM(F47:F50)</f>
        <v>2996289.3</v>
      </c>
      <c r="G46" s="383">
        <f t="shared" ref="G46:M46" si="20">SUM(G47:G50)</f>
        <v>6218740.7999999998</v>
      </c>
      <c r="H46" s="751">
        <f t="shared" si="20"/>
        <v>8485686</v>
      </c>
      <c r="I46" s="751">
        <f t="shared" si="20"/>
        <v>15677537.599999998</v>
      </c>
      <c r="J46" s="751">
        <f t="shared" si="20"/>
        <v>12813611.4</v>
      </c>
      <c r="K46" s="383">
        <f t="shared" si="20"/>
        <v>6508223.7000000002</v>
      </c>
      <c r="L46" s="383">
        <f t="shared" si="20"/>
        <v>1953986.7</v>
      </c>
      <c r="M46" s="382">
        <f t="shared" si="20"/>
        <v>1953986.7</v>
      </c>
      <c r="N46" s="205">
        <f>C46+D46+E46+F46+G46+H46+I46+J46</f>
        <v>51019224.019999996</v>
      </c>
    </row>
    <row r="47" spans="1:14" s="144" customFormat="1">
      <c r="A47" s="681" t="s">
        <v>399</v>
      </c>
      <c r="B47" s="383">
        <f t="shared" si="16"/>
        <v>29886092.920000002</v>
      </c>
      <c r="C47" s="383">
        <v>1104798.1000000001</v>
      </c>
      <c r="D47" s="383">
        <v>625434.81999999995</v>
      </c>
      <c r="E47" s="383">
        <v>445107.7</v>
      </c>
      <c r="F47" s="383">
        <v>734095.8</v>
      </c>
      <c r="G47" s="383">
        <f t="shared" ref="G47:M50" si="21">G11+G34</f>
        <v>3044623</v>
      </c>
      <c r="H47" s="751">
        <f t="shared" si="21"/>
        <v>1597615.3</v>
      </c>
      <c r="I47" s="751">
        <f t="shared" si="21"/>
        <v>9176790.0999999996</v>
      </c>
      <c r="J47" s="751">
        <f t="shared" si="21"/>
        <v>9368188.0999999996</v>
      </c>
      <c r="K47" s="383">
        <f t="shared" si="21"/>
        <v>3789440</v>
      </c>
      <c r="L47" s="383">
        <f t="shared" si="21"/>
        <v>0</v>
      </c>
      <c r="M47" s="383">
        <f t="shared" si="21"/>
        <v>0</v>
      </c>
    </row>
    <row r="48" spans="1:14" s="144" customFormat="1">
      <c r="A48" s="687" t="s">
        <v>400</v>
      </c>
      <c r="B48" s="383">
        <f t="shared" si="16"/>
        <v>22646997.899999999</v>
      </c>
      <c r="C48" s="383">
        <v>288964.5</v>
      </c>
      <c r="D48" s="383">
        <v>589700.9</v>
      </c>
      <c r="E48" s="383">
        <f>1429700.5+3474-66.5</f>
        <v>1433108</v>
      </c>
      <c r="F48" s="383">
        <f>1831999.9+324558.6</f>
        <v>2156558.5</v>
      </c>
      <c r="G48" s="383">
        <f t="shared" si="21"/>
        <v>3040081.8</v>
      </c>
      <c r="H48" s="751">
        <f t="shared" si="21"/>
        <v>2632255.5</v>
      </c>
      <c r="I48" s="751">
        <f t="shared" si="21"/>
        <v>4007477.3</v>
      </c>
      <c r="J48" s="751">
        <f t="shared" si="21"/>
        <v>2648851.4</v>
      </c>
      <c r="K48" s="383">
        <f t="shared" si="21"/>
        <v>1950000</v>
      </c>
      <c r="L48" s="383">
        <f t="shared" si="21"/>
        <v>1950000</v>
      </c>
      <c r="M48" s="383">
        <f t="shared" si="21"/>
        <v>1950000</v>
      </c>
    </row>
    <row r="49" spans="1:14" s="144" customFormat="1">
      <c r="A49" s="681" t="s">
        <v>401</v>
      </c>
      <c r="B49" s="383">
        <f t="shared" si="16"/>
        <v>606899.29999999981</v>
      </c>
      <c r="C49" s="383">
        <v>327859</v>
      </c>
      <c r="D49" s="383">
        <v>4318.8</v>
      </c>
      <c r="E49" s="383">
        <v>8067.1</v>
      </c>
      <c r="F49" s="383">
        <v>25635</v>
      </c>
      <c r="G49" s="383">
        <f t="shared" si="21"/>
        <v>7575</v>
      </c>
      <c r="H49" s="751">
        <f t="shared" si="21"/>
        <v>30538.2</v>
      </c>
      <c r="I49" s="751">
        <f t="shared" si="21"/>
        <v>62529.2</v>
      </c>
      <c r="J49" s="751">
        <f t="shared" si="21"/>
        <v>128416.9</v>
      </c>
      <c r="K49" s="383">
        <f t="shared" si="21"/>
        <v>3986.7</v>
      </c>
      <c r="L49" s="383">
        <f t="shared" si="21"/>
        <v>3986.7</v>
      </c>
      <c r="M49" s="383">
        <f t="shared" si="21"/>
        <v>3986.7</v>
      </c>
    </row>
    <row r="50" spans="1:14" s="144" customFormat="1">
      <c r="A50" s="681" t="s">
        <v>402</v>
      </c>
      <c r="B50" s="383">
        <f t="shared" si="16"/>
        <v>8295431</v>
      </c>
      <c r="C50" s="383">
        <v>0</v>
      </c>
      <c r="D50" s="383">
        <v>0</v>
      </c>
      <c r="E50" s="383">
        <v>0</v>
      </c>
      <c r="F50" s="383">
        <v>80000</v>
      </c>
      <c r="G50" s="383">
        <f t="shared" si="21"/>
        <v>126461</v>
      </c>
      <c r="H50" s="751">
        <f t="shared" si="21"/>
        <v>4225277</v>
      </c>
      <c r="I50" s="751">
        <f t="shared" si="21"/>
        <v>2430741</v>
      </c>
      <c r="J50" s="751">
        <f t="shared" si="21"/>
        <v>668155</v>
      </c>
      <c r="K50" s="383">
        <f t="shared" si="21"/>
        <v>764797</v>
      </c>
      <c r="L50" s="383">
        <f t="shared" si="21"/>
        <v>0</v>
      </c>
      <c r="M50" s="383">
        <f t="shared" si="21"/>
        <v>0</v>
      </c>
    </row>
    <row r="51" spans="1:14" s="144" customFormat="1">
      <c r="A51" s="681" t="s">
        <v>404</v>
      </c>
      <c r="B51" s="383">
        <f t="shared" si="16"/>
        <v>332661.90000000002</v>
      </c>
      <c r="C51" s="383">
        <f>SUM(C52:C55)</f>
        <v>3000</v>
      </c>
      <c r="D51" s="383">
        <f>SUM(D52:D55)</f>
        <v>610</v>
      </c>
      <c r="E51" s="383">
        <f>SUM(E52:E55)</f>
        <v>7750</v>
      </c>
      <c r="F51" s="383">
        <f>SUM(F52:F55)</f>
        <v>19476.599999999999</v>
      </c>
      <c r="G51" s="383">
        <f>G52+G53+G54+G55</f>
        <v>39101.699999999997</v>
      </c>
      <c r="H51" s="751">
        <f t="shared" ref="H51:I51" si="22">H52+H53+H54+H55</f>
        <v>56285.2</v>
      </c>
      <c r="I51" s="751">
        <f t="shared" si="22"/>
        <v>25915.5</v>
      </c>
      <c r="J51" s="751">
        <f>SUM(J52:J55)</f>
        <v>132522.9</v>
      </c>
      <c r="K51" s="383">
        <f>SUM(K52:K55)</f>
        <v>16000</v>
      </c>
      <c r="L51" s="383">
        <f>SUM(L52:L55)</f>
        <v>16000</v>
      </c>
      <c r="M51" s="383">
        <f>SUM(M52:M55)</f>
        <v>16000</v>
      </c>
      <c r="N51" s="182">
        <f>7684169.6-D53-D48</f>
        <v>7093858.6999999993</v>
      </c>
    </row>
    <row r="52" spans="1:14" s="144" customFormat="1">
      <c r="A52" s="681" t="s">
        <v>399</v>
      </c>
      <c r="B52" s="383">
        <f t="shared" si="16"/>
        <v>0</v>
      </c>
      <c r="C52" s="383">
        <v>0</v>
      </c>
      <c r="D52" s="383">
        <v>0</v>
      </c>
      <c r="E52" s="383">
        <v>0</v>
      </c>
      <c r="F52" s="383">
        <v>0</v>
      </c>
      <c r="G52" s="383">
        <v>0</v>
      </c>
      <c r="H52" s="751">
        <v>0</v>
      </c>
      <c r="I52" s="751">
        <v>0</v>
      </c>
      <c r="J52" s="751">
        <v>0</v>
      </c>
      <c r="K52" s="383">
        <v>0</v>
      </c>
      <c r="L52" s="383">
        <v>0</v>
      </c>
      <c r="M52" s="383">
        <v>0</v>
      </c>
    </row>
    <row r="53" spans="1:14" s="144" customFormat="1">
      <c r="A53" s="687" t="s">
        <v>400</v>
      </c>
      <c r="B53" s="383">
        <f t="shared" si="16"/>
        <v>332661.90000000002</v>
      </c>
      <c r="C53" s="383">
        <v>3000</v>
      </c>
      <c r="D53" s="383">
        <v>610</v>
      </c>
      <c r="E53" s="383">
        <v>7750</v>
      </c>
      <c r="F53" s="383">
        <v>19476.599999999999</v>
      </c>
      <c r="G53" s="383">
        <f t="shared" ref="G53:M53" si="23">G17</f>
        <v>39101.699999999997</v>
      </c>
      <c r="H53" s="751">
        <f t="shared" si="23"/>
        <v>56285.2</v>
      </c>
      <c r="I53" s="751">
        <f t="shared" si="23"/>
        <v>25915.5</v>
      </c>
      <c r="J53" s="751">
        <f t="shared" si="23"/>
        <v>132522.9</v>
      </c>
      <c r="K53" s="383">
        <f t="shared" si="23"/>
        <v>16000</v>
      </c>
      <c r="L53" s="383">
        <f t="shared" si="23"/>
        <v>16000</v>
      </c>
      <c r="M53" s="383">
        <f t="shared" si="23"/>
        <v>16000</v>
      </c>
    </row>
    <row r="54" spans="1:14" s="144" customFormat="1">
      <c r="A54" s="681" t="s">
        <v>401</v>
      </c>
      <c r="B54" s="383">
        <f t="shared" si="16"/>
        <v>0</v>
      </c>
      <c r="C54" s="383">
        <v>0</v>
      </c>
      <c r="D54" s="383">
        <v>0</v>
      </c>
      <c r="E54" s="383">
        <v>0</v>
      </c>
      <c r="F54" s="383">
        <v>0</v>
      </c>
      <c r="G54" s="383">
        <v>0</v>
      </c>
      <c r="H54" s="751">
        <v>0</v>
      </c>
      <c r="I54" s="751">
        <v>0</v>
      </c>
      <c r="J54" s="751">
        <v>0</v>
      </c>
      <c r="K54" s="383">
        <v>0</v>
      </c>
      <c r="L54" s="383">
        <v>0</v>
      </c>
      <c r="M54" s="383">
        <v>0</v>
      </c>
    </row>
    <row r="55" spans="1:14" s="144" customFormat="1">
      <c r="A55" s="681" t="s">
        <v>402</v>
      </c>
      <c r="B55" s="383">
        <f t="shared" si="16"/>
        <v>0</v>
      </c>
      <c r="C55" s="383">
        <v>0</v>
      </c>
      <c r="D55" s="383">
        <v>0</v>
      </c>
      <c r="E55" s="383">
        <v>0</v>
      </c>
      <c r="F55" s="383">
        <v>0</v>
      </c>
      <c r="G55" s="383">
        <v>0</v>
      </c>
      <c r="H55" s="751">
        <v>0</v>
      </c>
      <c r="I55" s="751">
        <v>0</v>
      </c>
      <c r="J55" s="751">
        <v>0</v>
      </c>
      <c r="K55" s="383">
        <v>0</v>
      </c>
      <c r="L55" s="383">
        <v>0</v>
      </c>
      <c r="M55" s="383">
        <v>0</v>
      </c>
    </row>
    <row r="56" spans="1:14" s="144" customFormat="1">
      <c r="A56" s="687" t="s">
        <v>405</v>
      </c>
      <c r="B56" s="383">
        <f t="shared" si="16"/>
        <v>101541744.2</v>
      </c>
      <c r="C56" s="383">
        <f t="shared" ref="C56:M56" si="24">SUM(C57:C60)</f>
        <v>5664900.5</v>
      </c>
      <c r="D56" s="383">
        <f t="shared" si="24"/>
        <v>7322584.4000000004</v>
      </c>
      <c r="E56" s="383">
        <f t="shared" si="24"/>
        <v>7779299.2000000002</v>
      </c>
      <c r="F56" s="383">
        <f t="shared" si="24"/>
        <v>8684857.9000000004</v>
      </c>
      <c r="G56" s="383">
        <f t="shared" si="24"/>
        <v>11602688.199999999</v>
      </c>
      <c r="H56" s="751">
        <f t="shared" si="24"/>
        <v>10875115.300000001</v>
      </c>
      <c r="I56" s="751">
        <f t="shared" si="24"/>
        <v>12136204</v>
      </c>
      <c r="J56" s="751">
        <f t="shared" si="24"/>
        <v>13861774.699999999</v>
      </c>
      <c r="K56" s="383">
        <f t="shared" si="24"/>
        <v>7871440</v>
      </c>
      <c r="L56" s="383">
        <f t="shared" si="24"/>
        <v>7871440</v>
      </c>
      <c r="M56" s="383">
        <f t="shared" si="24"/>
        <v>7871440</v>
      </c>
    </row>
    <row r="57" spans="1:14" s="144" customFormat="1">
      <c r="A57" s="681" t="s">
        <v>399</v>
      </c>
      <c r="B57" s="383">
        <f t="shared" si="16"/>
        <v>4764315.8</v>
      </c>
      <c r="C57" s="383">
        <v>457365.1</v>
      </c>
      <c r="D57" s="383">
        <v>108000</v>
      </c>
      <c r="E57" s="383">
        <v>809637.7</v>
      </c>
      <c r="F57" s="383">
        <v>769174.1</v>
      </c>
      <c r="G57" s="383">
        <f t="shared" ref="G57:M59" si="25">G21</f>
        <v>1957938.9</v>
      </c>
      <c r="H57" s="751">
        <f>H21</f>
        <v>632200</v>
      </c>
      <c r="I57" s="751">
        <f t="shared" ref="I57:J57" si="26">I21</f>
        <v>30000</v>
      </c>
      <c r="J57" s="751">
        <f t="shared" si="26"/>
        <v>0</v>
      </c>
      <c r="K57" s="383">
        <f t="shared" si="25"/>
        <v>0</v>
      </c>
      <c r="L57" s="383">
        <f t="shared" si="25"/>
        <v>0</v>
      </c>
      <c r="M57" s="383">
        <f t="shared" si="25"/>
        <v>0</v>
      </c>
    </row>
    <row r="58" spans="1:14" s="144" customFormat="1">
      <c r="A58" s="687" t="s">
        <v>400</v>
      </c>
      <c r="B58" s="383">
        <f t="shared" si="16"/>
        <v>94086229.799999997</v>
      </c>
      <c r="C58" s="383">
        <v>5154450.2</v>
      </c>
      <c r="D58" s="383">
        <v>7093858.7000000002</v>
      </c>
      <c r="E58" s="383">
        <f>6809245.1+20000+66.4</f>
        <v>6829311.5</v>
      </c>
      <c r="F58" s="383">
        <f>7676572.8+16700+99475.2</f>
        <v>7792748</v>
      </c>
      <c r="G58" s="383">
        <f t="shared" si="25"/>
        <v>9198538.6999999993</v>
      </c>
      <c r="H58" s="751">
        <f t="shared" si="25"/>
        <v>9411790.7000000011</v>
      </c>
      <c r="I58" s="751">
        <f t="shared" si="25"/>
        <v>11655761.199999999</v>
      </c>
      <c r="J58" s="751">
        <f t="shared" si="25"/>
        <v>13562706.799999999</v>
      </c>
      <c r="K58" s="383">
        <f t="shared" si="25"/>
        <v>7795688</v>
      </c>
      <c r="L58" s="383">
        <f t="shared" si="25"/>
        <v>7795688</v>
      </c>
      <c r="M58" s="383">
        <f t="shared" si="25"/>
        <v>7795688</v>
      </c>
    </row>
    <row r="59" spans="1:14" s="144" customFormat="1">
      <c r="A59" s="681" t="s">
        <v>401</v>
      </c>
      <c r="B59" s="383">
        <f t="shared" si="16"/>
        <v>2691198.6</v>
      </c>
      <c r="C59" s="383">
        <v>53085.2</v>
      </c>
      <c r="D59" s="383">
        <v>120725.7</v>
      </c>
      <c r="E59" s="383">
        <f>139297.4+1052.6</f>
        <v>140350</v>
      </c>
      <c r="F59" s="383">
        <f>117756.8+968.4+4210.6</f>
        <v>122935.8</v>
      </c>
      <c r="G59" s="383">
        <f t="shared" si="25"/>
        <v>446210.6</v>
      </c>
      <c r="H59" s="751">
        <f t="shared" si="25"/>
        <v>831124.60000000009</v>
      </c>
      <c r="I59" s="751">
        <f t="shared" si="25"/>
        <v>450442.8</v>
      </c>
      <c r="J59" s="751">
        <f t="shared" si="25"/>
        <v>299067.90000000002</v>
      </c>
      <c r="K59" s="383">
        <f t="shared" si="25"/>
        <v>75752</v>
      </c>
      <c r="L59" s="383">
        <f t="shared" si="25"/>
        <v>75752</v>
      </c>
      <c r="M59" s="383">
        <f t="shared" si="25"/>
        <v>75752</v>
      </c>
    </row>
    <row r="60" spans="1:14" s="144" customFormat="1">
      <c r="A60" s="681" t="s">
        <v>402</v>
      </c>
      <c r="B60" s="383">
        <f t="shared" si="16"/>
        <v>0</v>
      </c>
      <c r="C60" s="383">
        <v>0</v>
      </c>
      <c r="D60" s="383">
        <v>0</v>
      </c>
      <c r="E60" s="383">
        <v>0</v>
      </c>
      <c r="F60" s="383">
        <v>0</v>
      </c>
      <c r="G60" s="383">
        <v>0</v>
      </c>
      <c r="H60" s="751">
        <v>0</v>
      </c>
      <c r="I60" s="751">
        <v>0</v>
      </c>
      <c r="J60" s="751">
        <v>0</v>
      </c>
      <c r="K60" s="383"/>
      <c r="L60" s="383"/>
      <c r="M60" s="383"/>
    </row>
    <row r="61" spans="1:14" s="144" customFormat="1">
      <c r="A61" s="683" t="s">
        <v>1010</v>
      </c>
      <c r="B61" s="383">
        <v>0</v>
      </c>
      <c r="C61" s="383">
        <v>0</v>
      </c>
      <c r="D61" s="383">
        <v>0</v>
      </c>
      <c r="E61" s="383">
        <v>0</v>
      </c>
      <c r="F61" s="383">
        <v>0</v>
      </c>
      <c r="G61" s="383">
        <v>0</v>
      </c>
      <c r="H61" s="751">
        <v>0</v>
      </c>
      <c r="I61" s="751">
        <v>0</v>
      </c>
      <c r="J61" s="751">
        <v>0</v>
      </c>
      <c r="K61" s="383">
        <v>0</v>
      </c>
      <c r="L61" s="383">
        <v>0</v>
      </c>
      <c r="M61" s="382">
        <v>0</v>
      </c>
    </row>
    <row r="62" spans="1:14" ht="68.25" customHeight="1" thickBot="1">
      <c r="A62" s="335" t="s">
        <v>697</v>
      </c>
      <c r="B62" s="391">
        <f>SUM(B64:B72)</f>
        <v>37965203.120000005</v>
      </c>
      <c r="C62" s="391">
        <f t="shared" ref="C62:M62" si="27">SUM(C64:C72)</f>
        <v>1562163.2000000002</v>
      </c>
      <c r="D62" s="391">
        <f t="shared" si="27"/>
        <v>733434.82</v>
      </c>
      <c r="E62" s="391">
        <f t="shared" si="27"/>
        <v>1254745.3999999999</v>
      </c>
      <c r="F62" s="391">
        <f t="shared" si="27"/>
        <v>1503269.9</v>
      </c>
      <c r="G62" s="391">
        <f t="shared" si="27"/>
        <v>4998408.7</v>
      </c>
      <c r="H62" s="391">
        <f t="shared" si="27"/>
        <v>2539815.2999999998</v>
      </c>
      <c r="I62" s="391">
        <f t="shared" si="27"/>
        <v>9516790.0999999996</v>
      </c>
      <c r="J62" s="391">
        <f t="shared" si="27"/>
        <v>9678188.0999999996</v>
      </c>
      <c r="K62" s="391">
        <f t="shared" si="27"/>
        <v>6178387.5999999996</v>
      </c>
      <c r="L62" s="391">
        <f t="shared" si="27"/>
        <v>0</v>
      </c>
      <c r="M62" s="391">
        <f t="shared" si="27"/>
        <v>0</v>
      </c>
    </row>
    <row r="63" spans="1:14" s="207" customFormat="1" ht="19.5" customHeight="1" thickBot="1">
      <c r="A63" s="204" t="s">
        <v>30</v>
      </c>
      <c r="B63" s="389"/>
      <c r="C63" s="389"/>
      <c r="D63" s="389"/>
      <c r="E63" s="389"/>
      <c r="F63" s="389"/>
      <c r="G63" s="389"/>
      <c r="H63" s="754"/>
      <c r="I63" s="754"/>
      <c r="J63" s="754"/>
      <c r="K63" s="389"/>
      <c r="L63" s="389">
        <f>SUM(L64:L72)</f>
        <v>0</v>
      </c>
      <c r="M63" s="387">
        <f>SUM(M64:M72)</f>
        <v>0</v>
      </c>
    </row>
    <row r="64" spans="1:14" ht="133.5" customHeight="1" thickBot="1">
      <c r="A64" s="390" t="s">
        <v>410</v>
      </c>
      <c r="B64" s="383">
        <f t="shared" ref="B64:B72" si="28">SUM(C64:M64)</f>
        <v>453331.80000000005</v>
      </c>
      <c r="C64" s="383">
        <v>95879.3</v>
      </c>
      <c r="D64" s="383">
        <v>60969.599999999999</v>
      </c>
      <c r="E64" s="383">
        <v>296482.90000000002</v>
      </c>
      <c r="F64" s="386"/>
      <c r="G64" s="386"/>
      <c r="H64" s="755"/>
      <c r="I64" s="751">
        <v>0</v>
      </c>
      <c r="J64" s="751">
        <v>0</v>
      </c>
      <c r="K64" s="383">
        <v>0</v>
      </c>
      <c r="L64" s="383">
        <v>0</v>
      </c>
      <c r="M64" s="382">
        <v>0</v>
      </c>
    </row>
    <row r="65" spans="1:24" ht="201" customHeight="1">
      <c r="A65" s="701" t="s">
        <v>769</v>
      </c>
      <c r="B65" s="702">
        <f t="shared" si="28"/>
        <v>304102.59999999998</v>
      </c>
      <c r="C65" s="702"/>
      <c r="D65" s="702"/>
      <c r="E65" s="702"/>
      <c r="F65" s="702">
        <v>128269.9</v>
      </c>
      <c r="G65" s="669">
        <v>175832.7</v>
      </c>
      <c r="H65" s="756"/>
      <c r="I65" s="757">
        <v>0</v>
      </c>
      <c r="J65" s="757"/>
      <c r="K65" s="702"/>
      <c r="L65" s="702"/>
      <c r="M65" s="703"/>
    </row>
    <row r="66" spans="1:24" ht="201" customHeight="1">
      <c r="A66" s="686" t="s">
        <v>1011</v>
      </c>
      <c r="B66" s="383">
        <f>SUM(C66:M66)</f>
        <v>450719.6</v>
      </c>
      <c r="C66" s="383"/>
      <c r="D66" s="383"/>
      <c r="E66" s="383"/>
      <c r="F66" s="383"/>
      <c r="G66" s="60"/>
      <c r="H66" s="758">
        <v>235662.1</v>
      </c>
      <c r="I66" s="751">
        <v>105290.1</v>
      </c>
      <c r="J66" s="751">
        <v>109767.4</v>
      </c>
      <c r="K66" s="383"/>
      <c r="L66" s="383"/>
      <c r="M66" s="382"/>
    </row>
    <row r="67" spans="1:24" ht="108.75" customHeight="1" thickBot="1">
      <c r="A67" s="206" t="s">
        <v>411</v>
      </c>
      <c r="B67" s="391">
        <f t="shared" si="28"/>
        <v>1582071.82</v>
      </c>
      <c r="C67" s="391">
        <v>1008918.8</v>
      </c>
      <c r="D67" s="391">
        <v>564465.22</v>
      </c>
      <c r="E67" s="391">
        <v>5792.5</v>
      </c>
      <c r="F67" s="389"/>
      <c r="G67" s="389">
        <v>2895.3</v>
      </c>
      <c r="H67" s="754"/>
      <c r="I67" s="753"/>
      <c r="J67" s="759"/>
      <c r="K67" s="395"/>
      <c r="L67" s="395"/>
      <c r="M67" s="388"/>
    </row>
    <row r="68" spans="1:24" ht="85.5" customHeight="1" thickBot="1">
      <c r="A68" s="206" t="s">
        <v>412</v>
      </c>
      <c r="B68" s="389">
        <f t="shared" si="28"/>
        <v>565365.1</v>
      </c>
      <c r="C68" s="389">
        <v>457365.1</v>
      </c>
      <c r="D68" s="389">
        <v>108000</v>
      </c>
      <c r="E68" s="618">
        <v>0</v>
      </c>
      <c r="F68" s="386"/>
      <c r="G68" s="386"/>
      <c r="H68" s="755"/>
      <c r="I68" s="760"/>
      <c r="J68" s="755"/>
      <c r="K68" s="386"/>
      <c r="L68" s="383"/>
      <c r="M68" s="382"/>
    </row>
    <row r="69" spans="1:24" ht="81" customHeight="1">
      <c r="A69" s="385" t="s">
        <v>444</v>
      </c>
      <c r="B69" s="383">
        <f t="shared" si="28"/>
        <v>1927470</v>
      </c>
      <c r="C69" s="383"/>
      <c r="D69" s="383"/>
      <c r="E69" s="383">
        <v>952470</v>
      </c>
      <c r="F69" s="383">
        <v>975000</v>
      </c>
      <c r="G69" s="383"/>
      <c r="H69" s="751"/>
      <c r="I69" s="751"/>
      <c r="J69" s="751"/>
      <c r="K69" s="383"/>
      <c r="L69" s="383"/>
      <c r="M69" s="382"/>
      <c r="N69" s="208">
        <f>B69</f>
        <v>1927470</v>
      </c>
    </row>
    <row r="70" spans="1:24" ht="69" customHeight="1">
      <c r="A70" s="394" t="s">
        <v>698</v>
      </c>
      <c r="B70" s="383">
        <f t="shared" si="28"/>
        <v>5524502.2000000002</v>
      </c>
      <c r="C70" s="383"/>
      <c r="D70" s="383"/>
      <c r="E70" s="383"/>
      <c r="F70" s="383"/>
      <c r="G70" s="383">
        <v>3030349</v>
      </c>
      <c r="H70" s="751">
        <v>1494153.2</v>
      </c>
      <c r="I70" s="751">
        <v>1000000</v>
      </c>
      <c r="J70" s="751"/>
      <c r="K70" s="383"/>
      <c r="L70" s="383"/>
      <c r="M70" s="382"/>
      <c r="N70" s="208"/>
    </row>
    <row r="71" spans="1:24" ht="111" customHeight="1">
      <c r="A71" s="394" t="s">
        <v>1012</v>
      </c>
      <c r="B71" s="383">
        <f t="shared" si="28"/>
        <v>930000</v>
      </c>
      <c r="C71" s="383"/>
      <c r="D71" s="383"/>
      <c r="E71" s="383"/>
      <c r="F71" s="383"/>
      <c r="G71" s="383"/>
      <c r="H71" s="751">
        <v>310000</v>
      </c>
      <c r="I71" s="751">
        <v>310000</v>
      </c>
      <c r="J71" s="751">
        <v>310000</v>
      </c>
      <c r="K71" s="383"/>
      <c r="L71" s="383"/>
      <c r="M71" s="382"/>
      <c r="N71" s="208"/>
    </row>
    <row r="72" spans="1:24" ht="127.5" customHeight="1" thickBot="1">
      <c r="A72" s="384" t="s">
        <v>696</v>
      </c>
      <c r="B72" s="383">
        <f t="shared" si="28"/>
        <v>26227640</v>
      </c>
      <c r="C72" s="383"/>
      <c r="D72" s="383"/>
      <c r="E72" s="383"/>
      <c r="F72" s="383">
        <v>400000</v>
      </c>
      <c r="G72" s="383">
        <v>1789331.7</v>
      </c>
      <c r="H72" s="751">
        <v>500000</v>
      </c>
      <c r="I72" s="751">
        <v>8101500</v>
      </c>
      <c r="J72" s="751">
        <v>9258420.6999999993</v>
      </c>
      <c r="K72" s="383">
        <v>6178387.5999999996</v>
      </c>
      <c r="L72" s="383"/>
      <c r="M72" s="382"/>
      <c r="N72" s="208"/>
    </row>
    <row r="73" spans="1:24" ht="58.5" customHeight="1" thickBot="1">
      <c r="A73" s="500" t="s">
        <v>795</v>
      </c>
      <c r="B73" s="696">
        <f>B74+B76</f>
        <v>37982674.720000006</v>
      </c>
      <c r="C73" s="696">
        <f t="shared" ref="C73:L73" si="29">C74+C76</f>
        <v>0</v>
      </c>
      <c r="D73" s="696">
        <f t="shared" si="29"/>
        <v>0</v>
      </c>
      <c r="E73" s="696">
        <f t="shared" si="29"/>
        <v>412.43</v>
      </c>
      <c r="F73" s="696">
        <f t="shared" si="29"/>
        <v>884190.5</v>
      </c>
      <c r="G73" s="696">
        <f t="shared" si="29"/>
        <v>2573912.59</v>
      </c>
      <c r="H73" s="761">
        <f t="shared" si="29"/>
        <v>5520277</v>
      </c>
      <c r="I73" s="761">
        <f t="shared" si="29"/>
        <v>12032241</v>
      </c>
      <c r="J73" s="761">
        <f t="shared" si="29"/>
        <v>9926575.6999999993</v>
      </c>
      <c r="K73" s="696">
        <f t="shared" si="29"/>
        <v>7045065.5</v>
      </c>
      <c r="L73" s="696">
        <f t="shared" si="29"/>
        <v>0</v>
      </c>
      <c r="M73" s="499"/>
      <c r="N73" s="208"/>
    </row>
    <row r="74" spans="1:24" ht="154.5" customHeight="1">
      <c r="A74" s="500" t="s">
        <v>1013</v>
      </c>
      <c r="B74" s="696">
        <f>B75</f>
        <v>3459603.74</v>
      </c>
      <c r="C74" s="696">
        <f t="shared" ref="C74:M74" si="30">C75</f>
        <v>0</v>
      </c>
      <c r="D74" s="696">
        <f t="shared" si="30"/>
        <v>0</v>
      </c>
      <c r="E74" s="696">
        <f t="shared" si="30"/>
        <v>412.43</v>
      </c>
      <c r="F74" s="696">
        <f t="shared" si="30"/>
        <v>403513.4</v>
      </c>
      <c r="G74" s="696">
        <f t="shared" si="30"/>
        <v>656350.71</v>
      </c>
      <c r="H74" s="761">
        <f t="shared" si="30"/>
        <v>795000</v>
      </c>
      <c r="I74" s="761">
        <f t="shared" si="30"/>
        <v>1500000</v>
      </c>
      <c r="J74" s="761">
        <f t="shared" si="30"/>
        <v>0</v>
      </c>
      <c r="K74" s="696">
        <f t="shared" si="30"/>
        <v>104327.2</v>
      </c>
      <c r="L74" s="696">
        <f t="shared" si="30"/>
        <v>0</v>
      </c>
      <c r="M74" s="696">
        <f t="shared" si="30"/>
        <v>0</v>
      </c>
      <c r="N74" s="208"/>
    </row>
    <row r="75" spans="1:24" ht="36" customHeight="1" thickBot="1">
      <c r="A75" s="694" t="s">
        <v>247</v>
      </c>
      <c r="B75" s="697">
        <f t="shared" ref="B75" si="31">SUM(C75:K75)</f>
        <v>3459603.74</v>
      </c>
      <c r="C75" s="697"/>
      <c r="D75" s="697"/>
      <c r="E75" s="697">
        <v>412.43</v>
      </c>
      <c r="F75" s="697">
        <v>403513.4</v>
      </c>
      <c r="G75" s="697">
        <v>656350.71</v>
      </c>
      <c r="H75" s="762">
        <f>695000+100000</f>
        <v>795000</v>
      </c>
      <c r="I75" s="762">
        <v>1500000</v>
      </c>
      <c r="J75" s="762"/>
      <c r="K75" s="698">
        <v>104327.2</v>
      </c>
      <c r="L75" s="695"/>
      <c r="M75" s="695"/>
      <c r="N75" s="208"/>
    </row>
    <row r="76" spans="1:24" ht="165" customHeight="1">
      <c r="A76" s="500" t="s">
        <v>1014</v>
      </c>
      <c r="B76" s="696">
        <f>B77+B78</f>
        <v>34523070.980000004</v>
      </c>
      <c r="C76" s="696">
        <f t="shared" ref="C76:M76" si="32">C77+C78</f>
        <v>0</v>
      </c>
      <c r="D76" s="696">
        <f t="shared" si="32"/>
        <v>0</v>
      </c>
      <c r="E76" s="696">
        <f t="shared" si="32"/>
        <v>0</v>
      </c>
      <c r="F76" s="696">
        <f t="shared" si="32"/>
        <v>480677.1</v>
      </c>
      <c r="G76" s="696">
        <f t="shared" si="32"/>
        <v>1917561.88</v>
      </c>
      <c r="H76" s="761">
        <f t="shared" si="32"/>
        <v>4725277</v>
      </c>
      <c r="I76" s="761">
        <f t="shared" si="32"/>
        <v>10532241</v>
      </c>
      <c r="J76" s="761">
        <f t="shared" si="32"/>
        <v>9926575.6999999993</v>
      </c>
      <c r="K76" s="696">
        <f t="shared" si="32"/>
        <v>6940738.2999999998</v>
      </c>
      <c r="L76" s="696">
        <f t="shared" si="32"/>
        <v>0</v>
      </c>
      <c r="M76" s="696">
        <f t="shared" si="32"/>
        <v>0</v>
      </c>
      <c r="N76" s="208"/>
    </row>
    <row r="77" spans="1:24" ht="17.25" customHeight="1">
      <c r="A77" s="694" t="s">
        <v>495</v>
      </c>
      <c r="B77" s="697">
        <f>SUM(C77:K77)</f>
        <v>26227640</v>
      </c>
      <c r="C77" s="697"/>
      <c r="D77" s="697"/>
      <c r="E77" s="697"/>
      <c r="F77" s="697">
        <v>400000</v>
      </c>
      <c r="G77" s="697">
        <v>1789331.7</v>
      </c>
      <c r="H77" s="762">
        <v>500000</v>
      </c>
      <c r="I77" s="762">
        <v>8101500</v>
      </c>
      <c r="J77" s="762">
        <v>9258420.6999999993</v>
      </c>
      <c r="K77" s="698">
        <v>6178387.5999999996</v>
      </c>
      <c r="L77" s="695"/>
      <c r="M77" s="695"/>
      <c r="N77" s="212">
        <f>SUM(D77:J77)</f>
        <v>20049252.399999999</v>
      </c>
      <c r="P77" s="211"/>
      <c r="S77" s="205"/>
    </row>
    <row r="78" spans="1:24" ht="15.75" thickBot="1">
      <c r="A78" s="497" t="s">
        <v>447</v>
      </c>
      <c r="B78" s="697">
        <f t="shared" ref="B78" si="33">SUM(C78:K78)</f>
        <v>8295430.9800000004</v>
      </c>
      <c r="C78" s="699"/>
      <c r="D78" s="699"/>
      <c r="E78" s="699">
        <v>0</v>
      </c>
      <c r="F78" s="699">
        <v>80677.100000000006</v>
      </c>
      <c r="G78" s="699">
        <v>128230.18</v>
      </c>
      <c r="H78" s="763">
        <v>4225277</v>
      </c>
      <c r="I78" s="763">
        <v>2430741</v>
      </c>
      <c r="J78" s="763">
        <v>668155</v>
      </c>
      <c r="K78" s="700">
        <v>762350.7</v>
      </c>
      <c r="L78" s="498"/>
      <c r="M78" s="498"/>
      <c r="N78" s="214">
        <f>SUM(N69:N76)</f>
        <v>1927470</v>
      </c>
    </row>
    <row r="79" spans="1:24">
      <c r="D79" s="182" t="e">
        <f>D69+#REF!+#REF!</f>
        <v>#REF!</v>
      </c>
      <c r="E79" s="182" t="e">
        <f>E69+#REF!+#REF!</f>
        <v>#REF!</v>
      </c>
      <c r="F79" s="182" t="e">
        <f>F69+#REF!+#REF!</f>
        <v>#REF!</v>
      </c>
      <c r="G79" s="182" t="e">
        <f>G69+#REF!+#REF!</f>
        <v>#REF!</v>
      </c>
      <c r="H79" s="764" t="e">
        <f>H69+#REF!+#REF!</f>
        <v>#REF!</v>
      </c>
      <c r="I79" s="764" t="e">
        <f>I69+#REF!+#REF!</f>
        <v>#REF!</v>
      </c>
      <c r="X79" s="205" t="e">
        <f>B80-D79-E79</f>
        <v>#REF!</v>
      </c>
    </row>
    <row r="80" spans="1:24">
      <c r="B80" s="673"/>
      <c r="C80" s="673"/>
      <c r="D80" s="673"/>
      <c r="E80" s="673"/>
      <c r="F80" s="673"/>
      <c r="G80" s="673">
        <f>G77+G78</f>
        <v>1917561.88</v>
      </c>
      <c r="H80" s="766">
        <f>H77+H78</f>
        <v>4725277</v>
      </c>
      <c r="I80" s="766"/>
      <c r="J80" s="766"/>
      <c r="K80" s="215">
        <v>8295431</v>
      </c>
    </row>
    <row r="81" spans="1:16">
      <c r="B81" s="674">
        <f>B77+B78</f>
        <v>34523070.980000004</v>
      </c>
      <c r="C81" s="145">
        <v>2015</v>
      </c>
      <c r="D81" s="145">
        <v>2016</v>
      </c>
      <c r="E81" s="145">
        <v>2017</v>
      </c>
      <c r="F81" s="145">
        <v>2018</v>
      </c>
      <c r="G81" s="145">
        <v>2019</v>
      </c>
      <c r="H81" s="767">
        <v>2020</v>
      </c>
      <c r="I81" s="767">
        <v>2021</v>
      </c>
      <c r="K81" s="849">
        <f>K80-80000-126461-H78-I78-J78</f>
        <v>764797</v>
      </c>
    </row>
    <row r="82" spans="1:16">
      <c r="B82" s="673"/>
      <c r="D82" s="675">
        <v>107.31489163336438</v>
      </c>
      <c r="E82" s="381">
        <v>106.80419218815939</v>
      </c>
      <c r="F82" s="381">
        <v>106.40296400340539</v>
      </c>
      <c r="G82" s="381">
        <v>105.28755638334495</v>
      </c>
      <c r="H82" s="768">
        <v>104.62228427027578</v>
      </c>
      <c r="I82" s="769">
        <v>103.90195775089536</v>
      </c>
    </row>
    <row r="83" spans="1:16">
      <c r="A83" s="220" t="s">
        <v>416</v>
      </c>
      <c r="D83" s="380">
        <f t="shared" ref="D83:I83" si="34">D82/100</f>
        <v>1.0731489163336438</v>
      </c>
      <c r="E83" s="380">
        <f t="shared" si="34"/>
        <v>1.068041921881594</v>
      </c>
      <c r="F83" s="380">
        <f t="shared" si="34"/>
        <v>1.0640296400340539</v>
      </c>
      <c r="G83" s="380">
        <f t="shared" si="34"/>
        <v>1.0528755638334495</v>
      </c>
      <c r="H83" s="770">
        <f t="shared" si="34"/>
        <v>1.0462228427027578</v>
      </c>
      <c r="I83" s="770">
        <f t="shared" si="34"/>
        <v>1.0390195775089537</v>
      </c>
    </row>
    <row r="84" spans="1:16">
      <c r="A84" s="222"/>
      <c r="C84" s="378">
        <f>32078587.37</f>
        <v>32078587.370000001</v>
      </c>
      <c r="D84" s="378">
        <v>775000</v>
      </c>
      <c r="E84" s="378">
        <f>$C84/5-775000/5</f>
        <v>6260717.4740000004</v>
      </c>
      <c r="F84" s="378">
        <f>$C84/5-775000/5</f>
        <v>6260717.4740000004</v>
      </c>
      <c r="G84" s="378">
        <f>$C84/5-775000/5</f>
        <v>6260717.4740000004</v>
      </c>
      <c r="H84" s="771">
        <f>$C84/5-775000/5</f>
        <v>6260717.4740000004</v>
      </c>
      <c r="I84" s="771">
        <f>$C84/5-775000/5</f>
        <v>6260717.4740000004</v>
      </c>
      <c r="J84" s="772">
        <f>SUM(D84:I84)</f>
        <v>32078587.370000001</v>
      </c>
      <c r="K84" s="396"/>
      <c r="L84" s="396"/>
      <c r="M84" s="224"/>
    </row>
    <row r="85" spans="1:16">
      <c r="A85" s="222"/>
      <c r="B85" s="676">
        <v>1</v>
      </c>
      <c r="C85" s="417" t="s">
        <v>417</v>
      </c>
      <c r="D85" s="379">
        <v>775000</v>
      </c>
      <c r="E85" s="379">
        <f>E83*E84</f>
        <v>6686708.7232886385</v>
      </c>
      <c r="F85" s="379">
        <f>F83*F84</f>
        <v>6661588.9602151318</v>
      </c>
      <c r="G85" s="379">
        <f>G83*G84</f>
        <v>6591756.4404396797</v>
      </c>
      <c r="H85" s="773">
        <f>H83*H84</f>
        <v>6550105.6330071092</v>
      </c>
      <c r="I85" s="773">
        <f>I83*I84</f>
        <v>6505008.024738404</v>
      </c>
      <c r="J85" s="774">
        <f>SUM(D85:I85)</f>
        <v>33770167.781688958</v>
      </c>
      <c r="K85" s="397"/>
      <c r="L85" s="397"/>
      <c r="M85" s="377"/>
    </row>
    <row r="86" spans="1:16" hidden="1">
      <c r="A86" s="222"/>
      <c r="E86" s="378">
        <f>33770167.8*0.75/5</f>
        <v>5065525.17</v>
      </c>
      <c r="F86" s="378">
        <f>33770167.8*0.75/5</f>
        <v>5065525.17</v>
      </c>
      <c r="G86" s="378">
        <f>33770167.8*0.75/5</f>
        <v>5065525.17</v>
      </c>
      <c r="H86" s="771">
        <f>33770167.8*0.75/5</f>
        <v>5065525.17</v>
      </c>
      <c r="I86" s="771">
        <f>33770167.8*0.75/5</f>
        <v>5065525.17</v>
      </c>
      <c r="J86" s="772">
        <f>SUM(E86:I86)</f>
        <v>25327625.850000001</v>
      </c>
      <c r="K86" s="396"/>
      <c r="L86" s="396"/>
      <c r="M86" s="224"/>
      <c r="N86" s="223">
        <f>25368000-J86</f>
        <v>40374.14999999851</v>
      </c>
      <c r="P86" s="229"/>
    </row>
    <row r="87" spans="1:16" hidden="1">
      <c r="A87" s="222"/>
      <c r="E87" s="358">
        <f>N86/5</f>
        <v>8074.8299999997016</v>
      </c>
      <c r="F87" s="358">
        <v>8074.8299999997016</v>
      </c>
      <c r="G87" s="358">
        <v>8074.8299999997016</v>
      </c>
      <c r="H87" s="775">
        <v>8074.8299999997016</v>
      </c>
      <c r="I87" s="775">
        <v>8074.8299999997016</v>
      </c>
      <c r="J87" s="772">
        <f>SUM(E87:I87)</f>
        <v>40374.14999999851</v>
      </c>
      <c r="K87" s="396"/>
      <c r="L87" s="396"/>
      <c r="M87" s="224"/>
    </row>
    <row r="88" spans="1:16" hidden="1">
      <c r="A88" s="222"/>
      <c r="B88" s="676">
        <v>0.75</v>
      </c>
      <c r="C88" s="417" t="s">
        <v>418</v>
      </c>
      <c r="D88" s="386"/>
      <c r="E88" s="370">
        <f>E86+E87</f>
        <v>5073600</v>
      </c>
      <c r="F88" s="370">
        <f>F86+F87</f>
        <v>5073600</v>
      </c>
      <c r="G88" s="370">
        <f>G86+G87</f>
        <v>5073600</v>
      </c>
      <c r="H88" s="776">
        <f>H86+H87</f>
        <v>5073600</v>
      </c>
      <c r="I88" s="776">
        <f>I86+I87</f>
        <v>5073600</v>
      </c>
      <c r="J88" s="774">
        <f>SUM(E88:I88)</f>
        <v>25368000</v>
      </c>
      <c r="K88" s="397"/>
      <c r="L88" s="397"/>
      <c r="M88" s="377"/>
      <c r="N88" s="1097">
        <f>J88+J90+J89</f>
        <v>33770167.781688958</v>
      </c>
    </row>
    <row r="89" spans="1:16" hidden="1">
      <c r="A89" s="222"/>
      <c r="B89" s="676"/>
      <c r="C89" s="417" t="s">
        <v>419</v>
      </c>
      <c r="D89" s="370">
        <v>775000</v>
      </c>
      <c r="E89" s="371">
        <v>2011000</v>
      </c>
      <c r="F89" s="371">
        <v>1272000</v>
      </c>
      <c r="G89" s="370"/>
      <c r="H89" s="776"/>
      <c r="I89" s="776"/>
      <c r="J89" s="774">
        <f>SUM(D89:I89)</f>
        <v>4058000</v>
      </c>
      <c r="K89" s="397"/>
      <c r="L89" s="397"/>
      <c r="M89" s="377"/>
      <c r="N89" s="1097"/>
      <c r="P89" s="229"/>
    </row>
    <row r="90" spans="1:16" hidden="1">
      <c r="A90" s="222"/>
      <c r="B90" s="676">
        <v>0.25</v>
      </c>
      <c r="C90" s="417" t="s">
        <v>420</v>
      </c>
      <c r="D90" s="386"/>
      <c r="E90" s="370">
        <f>E85-E88-E89</f>
        <v>-397891.27671136148</v>
      </c>
      <c r="F90" s="370">
        <f>F85-F88-F89</f>
        <v>315988.96021513175</v>
      </c>
      <c r="G90" s="370">
        <f>G85-G88-G89</f>
        <v>1518156.4404396797</v>
      </c>
      <c r="H90" s="776">
        <f>H85-H88-H89</f>
        <v>1476505.6330071092</v>
      </c>
      <c r="I90" s="776">
        <f>I85-I88-I89</f>
        <v>1431408.024738404</v>
      </c>
      <c r="J90" s="774">
        <f>SUM(E90:I90)</f>
        <v>4344167.7816889631</v>
      </c>
      <c r="K90" s="397"/>
      <c r="L90" s="397"/>
      <c r="M90" s="377"/>
      <c r="N90" s="1098"/>
    </row>
    <row r="91" spans="1:16" hidden="1">
      <c r="A91" s="222"/>
    </row>
    <row r="92" spans="1:16" hidden="1">
      <c r="A92" s="222"/>
    </row>
    <row r="93" spans="1:16" hidden="1">
      <c r="A93" s="222"/>
      <c r="E93" s="370">
        <f>8079000</f>
        <v>8079000</v>
      </c>
      <c r="F93" s="370">
        <f>5497000</f>
        <v>5497000</v>
      </c>
      <c r="G93" s="370">
        <f>5741000</f>
        <v>5741000</v>
      </c>
      <c r="H93" s="776">
        <f>3981000</f>
        <v>3981000</v>
      </c>
      <c r="I93" s="776">
        <f>2070000</f>
        <v>2070000</v>
      </c>
      <c r="J93" s="775">
        <f>SUM(E93:I93)</f>
        <v>25368000</v>
      </c>
      <c r="K93" s="358"/>
      <c r="L93" s="358"/>
      <c r="M93" s="229"/>
    </row>
    <row r="94" spans="1:16" hidden="1">
      <c r="A94" s="1099" t="s">
        <v>421</v>
      </c>
      <c r="C94" s="417" t="s">
        <v>418</v>
      </c>
      <c r="E94" s="363">
        <f>E93/$N88</f>
        <v>0.23923481968545737</v>
      </c>
      <c r="F94" s="363">
        <f>F93/$N88</f>
        <v>0.16277680453162016</v>
      </c>
      <c r="G94" s="363">
        <f>G93/$N88</f>
        <v>0.17000211657559236</v>
      </c>
      <c r="H94" s="777">
        <f>H93/$N88</f>
        <v>0.11788511166825175</v>
      </c>
      <c r="I94" s="777">
        <f>I93/$N88</f>
        <v>6.129670463533813E-2</v>
      </c>
      <c r="J94" s="777">
        <f>SUM(E94:I94)</f>
        <v>0.75119555709625974</v>
      </c>
      <c r="K94" s="398"/>
      <c r="L94" s="398"/>
      <c r="M94" s="376"/>
    </row>
    <row r="95" spans="1:16" hidden="1">
      <c r="A95" s="1099"/>
      <c r="C95" s="417" t="s">
        <v>420</v>
      </c>
      <c r="E95" s="363">
        <f>E94/$J94</f>
        <v>0.3184720908230842</v>
      </c>
      <c r="F95" s="363">
        <f>F94/$J94</f>
        <v>0.21669031851151058</v>
      </c>
      <c r="G95" s="363">
        <f>G94/$J94</f>
        <v>0.22630873541469568</v>
      </c>
      <c r="H95" s="777">
        <f>H94/$J94</f>
        <v>0.15692999053926207</v>
      </c>
      <c r="I95" s="777">
        <f>I94/$J94</f>
        <v>8.1598864711447491E-2</v>
      </c>
      <c r="J95" s="777">
        <f>SUM(E95:I95)</f>
        <v>1</v>
      </c>
      <c r="K95" s="398"/>
      <c r="L95" s="398"/>
      <c r="M95" s="376"/>
    </row>
    <row r="96" spans="1:16" ht="15.75" thickBot="1">
      <c r="A96" s="334"/>
      <c r="C96" s="677"/>
      <c r="E96" s="375"/>
      <c r="F96" s="375"/>
      <c r="G96" s="375"/>
      <c r="H96" s="778"/>
      <c r="I96" s="778"/>
    </row>
    <row r="97" spans="1:19" ht="15.75" thickBot="1">
      <c r="A97" s="1099" t="s">
        <v>422</v>
      </c>
      <c r="B97" s="676">
        <v>0.75</v>
      </c>
      <c r="C97" s="417" t="s">
        <v>418</v>
      </c>
      <c r="D97" s="386"/>
      <c r="E97" s="370">
        <f>$N88*E94</f>
        <v>8079000</v>
      </c>
      <c r="F97" s="370">
        <f>$N88*F94</f>
        <v>5497000</v>
      </c>
      <c r="G97" s="370">
        <f>$N88*G94</f>
        <v>5741000</v>
      </c>
      <c r="H97" s="776">
        <f>$N88*H94</f>
        <v>3981000</v>
      </c>
      <c r="I97" s="776">
        <f>$N88*I94</f>
        <v>2070000</v>
      </c>
      <c r="J97" s="774">
        <f>SUM(D97:I97)</f>
        <v>25368000</v>
      </c>
      <c r="K97" s="399"/>
      <c r="L97" s="399"/>
      <c r="M97" s="374"/>
      <c r="N97" s="1100">
        <f>J97+J99+J98</f>
        <v>33824000</v>
      </c>
      <c r="R97" s="236"/>
    </row>
    <row r="98" spans="1:19" ht="15.75" thickBot="1">
      <c r="A98" s="1099"/>
      <c r="B98" s="676"/>
      <c r="C98" s="417" t="s">
        <v>419</v>
      </c>
      <c r="E98" s="371">
        <v>775000</v>
      </c>
      <c r="F98" s="371">
        <v>2011000</v>
      </c>
      <c r="G98" s="371">
        <v>1272000</v>
      </c>
      <c r="H98" s="776"/>
      <c r="I98" s="776"/>
      <c r="J98" s="774">
        <f>SUM(E98:I98)</f>
        <v>4058000</v>
      </c>
      <c r="K98" s="399"/>
      <c r="L98" s="399"/>
      <c r="M98" s="374"/>
      <c r="N98" s="1100"/>
      <c r="P98" s="229"/>
      <c r="R98" s="237"/>
    </row>
    <row r="99" spans="1:19">
      <c r="A99" s="1099"/>
      <c r="B99" s="676">
        <v>0.25</v>
      </c>
      <c r="C99" s="417" t="s">
        <v>420</v>
      </c>
      <c r="D99" s="417"/>
      <c r="E99" s="370">
        <v>1400640.2554399243</v>
      </c>
      <c r="F99" s="370">
        <v>953004.02081362344</v>
      </c>
      <c r="G99" s="370">
        <v>995305.81835383154</v>
      </c>
      <c r="H99" s="776">
        <v>690178.09839167458</v>
      </c>
      <c r="I99" s="776">
        <v>358871.80700094608</v>
      </c>
      <c r="J99" s="774">
        <f>SUM(D99:I99)</f>
        <v>4398000</v>
      </c>
      <c r="K99" s="399"/>
      <c r="L99" s="399"/>
      <c r="M99" s="374"/>
      <c r="N99" s="1100"/>
    </row>
    <row r="100" spans="1:19">
      <c r="A100" s="1099"/>
      <c r="B100" s="678">
        <v>1</v>
      </c>
      <c r="C100" s="679" t="s">
        <v>423</v>
      </c>
      <c r="D100" s="367">
        <f t="shared" ref="D100:J100" si="35">SUM(D97:D99)</f>
        <v>0</v>
      </c>
      <c r="E100" s="367">
        <f t="shared" si="35"/>
        <v>10254640.255439924</v>
      </c>
      <c r="F100" s="367">
        <f t="shared" si="35"/>
        <v>8461004.0208136234</v>
      </c>
      <c r="G100" s="367">
        <f t="shared" si="35"/>
        <v>8008305.8183538318</v>
      </c>
      <c r="H100" s="779">
        <f t="shared" si="35"/>
        <v>4671178.0983916745</v>
      </c>
      <c r="I100" s="779">
        <f t="shared" si="35"/>
        <v>2428871.8070009463</v>
      </c>
      <c r="J100" s="779">
        <f t="shared" si="35"/>
        <v>33824000</v>
      </c>
      <c r="K100" s="400"/>
      <c r="L100" s="400"/>
      <c r="M100" s="373"/>
      <c r="N100" s="333"/>
    </row>
    <row r="101" spans="1:19" ht="19.5" customHeight="1">
      <c r="B101" s="1093" t="s">
        <v>421</v>
      </c>
      <c r="C101" s="1093"/>
      <c r="D101" s="365">
        <f t="shared" ref="D101:I101" si="36">D100/$N97</f>
        <v>0</v>
      </c>
      <c r="E101" s="365">
        <f t="shared" si="36"/>
        <v>0.3031764503145673</v>
      </c>
      <c r="F101" s="365">
        <f t="shared" si="36"/>
        <v>0.25014794290484932</v>
      </c>
      <c r="G101" s="365">
        <f t="shared" si="36"/>
        <v>0.23676400834773628</v>
      </c>
      <c r="H101" s="780">
        <f t="shared" si="36"/>
        <v>0.13810247452671695</v>
      </c>
      <c r="I101" s="780">
        <f t="shared" si="36"/>
        <v>7.1809123906130146E-2</v>
      </c>
      <c r="J101" s="780">
        <f>SUM(D101:I101)</f>
        <v>1</v>
      </c>
      <c r="K101" s="401"/>
      <c r="L101" s="401"/>
      <c r="M101" s="372"/>
      <c r="R101" s="229"/>
    </row>
    <row r="103" spans="1:19">
      <c r="B103" s="676">
        <v>0.75</v>
      </c>
      <c r="C103" s="417" t="s">
        <v>418</v>
      </c>
      <c r="D103" s="371"/>
      <c r="E103" s="370">
        <f>8079000</f>
        <v>8079000</v>
      </c>
      <c r="F103" s="370">
        <f>5497000</f>
        <v>5497000</v>
      </c>
      <c r="G103" s="370">
        <f>5741000</f>
        <v>5741000</v>
      </c>
      <c r="H103" s="776">
        <f>3981000</f>
        <v>3981000</v>
      </c>
      <c r="I103" s="776">
        <f>2070000</f>
        <v>2070000</v>
      </c>
      <c r="J103" s="774">
        <f>SUM(E103:I103)</f>
        <v>25368000</v>
      </c>
      <c r="K103" s="397"/>
      <c r="L103" s="397"/>
      <c r="M103" s="368"/>
      <c r="Q103" t="s">
        <v>424</v>
      </c>
      <c r="R103" s="229">
        <v>25368000</v>
      </c>
      <c r="S103" s="233">
        <f>R103/R107</f>
        <v>0.75</v>
      </c>
    </row>
    <row r="104" spans="1:19">
      <c r="B104" s="676"/>
      <c r="C104" s="417" t="s">
        <v>419</v>
      </c>
      <c r="D104" s="371">
        <v>0</v>
      </c>
      <c r="E104" s="371">
        <v>775000</v>
      </c>
      <c r="F104" s="371">
        <v>2011000</v>
      </c>
      <c r="G104" s="371">
        <v>1272000</v>
      </c>
      <c r="H104" s="781"/>
      <c r="I104" s="781"/>
      <c r="J104" s="774">
        <f>SUM(D104:I104)</f>
        <v>4058000</v>
      </c>
      <c r="K104" s="397"/>
      <c r="L104" s="397"/>
      <c r="M104" s="368"/>
      <c r="Q104" t="s">
        <v>425</v>
      </c>
      <c r="R104" s="229">
        <v>4058000</v>
      </c>
      <c r="S104" s="233">
        <f>R104/R107</f>
        <v>0.11997398297067172</v>
      </c>
    </row>
    <row r="105" spans="1:19">
      <c r="B105" s="676">
        <v>0.25</v>
      </c>
      <c r="C105" s="417" t="s">
        <v>420</v>
      </c>
      <c r="D105" s="371"/>
      <c r="E105" s="370">
        <v>358871.80700094608</v>
      </c>
      <c r="F105" s="370">
        <v>690178.09839167458</v>
      </c>
      <c r="G105" s="370">
        <v>995305.81835383154</v>
      </c>
      <c r="H105" s="776">
        <v>953004.02081362344</v>
      </c>
      <c r="I105" s="776">
        <v>1400640.2554399243</v>
      </c>
      <c r="J105" s="774">
        <f>SUM(D105:I105)</f>
        <v>4398000</v>
      </c>
      <c r="K105" s="397"/>
      <c r="L105" s="397"/>
      <c r="M105" s="368"/>
      <c r="N105" s="229"/>
      <c r="Q105" t="s">
        <v>426</v>
      </c>
      <c r="R105" s="229">
        <v>4398000</v>
      </c>
      <c r="S105" s="233">
        <f>R105/R107</f>
        <v>0.13002601702932828</v>
      </c>
    </row>
    <row r="106" spans="1:19">
      <c r="B106" s="676"/>
      <c r="C106" s="417"/>
      <c r="D106" s="371"/>
      <c r="E106" s="369">
        <f>E105/J105</f>
        <v>8.1598864711447491E-2</v>
      </c>
      <c r="F106" s="369">
        <f>F105/J105</f>
        <v>0.15692999053926207</v>
      </c>
      <c r="G106" s="369">
        <f>G105/J105</f>
        <v>0.22630873541469568</v>
      </c>
      <c r="H106" s="782">
        <f>H105/J105</f>
        <v>0.21669031851151055</v>
      </c>
      <c r="I106" s="782">
        <f>I105/J105</f>
        <v>0.3184720908230842</v>
      </c>
      <c r="J106" s="774">
        <f>SUM(D106:I106)</f>
        <v>1</v>
      </c>
      <c r="K106" s="397"/>
      <c r="L106" s="397"/>
      <c r="M106" s="368"/>
      <c r="N106" s="229"/>
      <c r="R106" s="229"/>
      <c r="S106" s="233"/>
    </row>
    <row r="107" spans="1:19">
      <c r="B107" s="678">
        <v>1</v>
      </c>
      <c r="C107" s="678" t="s">
        <v>423</v>
      </c>
      <c r="D107" s="367">
        <f t="shared" ref="D107:J107" si="37">SUM(D103:D105)</f>
        <v>0</v>
      </c>
      <c r="E107" s="367">
        <f t="shared" si="37"/>
        <v>9212871.8070009463</v>
      </c>
      <c r="F107" s="367">
        <f t="shared" si="37"/>
        <v>8198178.0983916745</v>
      </c>
      <c r="G107" s="367">
        <f t="shared" si="37"/>
        <v>8008305.8183538318</v>
      </c>
      <c r="H107" s="779">
        <f t="shared" si="37"/>
        <v>4934004.0208136234</v>
      </c>
      <c r="I107" s="779">
        <f t="shared" si="37"/>
        <v>3470640.2554399241</v>
      </c>
      <c r="J107" s="779">
        <f t="shared" si="37"/>
        <v>33824000</v>
      </c>
      <c r="K107" s="400"/>
      <c r="L107" s="400"/>
      <c r="M107" s="366"/>
      <c r="Q107" t="s">
        <v>427</v>
      </c>
      <c r="R107" s="250">
        <f>SUM(R103:R105)</f>
        <v>33824000</v>
      </c>
      <c r="S107" s="233">
        <v>1</v>
      </c>
    </row>
    <row r="108" spans="1:19">
      <c r="B108" s="1093" t="s">
        <v>421</v>
      </c>
      <c r="C108" s="1093"/>
      <c r="D108" s="365">
        <f t="shared" ref="D108:I108" si="38">D107/$J107</f>
        <v>0</v>
      </c>
      <c r="E108" s="365">
        <f t="shared" si="38"/>
        <v>0.27237676818238371</v>
      </c>
      <c r="F108" s="365">
        <f t="shared" si="38"/>
        <v>0.24237754548225149</v>
      </c>
      <c r="G108" s="365">
        <f t="shared" si="38"/>
        <v>0.23676400834773628</v>
      </c>
      <c r="H108" s="780">
        <f t="shared" si="38"/>
        <v>0.14587287194931478</v>
      </c>
      <c r="I108" s="780">
        <f t="shared" si="38"/>
        <v>0.10260880603831374</v>
      </c>
      <c r="J108" s="780">
        <f>SUM(D108:I108)</f>
        <v>1</v>
      </c>
      <c r="K108" s="401"/>
      <c r="L108" s="401"/>
      <c r="M108" s="364"/>
    </row>
    <row r="110" spans="1:19">
      <c r="D110" s="363"/>
      <c r="E110" s="363">
        <f>E103/R107</f>
        <v>0.23885406811731316</v>
      </c>
      <c r="F110" s="363">
        <f>F103/R107</f>
        <v>0.16251773888363291</v>
      </c>
      <c r="G110" s="363">
        <f>G103/R107</f>
        <v>0.16973155156102177</v>
      </c>
      <c r="H110" s="777">
        <f>H103/R107</f>
        <v>0.11769749290444655</v>
      </c>
      <c r="I110" s="777">
        <f>I103/R107</f>
        <v>6.1199148533585622E-2</v>
      </c>
      <c r="J110" s="778">
        <f>SUM(D110:I110)</f>
        <v>0.75</v>
      </c>
      <c r="K110" s="375"/>
      <c r="L110" s="375"/>
      <c r="M110" s="213"/>
    </row>
    <row r="111" spans="1:19">
      <c r="E111" s="362">
        <f>E105/$J105</f>
        <v>8.1598864711447491E-2</v>
      </c>
      <c r="F111" s="362">
        <f>F105/$J105</f>
        <v>0.15692999053926207</v>
      </c>
      <c r="G111" s="362">
        <f>G105/$J105</f>
        <v>0.22630873541469568</v>
      </c>
      <c r="H111" s="783">
        <f>H105/$J105</f>
        <v>0.21669031851151055</v>
      </c>
      <c r="I111" s="783">
        <f>I105/$J105</f>
        <v>0.3184720908230842</v>
      </c>
      <c r="J111" s="778">
        <f>SUM(D111:I111)</f>
        <v>1</v>
      </c>
      <c r="K111" s="375"/>
      <c r="L111" s="375"/>
      <c r="M111" s="213"/>
    </row>
    <row r="112" spans="1:19">
      <c r="E112" s="362"/>
      <c r="F112" s="362"/>
      <c r="G112" s="362"/>
      <c r="H112" s="783"/>
      <c r="I112" s="783"/>
    </row>
    <row r="113" spans="2:13">
      <c r="E113" s="362"/>
      <c r="F113" s="362"/>
      <c r="G113" s="362"/>
      <c r="H113" s="783"/>
      <c r="I113" s="783"/>
    </row>
    <row r="114" spans="2:13">
      <c r="B114" s="680" t="s">
        <v>428</v>
      </c>
      <c r="D114" s="361">
        <v>2016</v>
      </c>
      <c r="E114" s="361">
        <v>2017</v>
      </c>
      <c r="F114" s="361">
        <v>2018</v>
      </c>
      <c r="G114" s="361">
        <v>2019</v>
      </c>
      <c r="H114" s="784">
        <v>2020</v>
      </c>
      <c r="I114" s="784">
        <v>2021</v>
      </c>
    </row>
    <row r="115" spans="2:13">
      <c r="B115" s="680" t="s">
        <v>429</v>
      </c>
      <c r="D115" s="360">
        <v>24994.5</v>
      </c>
      <c r="E115" s="360">
        <v>26644.1</v>
      </c>
      <c r="F115" s="360">
        <v>28349.3</v>
      </c>
      <c r="G115" s="360">
        <f>F115*G83</f>
        <v>29848.285221783608</v>
      </c>
      <c r="H115" s="785">
        <f>G115*H83</f>
        <v>31227.95781453716</v>
      </c>
      <c r="I115" s="785">
        <f>H115*I83</f>
        <v>32446.459534927828</v>
      </c>
    </row>
    <row r="116" spans="2:13">
      <c r="B116" s="680" t="s">
        <v>430</v>
      </c>
      <c r="D116" s="359">
        <f t="shared" ref="D116:I116" si="39">D107/D115</f>
        <v>0</v>
      </c>
      <c r="E116" s="359">
        <f t="shared" si="39"/>
        <v>345.77530511448862</v>
      </c>
      <c r="F116" s="359">
        <f t="shared" si="39"/>
        <v>289.18449832594365</v>
      </c>
      <c r="G116" s="359">
        <f t="shared" si="39"/>
        <v>268.30036495729013</v>
      </c>
      <c r="H116" s="786">
        <f t="shared" si="39"/>
        <v>157.99957365501365</v>
      </c>
      <c r="I116" s="786">
        <f t="shared" si="39"/>
        <v>106.9651452018629</v>
      </c>
      <c r="J116" s="787">
        <f>SUM(D116:I116)</f>
        <v>1168.224887254599</v>
      </c>
      <c r="K116" s="402"/>
      <c r="L116" s="402"/>
      <c r="M116" s="257"/>
    </row>
    <row r="118" spans="2:13">
      <c r="D118" s="144">
        <v>24554</v>
      </c>
      <c r="F118" s="358">
        <f>70000/F115</f>
        <v>2.4691967702906243</v>
      </c>
    </row>
    <row r="119" spans="2:13">
      <c r="D119" s="358">
        <f>D118/D115</f>
        <v>0.98237612274700437</v>
      </c>
    </row>
  </sheetData>
  <mergeCells count="13">
    <mergeCell ref="A27:M27"/>
    <mergeCell ref="B108:C108"/>
    <mergeCell ref="A40:M40"/>
    <mergeCell ref="N88:N90"/>
    <mergeCell ref="A94:A95"/>
    <mergeCell ref="A97:A100"/>
    <mergeCell ref="N97:N99"/>
    <mergeCell ref="B101:C101"/>
    <mergeCell ref="A1:A3"/>
    <mergeCell ref="B2:B3"/>
    <mergeCell ref="C2:M2"/>
    <mergeCell ref="B1:M1"/>
    <mergeCell ref="A4:M4"/>
  </mergeCells>
  <hyperlinks>
    <hyperlink ref="A6" r:id="rId1" display="consultantplus://offline/ref=BC496DE9CD4DD003661B9BE3DD29CC0BB84219353379C154704F53E6C66F167571238B5D4FA498D2047A2859L0N"/>
    <hyperlink ref="A8" r:id="rId2" display="consultantplus://offline/ref=BC496DE9CD4DD003661B9BE3DD29CC0BB84219353379C154704F53E6C66F167571238B5D4FA498D2047A2859L0N"/>
    <hyperlink ref="A9" r:id="rId3" display="consultantplus://offline/ref=BC496DE9CD4DD003661B9BE3DD29CC0BB84219353379C154704F53E6C66F167571238B5D4FA498D2047A2859L0N"/>
    <hyperlink ref="A11" r:id="rId4" display="consultantplus://offline/ref=BC496DE9CD4DD003661B9BE3DD29CC0BB84219353379C154704F53E6C66F167571238B5D4FA498D2047A2859L0N"/>
    <hyperlink ref="A13" r:id="rId5" display="consultantplus://offline/ref=BC496DE9CD4DD003661B9BE3DD29CC0BB84219353379C154704F53E6C66F167571238B5D4FA498D2047A2859L0N"/>
    <hyperlink ref="A14" r:id="rId6" display="consultantplus://offline/ref=BC496DE9CD4DD003661B9BE3DD29CC0BB84219353379C154704F53E6C66F167571238B5D4FA498D2047A2859L0N"/>
    <hyperlink ref="A15" r:id="rId7" display="consultantplus://offline/ref=BC496DE9CD4DD003661B9BE3DD29CC0BB84219353379C154704F53E6C66F167571238B5D4FA498D2047A2859L3N"/>
    <hyperlink ref="A16" r:id="rId8" display="consultantplus://offline/ref=BC496DE9CD4DD003661B9BE3DD29CC0BB84219353379C154704F53E6C66F167571238B5D4FA498D2047A2859L0N"/>
    <hyperlink ref="A18" r:id="rId9" display="consultantplus://offline/ref=BC496DE9CD4DD003661B9BE3DD29CC0BB84219353379C154704F53E6C66F167571238B5D4FA498D2047A2859L0N"/>
    <hyperlink ref="A19" r:id="rId10" display="consultantplus://offline/ref=BC496DE9CD4DD003661B9BE3DD29CC0BB84219353379C154704F53E6C66F167571238B5D4FA498D2047A2859L0N"/>
    <hyperlink ref="A21" r:id="rId11" display="consultantplus://offline/ref=BC496DE9CD4DD003661B9BE3DD29CC0BB84219353379C154704F53E6C66F167571238B5D4FA498D2047A2859L0N"/>
    <hyperlink ref="A23" r:id="rId12" display="consultantplus://offline/ref=BC496DE9CD4DD003661B9BE3DD29CC0BB84219353379C154704F53E6C66F167571238B5D4FA498D2047A2859L0N"/>
    <hyperlink ref="A24" r:id="rId13" display="consultantplus://offline/ref=BC496DE9CD4DD003661B9BE3DD29CC0BB84219353379C154704F53E6C66F167571238B5D4FA498D2047A2859L0N"/>
    <hyperlink ref="A42" r:id="rId14" display="consultantplus://offline/ref=BC496DE9CD4DD003661B9BE3DD29CC0BB84219353379C154704F53E6C66F167571238B5D4FA498D2047A2859L0N"/>
    <hyperlink ref="A44" r:id="rId15" display="consultantplus://offline/ref=BC496DE9CD4DD003661B9BE3DD29CC0BB84219353379C154704F53E6C66F167571238B5D4FA498D2047A2859L0N"/>
    <hyperlink ref="A45" r:id="rId16" display="consultantplus://offline/ref=BC496DE9CD4DD003661B9BE3DD29CC0BB84219353379C154704F53E6C66F167571238B5D4FA498D2047A2859L0N"/>
    <hyperlink ref="A47" r:id="rId17" display="consultantplus://offline/ref=BC496DE9CD4DD003661B9BE3DD29CC0BB84219353379C154704F53E6C66F167571238B5D4FA498D2047A2859L0N"/>
    <hyperlink ref="A49" r:id="rId18" display="consultantplus://offline/ref=BC496DE9CD4DD003661B9BE3DD29CC0BB84219353379C154704F53E6C66F167571238B5D4FA498D2047A2859L0N"/>
    <hyperlink ref="A50" r:id="rId19" display="consultantplus://offline/ref=BC496DE9CD4DD003661B9BE3DD29CC0BB84219353379C154704F53E6C66F167571238B5D4FA498D2047A2859L0N"/>
    <hyperlink ref="A51" r:id="rId20" display="consultantplus://offline/ref=BC496DE9CD4DD003661B9BE3DD29CC0BB84219353379C154704F53E6C66F167571238B5D4FA498D2047A2859L3N"/>
    <hyperlink ref="A52" r:id="rId21" display="consultantplus://offline/ref=BC496DE9CD4DD003661B9BE3DD29CC0BB84219353379C154704F53E6C66F167571238B5D4FA498D2047A2859L0N"/>
    <hyperlink ref="A54" r:id="rId22" display="consultantplus://offline/ref=BC496DE9CD4DD003661B9BE3DD29CC0BB84219353379C154704F53E6C66F167571238B5D4FA498D2047A2859L0N"/>
    <hyperlink ref="A55" r:id="rId23" display="consultantplus://offline/ref=BC496DE9CD4DD003661B9BE3DD29CC0BB84219353379C154704F53E6C66F167571238B5D4FA498D2047A2859L0N"/>
    <hyperlink ref="A57" r:id="rId24" display="consultantplus://offline/ref=BC496DE9CD4DD003661B9BE3DD29CC0BB84219353379C154704F53E6C66F167571238B5D4FA498D2047A2859L0N"/>
    <hyperlink ref="A59" r:id="rId25" display="consultantplus://offline/ref=BC496DE9CD4DD003661B9BE3DD29CC0BB84219353379C154704F53E6C66F167571238B5D4FA498D2047A2859L0N"/>
    <hyperlink ref="A60" r:id="rId26" display="consultantplus://offline/ref=BC496DE9CD4DD003661B9BE3DD29CC0BB84219353379C154704F53E6C66F167571238B5D4FA498D2047A2859L0N"/>
    <hyperlink ref="A64" r:id="rId27" display="consultantplus://offline/ref=BC496DE9CD4DD003661B85EECB459202B04E433B3E7BCE04281008BB91661C22366CD21F0BA999D350L2N"/>
    <hyperlink ref="A67" r:id="rId28" display="consultantplus://offline/ref=BC496DE9CD4DD003661B85EECB459202B04F45393C7FCE04281008BB91661C22366CD21F0BA999D550L3N"/>
    <hyperlink ref="A68" r:id="rId29" display="consultantplus://offline/ref=BC496DE9CD4DD003661B85EECB459202B04F45393C7FCE04281008BB91661C22366CD21F0BA999D550L3N"/>
    <hyperlink ref="A69" r:id="rId30" display="consultantplus://offline/ref=BC496DE9CD4DD003661B85EECB459202B04F45393C7FCE04281008BB91661C22366CD21F0BA999D550L3N"/>
  </hyperlinks>
  <pageMargins left="0.70866141732283472" right="0.70866141732283472" top="0.74803149606299213" bottom="0.74803149606299213" header="0.31496062992125984" footer="0.31496062992125984"/>
  <pageSetup paperSize="9" scale="65" fitToHeight="0" orientation="landscape" r:id="rId31"/>
  <legacyDrawing r:id="rId3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94"/>
  <sheetViews>
    <sheetView workbookViewId="0">
      <pane xSplit="10" ySplit="3" topLeftCell="K4" activePane="bottomRight" state="frozen"/>
      <selection pane="topRight" activeCell="K1" sqref="K1"/>
      <selection pane="bottomLeft" activeCell="A4" sqref="A4"/>
      <selection pane="bottomRight" activeCell="B5" sqref="B5"/>
    </sheetView>
  </sheetViews>
  <sheetFormatPr defaultRowHeight="15"/>
  <cols>
    <col min="1" max="1" width="33.7109375" customWidth="1"/>
    <col min="2" max="2" width="14.140625" customWidth="1"/>
    <col min="3" max="3" width="20.85546875" customWidth="1"/>
    <col min="4" max="4" width="12.85546875" customWidth="1"/>
    <col min="5" max="6" width="18.7109375" customWidth="1"/>
    <col min="7" max="7" width="17.28515625" customWidth="1"/>
    <col min="8" max="8" width="16.7109375" customWidth="1"/>
    <col min="9" max="9" width="18" customWidth="1"/>
    <col min="10" max="10" width="15.7109375" customWidth="1"/>
    <col min="11" max="11" width="17.5703125" customWidth="1"/>
    <col min="13" max="13" width="16.85546875" customWidth="1"/>
    <col min="14" max="14" width="10.28515625" customWidth="1"/>
    <col min="15" max="15" width="21.42578125" customWidth="1"/>
    <col min="21" max="21" width="18" customWidth="1"/>
  </cols>
  <sheetData>
    <row r="1" spans="1:11" ht="40.5" customHeight="1">
      <c r="A1" s="1102" t="s">
        <v>245</v>
      </c>
      <c r="B1" s="1102" t="s">
        <v>394</v>
      </c>
      <c r="C1" s="1102"/>
      <c r="D1" s="1102"/>
      <c r="E1" s="1102"/>
      <c r="F1" s="1102"/>
      <c r="G1" s="1102"/>
      <c r="H1" s="1102"/>
      <c r="I1" s="1102"/>
      <c r="J1" s="1102"/>
    </row>
    <row r="2" spans="1:11">
      <c r="A2" s="1102"/>
      <c r="B2" s="1102" t="s">
        <v>395</v>
      </c>
      <c r="C2" s="1102" t="s">
        <v>396</v>
      </c>
      <c r="D2" s="1102"/>
      <c r="E2" s="1102"/>
      <c r="F2" s="1102"/>
      <c r="G2" s="1102"/>
      <c r="H2" s="1102"/>
      <c r="I2" s="1102"/>
      <c r="J2" s="1102"/>
    </row>
    <row r="3" spans="1:11">
      <c r="A3" s="1102"/>
      <c r="B3" s="1102"/>
      <c r="C3" s="258">
        <v>2015</v>
      </c>
      <c r="D3" s="258">
        <v>2016</v>
      </c>
      <c r="E3" s="258">
        <v>2017</v>
      </c>
      <c r="F3" s="258">
        <v>2018</v>
      </c>
      <c r="G3" s="258">
        <v>2019</v>
      </c>
      <c r="H3" s="258">
        <v>2020</v>
      </c>
      <c r="I3" s="258">
        <v>2021</v>
      </c>
      <c r="J3" s="258">
        <v>2022</v>
      </c>
    </row>
    <row r="4" spans="1:11" ht="21.75" customHeight="1">
      <c r="A4" s="1103" t="s">
        <v>397</v>
      </c>
      <c r="B4" s="1103"/>
      <c r="C4" s="1103"/>
      <c r="D4" s="1103"/>
      <c r="E4" s="1103"/>
      <c r="F4" s="1103"/>
      <c r="G4" s="1103"/>
      <c r="H4" s="1103"/>
      <c r="I4" s="1103"/>
      <c r="J4" s="1103"/>
    </row>
    <row r="5" spans="1:11">
      <c r="A5" s="259" t="s">
        <v>398</v>
      </c>
      <c r="B5" s="260">
        <f>'[3]прил .6 с мостом'!B5</f>
        <v>78559983.919999987</v>
      </c>
      <c r="C5" s="260">
        <f>'[3]прил .6 с мостом'!C5</f>
        <v>7389522.1000000006</v>
      </c>
      <c r="D5" s="260">
        <f>'[3]прил .6 с мостом'!D5</f>
        <v>8429259.5199999996</v>
      </c>
      <c r="E5" s="260">
        <f>'[3]прил .6 с мостом'!E5</f>
        <v>9666667.4999999981</v>
      </c>
      <c r="F5" s="260">
        <f>'[3]прил .6 с мостом'!F5</f>
        <v>10032250.300000001</v>
      </c>
      <c r="G5" s="260">
        <f>'[3]прил .6 с мостом'!G5</f>
        <v>9939612.4999999981</v>
      </c>
      <c r="H5" s="260">
        <f>'[3]прил .6 с мостом'!H5</f>
        <v>10814708.099999998</v>
      </c>
      <c r="I5" s="260">
        <f>'[3]прил .6 с мостом'!I5</f>
        <v>11044938.499999998</v>
      </c>
      <c r="J5" s="260">
        <f>'[3]прил .6 с мостом'!J5</f>
        <v>11243025.399999999</v>
      </c>
    </row>
    <row r="6" spans="1:11">
      <c r="A6" s="259" t="s">
        <v>399</v>
      </c>
      <c r="B6" s="260">
        <f>'[3]прил .6 с мостом'!B6</f>
        <v>9086523.0199999996</v>
      </c>
      <c r="C6" s="260">
        <f>'[3]прил .6 с мостом'!C6</f>
        <v>1562163.2000000002</v>
      </c>
      <c r="D6" s="260">
        <f>'[3]прил .6 с мостом'!D6</f>
        <v>625434.81999999995</v>
      </c>
      <c r="E6" s="260">
        <f>'[3]прил .6 с мостом'!E6</f>
        <v>924750.6</v>
      </c>
      <c r="F6" s="260">
        <f>'[3]прил .6 с мостом'!F6</f>
        <v>899982.3</v>
      </c>
      <c r="G6" s="260">
        <f>'[3]прил .6 с мостом'!G6</f>
        <v>932600</v>
      </c>
      <c r="H6" s="260">
        <f>'[3]прил .6 с мостом'!H6</f>
        <v>1380530.7</v>
      </c>
      <c r="I6" s="260">
        <f>'[3]прил .6 с мостом'!I6</f>
        <v>1380530.7</v>
      </c>
      <c r="J6" s="260">
        <f>'[3]прил .6 с мостом'!J6</f>
        <v>1380530.7</v>
      </c>
    </row>
    <row r="7" spans="1:11">
      <c r="A7" s="259" t="s">
        <v>400</v>
      </c>
      <c r="B7" s="260">
        <f>'[3]прил .6 с мостом'!B7</f>
        <v>68317536.900000006</v>
      </c>
      <c r="C7" s="260">
        <f>'[3]прил .6 с мостом'!C7</f>
        <v>5446414.7000000002</v>
      </c>
      <c r="D7" s="260">
        <f>'[3]прил .6 с мостом'!D7</f>
        <v>7684169.5999999996</v>
      </c>
      <c r="E7" s="260">
        <f>'[3]прил .6 с мостом'!E7</f>
        <v>8638936.6999999993</v>
      </c>
      <c r="F7" s="260">
        <f>'[3]прил .6 с мостом'!F7</f>
        <v>9029287.8000000007</v>
      </c>
      <c r="G7" s="260">
        <f>'[3]прил .6 с мостом'!G7</f>
        <v>8904032.2999999989</v>
      </c>
      <c r="H7" s="260">
        <f>'[3]прил .6 с мостом'!H7</f>
        <v>9313197.1999999993</v>
      </c>
      <c r="I7" s="260">
        <f>'[3]прил .6 с мостом'!I7</f>
        <v>9539810.5999999996</v>
      </c>
      <c r="J7" s="260">
        <f>'[3]прил .6 с мостом'!J7</f>
        <v>9761688</v>
      </c>
    </row>
    <row r="8" spans="1:11">
      <c r="A8" s="259" t="s">
        <v>401</v>
      </c>
      <c r="B8" s="260">
        <f>'[3]прил .6 с мостом'!B8</f>
        <v>1155923.9999999998</v>
      </c>
      <c r="C8" s="260">
        <f>'[3]прил .6 с мостом'!C8</f>
        <v>380944.2</v>
      </c>
      <c r="D8" s="260">
        <f>'[3]прил .6 с мостом'!D8</f>
        <v>119655.09999999999</v>
      </c>
      <c r="E8" s="260">
        <f>'[3]прил .6 с мостом'!E8</f>
        <v>102980.2</v>
      </c>
      <c r="F8" s="260">
        <f>'[3]прил .6 с мостом'!F8</f>
        <v>102980.2</v>
      </c>
      <c r="G8" s="260">
        <f>'[3]прил .6 с мостом'!G8</f>
        <v>102980.2</v>
      </c>
      <c r="H8" s="260">
        <f>'[3]прил .6 с мостом'!H8</f>
        <v>120980.2</v>
      </c>
      <c r="I8" s="260">
        <f>'[3]прил .6 с мостом'!I8</f>
        <v>124597.2</v>
      </c>
      <c r="J8" s="260">
        <f>'[3]прил .6 с мостом'!J8</f>
        <v>100806.7</v>
      </c>
    </row>
    <row r="9" spans="1:11">
      <c r="A9" s="259" t="s">
        <v>402</v>
      </c>
      <c r="B9" s="260">
        <f>'[3]прил .6 с мостом'!B9</f>
        <v>0</v>
      </c>
      <c r="C9" s="261">
        <f>'[3]прил .6 с мостом'!C9</f>
        <v>0</v>
      </c>
      <c r="D9" s="261">
        <f>'[3]прил .6 с мостом'!D9</f>
        <v>0</v>
      </c>
      <c r="E9" s="260"/>
      <c r="F9" s="260"/>
      <c r="G9" s="260"/>
      <c r="H9" s="260"/>
      <c r="I9" s="260"/>
      <c r="J9" s="261"/>
    </row>
    <row r="10" spans="1:11">
      <c r="A10" s="259" t="s">
        <v>403</v>
      </c>
      <c r="B10" s="260">
        <f>'[3]прил .6 с мостом'!B10</f>
        <v>20485271.619999997</v>
      </c>
      <c r="C10" s="260">
        <f>'[3]прил .6 с мостом'!C10</f>
        <v>1721621.6</v>
      </c>
      <c r="D10" s="260">
        <f>'[3]прил .6 с мостом'!D10</f>
        <v>1278114.1199999999</v>
      </c>
      <c r="E10" s="260">
        <f>'[3]прил .6 с мостом'!E10</f>
        <v>2724550.3000000003</v>
      </c>
      <c r="F10" s="260">
        <f>'[3]прил .6 с мостом'!F10</f>
        <v>2525966</v>
      </c>
      <c r="G10" s="260">
        <f>'[3]прил .6 с мостом'!G10</f>
        <v>2335603.6</v>
      </c>
      <c r="H10" s="260">
        <f>'[3]прил .6 с мостом'!H10</f>
        <v>3257150.7</v>
      </c>
      <c r="I10" s="260">
        <f>'[3]прил .6 с мостом'!I10</f>
        <v>3308747.9000000004</v>
      </c>
      <c r="J10" s="260">
        <f>'[3]прил .6 с мостом'!J10</f>
        <v>3333517.4000000004</v>
      </c>
      <c r="K10" s="205">
        <f>C10+D10+E10+F10+G10+H10+I10+J10</f>
        <v>20485271.619999997</v>
      </c>
    </row>
    <row r="11" spans="1:11">
      <c r="A11" s="259" t="s">
        <v>399</v>
      </c>
      <c r="B11" s="260">
        <f>'[3]прил .6 с мостом'!B11</f>
        <v>8629157.9199999999</v>
      </c>
      <c r="C11" s="260">
        <f>'[3]прил .6 с мостом'!C11</f>
        <v>1104798.1000000001</v>
      </c>
      <c r="D11" s="260">
        <f>'[3]прил .6 с мостом'!D11</f>
        <v>625434.81999999995</v>
      </c>
      <c r="E11" s="260">
        <f>'[3]прил .6 с мостом'!E11</f>
        <v>924750.6</v>
      </c>
      <c r="F11" s="260">
        <f>'[3]прил .6 с мостом'!F11</f>
        <v>899982.3</v>
      </c>
      <c r="G11" s="260">
        <f>'[3]прил .6 с мостом'!G11</f>
        <v>932600</v>
      </c>
      <c r="H11" s="260">
        <f>'[3]прил .6 с мостом'!H11</f>
        <v>1380530.7</v>
      </c>
      <c r="I11" s="260">
        <f>'[3]прил .6 с мостом'!I11</f>
        <v>1380530.7</v>
      </c>
      <c r="J11" s="260">
        <f>'[3]прил .6 с мостом'!J11</f>
        <v>1380530.7</v>
      </c>
    </row>
    <row r="12" spans="1:11">
      <c r="A12" s="259" t="s">
        <v>400</v>
      </c>
      <c r="B12" s="260">
        <f>'[3]прил .6 с мостом'!B12</f>
        <v>11373151.9</v>
      </c>
      <c r="C12" s="260">
        <f>'[3]прил .6 с мостом'!C12</f>
        <v>288964.5</v>
      </c>
      <c r="D12" s="260">
        <f>'[3]прил .6 с мостом'!D12</f>
        <v>625717.6</v>
      </c>
      <c r="E12" s="260">
        <f>'[3]прил .6 с мостом'!E12</f>
        <v>1777303.5</v>
      </c>
      <c r="F12" s="260">
        <f>'[3]прил .6 с мостом'!F12</f>
        <v>1602362.7000000002</v>
      </c>
      <c r="G12" s="260">
        <f>'[3]прил .6 с мостом'!G12</f>
        <v>1378803.6</v>
      </c>
      <c r="H12" s="260">
        <f>'[3]прил .6 с мостом'!H12</f>
        <v>1850000</v>
      </c>
      <c r="I12" s="260">
        <f>'[3]прил .6 с мостом'!I12</f>
        <v>1900000</v>
      </c>
      <c r="J12" s="260">
        <f>'[3]прил .6 с мостом'!J12</f>
        <v>1950000</v>
      </c>
    </row>
    <row r="13" spans="1:11">
      <c r="A13" s="259" t="s">
        <v>401</v>
      </c>
      <c r="B13" s="261">
        <f>'[3]прил .6 с мостом'!B13</f>
        <v>482961.80000000005</v>
      </c>
      <c r="C13" s="261">
        <f>'[3]прил .6 с мостом'!C13</f>
        <v>327859</v>
      </c>
      <c r="D13" s="261">
        <f>'[3]прил .6 с мостом'!D13</f>
        <v>26961.7</v>
      </c>
      <c r="E13" s="261">
        <f>'[3]прил .6 с мостом'!E13</f>
        <v>22496.2</v>
      </c>
      <c r="F13" s="261">
        <f>'[3]прил .6 с мостом'!F13</f>
        <v>23621</v>
      </c>
      <c r="G13" s="261">
        <f>'[3]прил .6 с мостом'!G13</f>
        <v>24200</v>
      </c>
      <c r="H13" s="261">
        <f>'[3]прил .6 с мостом'!H13</f>
        <v>26620</v>
      </c>
      <c r="I13" s="261">
        <f>'[3]прил .6 с мостом'!I13</f>
        <v>28217.200000000001</v>
      </c>
      <c r="J13" s="261">
        <f>'[3]прил .6 с мостом'!J13</f>
        <v>2986.7</v>
      </c>
    </row>
    <row r="14" spans="1:11">
      <c r="A14" s="259" t="s">
        <v>402</v>
      </c>
      <c r="B14" s="260"/>
      <c r="C14" s="261"/>
      <c r="D14" s="261"/>
      <c r="E14" s="260"/>
      <c r="F14" s="260"/>
      <c r="G14" s="260"/>
      <c r="H14" s="260"/>
      <c r="I14" s="260"/>
      <c r="J14" s="261"/>
    </row>
    <row r="15" spans="1:11">
      <c r="A15" s="259" t="s">
        <v>404</v>
      </c>
      <c r="B15" s="260">
        <f>'[3]прил .6 с мостом'!B15</f>
        <v>57000</v>
      </c>
      <c r="C15" s="260">
        <f>'[3]прил .6 с мостом'!C15</f>
        <v>3000</v>
      </c>
      <c r="D15" s="260">
        <f>'[3]прил .6 с мостом'!D15</f>
        <v>3000</v>
      </c>
      <c r="E15" s="260">
        <f>'[3]прил .6 с мостом'!E15</f>
        <v>3000</v>
      </c>
      <c r="F15" s="260">
        <f>'[3]прил .6 с мостом'!F15</f>
        <v>3000</v>
      </c>
      <c r="G15" s="260">
        <f>'[3]прил .6 с мостом'!G15</f>
        <v>3000</v>
      </c>
      <c r="H15" s="260">
        <f>'[3]прил .6 с мостом'!H15</f>
        <v>12000</v>
      </c>
      <c r="I15" s="260">
        <f>'[3]прил .6 с мостом'!I15</f>
        <v>14000</v>
      </c>
      <c r="J15" s="260">
        <f>'[3]прил .6 с мостом'!J15</f>
        <v>16000</v>
      </c>
    </row>
    <row r="16" spans="1:11">
      <c r="A16" s="259" t="s">
        <v>399</v>
      </c>
      <c r="B16" s="261">
        <f>'[3]прил .6 с мостом'!B16</f>
        <v>0</v>
      </c>
      <c r="C16" s="261">
        <f>'[3]прил .6 с мостом'!C16</f>
        <v>0</v>
      </c>
      <c r="D16" s="261">
        <f>'[3]прил .6 с мостом'!D16</f>
        <v>0</v>
      </c>
      <c r="E16" s="261">
        <f>'[3]прил .6 с мостом'!E16</f>
        <v>0</v>
      </c>
      <c r="F16" s="261">
        <f>'[3]прил .6 с мостом'!F16</f>
        <v>0</v>
      </c>
      <c r="G16" s="261">
        <f>'[3]прил .6 с мостом'!G16</f>
        <v>0</v>
      </c>
      <c r="H16" s="261">
        <f>'[3]прил .6 с мостом'!H16</f>
        <v>0</v>
      </c>
      <c r="I16" s="261">
        <f>'[3]прил .6 с мостом'!I16</f>
        <v>0</v>
      </c>
      <c r="J16" s="261">
        <f>'[3]прил .6 с мостом'!J16</f>
        <v>0</v>
      </c>
    </row>
    <row r="17" spans="1:11">
      <c r="A17" s="259" t="s">
        <v>400</v>
      </c>
      <c r="B17" s="260">
        <f>'[3]прил .6 с мостом'!B17</f>
        <v>57000</v>
      </c>
      <c r="C17" s="260">
        <f>'[3]прил .6 с мостом'!C17</f>
        <v>3000</v>
      </c>
      <c r="D17" s="260">
        <f>'[3]прил .6 с мостом'!D17</f>
        <v>3000</v>
      </c>
      <c r="E17" s="260">
        <f>'[3]прил .6 с мостом'!E17</f>
        <v>3000</v>
      </c>
      <c r="F17" s="260">
        <f>'[3]прил .6 с мостом'!F17</f>
        <v>3000</v>
      </c>
      <c r="G17" s="260">
        <f>'[3]прил .6 с мостом'!G17</f>
        <v>3000</v>
      </c>
      <c r="H17" s="260">
        <f>'[3]прил .6 с мостом'!H17</f>
        <v>12000</v>
      </c>
      <c r="I17" s="260">
        <f>'[3]прил .6 с мостом'!I17</f>
        <v>14000</v>
      </c>
      <c r="J17" s="260">
        <f>'[3]прил .6 с мостом'!J17</f>
        <v>16000</v>
      </c>
    </row>
    <row r="18" spans="1:11">
      <c r="A18" s="259" t="s">
        <v>401</v>
      </c>
      <c r="B18" s="261">
        <f>'[3]прил .6 с мостом'!B18</f>
        <v>0</v>
      </c>
      <c r="C18" s="261">
        <f>'[3]прил .6 с мостом'!C18</f>
        <v>0</v>
      </c>
      <c r="D18" s="261">
        <f>'[3]прил .6 с мостом'!D18</f>
        <v>0</v>
      </c>
      <c r="E18" s="261">
        <f>'[3]прил .6 с мостом'!E18</f>
        <v>0</v>
      </c>
      <c r="F18" s="261">
        <f>'[3]прил .6 с мостом'!F18</f>
        <v>0</v>
      </c>
      <c r="G18" s="261">
        <f>'[3]прил .6 с мостом'!G18</f>
        <v>0</v>
      </c>
      <c r="H18" s="261">
        <f>'[3]прил .6 с мостом'!H18</f>
        <v>0</v>
      </c>
      <c r="I18" s="261">
        <f>'[3]прил .6 с мостом'!I18</f>
        <v>0</v>
      </c>
      <c r="J18" s="261">
        <f>'[3]прил .6 с мостом'!J18</f>
        <v>0</v>
      </c>
    </row>
    <row r="19" spans="1:11">
      <c r="A19" s="259" t="s">
        <v>402</v>
      </c>
      <c r="B19" s="261">
        <f>'[3]прил .6 с мостом'!B19</f>
        <v>0</v>
      </c>
      <c r="C19" s="261">
        <f>'[3]прил .6 с мостом'!C19</f>
        <v>0</v>
      </c>
      <c r="D19" s="261">
        <f>'[3]прил .6 с мостом'!D19</f>
        <v>0</v>
      </c>
      <c r="E19" s="261">
        <f>'[3]прил .6 с мостом'!E19</f>
        <v>0</v>
      </c>
      <c r="F19" s="261">
        <f>'[3]прил .6 с мостом'!F19</f>
        <v>0</v>
      </c>
      <c r="G19" s="261">
        <f>'[3]прил .6 с мостом'!G19</f>
        <v>0</v>
      </c>
      <c r="H19" s="261">
        <f>'[3]прил .6 с мостом'!H19</f>
        <v>0</v>
      </c>
      <c r="I19" s="261">
        <f>'[3]прил .6 с мостом'!I19</f>
        <v>0</v>
      </c>
      <c r="J19" s="261">
        <f>'[3]прил .6 с мостом'!J19</f>
        <v>0</v>
      </c>
    </row>
    <row r="20" spans="1:11">
      <c r="A20" s="259" t="s">
        <v>405</v>
      </c>
      <c r="B20" s="260">
        <f>'[3]прил .6 с мостом'!B20</f>
        <v>58017712.300000004</v>
      </c>
      <c r="C20" s="260">
        <f>'[3]прил .6 с мостом'!C20</f>
        <v>5664900.5</v>
      </c>
      <c r="D20" s="260">
        <f>'[3]прил .6 с мостом'!D20</f>
        <v>7148145.4000000004</v>
      </c>
      <c r="E20" s="260">
        <f>'[3]прил .6 с мостом'!E20</f>
        <v>6939117.2000000002</v>
      </c>
      <c r="F20" s="260">
        <f>'[3]прил .6 с мостом'!F20</f>
        <v>7503284.2999999998</v>
      </c>
      <c r="G20" s="260">
        <f>'[3]прил .6 с мостом'!G20</f>
        <v>7601008.8999999994</v>
      </c>
      <c r="H20" s="260">
        <f>'[3]прил .6 с мостом'!H20</f>
        <v>7545557.4000000004</v>
      </c>
      <c r="I20" s="260">
        <f>'[3]прил .6 с мостом'!I20</f>
        <v>7722190.5999999996</v>
      </c>
      <c r="J20" s="260">
        <f>'[3]прил .6 с мостом'!J20</f>
        <v>7893508</v>
      </c>
    </row>
    <row r="21" spans="1:11">
      <c r="A21" s="259" t="s">
        <v>399</v>
      </c>
      <c r="B21" s="260">
        <f>'[3]прил .6 с мостом'!B21</f>
        <v>457365.1</v>
      </c>
      <c r="C21" s="260">
        <f>'[3]прил .6 с мостом'!C21</f>
        <v>457365.1</v>
      </c>
      <c r="D21" s="261">
        <f>'[3]прил .6 с мостом'!D21</f>
        <v>0</v>
      </c>
      <c r="E21" s="261">
        <f>'[3]прил .6 с мостом'!E21</f>
        <v>0</v>
      </c>
      <c r="F21" s="261">
        <f>'[3]прил .6 с мостом'!F21</f>
        <v>0</v>
      </c>
      <c r="G21" s="261">
        <f>'[3]прил .6 с мостом'!G21</f>
        <v>0</v>
      </c>
      <c r="H21" s="261">
        <f>'[3]прил .6 с мостом'!H21</f>
        <v>0</v>
      </c>
      <c r="I21" s="261">
        <f>'[3]прил .6 с мостом'!I21</f>
        <v>0</v>
      </c>
      <c r="J21" s="261">
        <f>'[3]прил .6 с мостом'!J21</f>
        <v>0</v>
      </c>
    </row>
    <row r="22" spans="1:11">
      <c r="A22" s="259" t="s">
        <v>400</v>
      </c>
      <c r="B22" s="260">
        <f>'[3]прил .6 с мостом'!B22</f>
        <v>56887385.000000007</v>
      </c>
      <c r="C22" s="260">
        <f>'[3]прил .6 с мостом'!C22</f>
        <v>5154450.2</v>
      </c>
      <c r="D22" s="260">
        <f>'[3]прил .6 с мостом'!D22</f>
        <v>7055452</v>
      </c>
      <c r="E22" s="260">
        <f>'[3]прил .6 с мостом'!E22</f>
        <v>6858633.2000000002</v>
      </c>
      <c r="F22" s="260">
        <f>'[3]прил .6 с мостом'!F22</f>
        <v>7423925.0999999996</v>
      </c>
      <c r="G22" s="260">
        <f>'[3]прил .6 с мостом'!G22</f>
        <v>7522228.6999999993</v>
      </c>
      <c r="H22" s="260">
        <f>'[3]прил .6 с мостом'!H22</f>
        <v>7451197.2000000002</v>
      </c>
      <c r="I22" s="260">
        <f>'[3]прил .6 с мостом'!I22</f>
        <v>7625810.5999999996</v>
      </c>
      <c r="J22" s="260">
        <f>'[3]прил .6 с мостом'!J22</f>
        <v>7795688</v>
      </c>
    </row>
    <row r="23" spans="1:11">
      <c r="A23" s="259" t="s">
        <v>401</v>
      </c>
      <c r="B23" s="260">
        <f>'[3]прил .6 с мостом'!B23</f>
        <v>672962.2</v>
      </c>
      <c r="C23" s="260">
        <f>'[3]прил .6 с мостом'!C23</f>
        <v>53085.2</v>
      </c>
      <c r="D23" s="260">
        <f>'[3]прил .6 с мостом'!D23</f>
        <v>92693.4</v>
      </c>
      <c r="E23" s="260">
        <f>'[3]прил .6 с мостом'!E23</f>
        <v>80484</v>
      </c>
      <c r="F23" s="260">
        <f>'[3]прил .6 с мостом'!F23</f>
        <v>79359.199999999997</v>
      </c>
      <c r="G23" s="260">
        <f>'[3]прил .6 с мостом'!G23</f>
        <v>78780.2</v>
      </c>
      <c r="H23" s="260">
        <f>'[3]прил .6 с мостом'!H23</f>
        <v>94360.2</v>
      </c>
      <c r="I23" s="260">
        <f>'[3]прил .6 с мостом'!I23</f>
        <v>96380</v>
      </c>
      <c r="J23" s="260">
        <f>'[3]прил .6 с мостом'!J23</f>
        <v>97820</v>
      </c>
    </row>
    <row r="24" spans="1:11">
      <c r="A24" s="259" t="s">
        <v>402</v>
      </c>
      <c r="B24" s="261">
        <f>'[3]прил .6 с мостом'!B24</f>
        <v>0</v>
      </c>
      <c r="C24" s="261">
        <f>'[3]прил .6 с мостом'!C24</f>
        <v>0</v>
      </c>
      <c r="D24" s="261">
        <f>'[3]прил .6 с мостом'!D24</f>
        <v>0</v>
      </c>
      <c r="E24" s="261">
        <f>'[3]прил .6 с мостом'!E24</f>
        <v>0</v>
      </c>
      <c r="F24" s="261">
        <f>'[3]прил .6 с мостом'!F24</f>
        <v>0</v>
      </c>
      <c r="G24" s="261">
        <f>'[3]прил .6 с мостом'!G24</f>
        <v>0</v>
      </c>
      <c r="H24" s="261">
        <f>'[3]прил .6 с мостом'!H24</f>
        <v>0</v>
      </c>
      <c r="I24" s="261">
        <f>'[3]прил .6 с мостом'!I24</f>
        <v>0</v>
      </c>
      <c r="J24" s="261">
        <f>'[3]прил .6 с мостом'!J24</f>
        <v>0</v>
      </c>
    </row>
    <row r="25" spans="1:11" ht="20.25" customHeight="1">
      <c r="A25" s="1104" t="s">
        <v>406</v>
      </c>
      <c r="B25" s="1104"/>
      <c r="C25" s="1104"/>
      <c r="D25" s="1104"/>
      <c r="E25" s="1104"/>
      <c r="F25" s="1104"/>
      <c r="G25" s="1104"/>
      <c r="H25" s="1104"/>
      <c r="I25" s="1104"/>
      <c r="J25" s="1104"/>
    </row>
    <row r="26" spans="1:11">
      <c r="A26" s="259" t="s">
        <v>398</v>
      </c>
      <c r="B26" s="260">
        <f>'[3]прил .6 с мостом'!B26</f>
        <v>78559983.919999987</v>
      </c>
      <c r="C26" s="260">
        <f>'[3]прил .6 с мостом'!C26</f>
        <v>7389522.1000000006</v>
      </c>
      <c r="D26" s="260">
        <f>'[3]прил .6 с мостом'!D26</f>
        <v>8429259.5199999996</v>
      </c>
      <c r="E26" s="260">
        <f>'[3]прил .6 с мостом'!E26</f>
        <v>9666667.4999999981</v>
      </c>
      <c r="F26" s="260">
        <f>'[3]прил .6 с мостом'!F26</f>
        <v>10032250.300000001</v>
      </c>
      <c r="G26" s="260">
        <f>'[3]прил .6 с мостом'!G26</f>
        <v>9939612.4999999981</v>
      </c>
      <c r="H26" s="260">
        <f>'[3]прил .6 с мостом'!H26</f>
        <v>10814708.099999998</v>
      </c>
      <c r="I26" s="260">
        <f>'[3]прил .6 с мостом'!I26</f>
        <v>11044938.499999998</v>
      </c>
      <c r="J26" s="260">
        <f>'[3]прил .6 с мостом'!J26</f>
        <v>11243025.399999999</v>
      </c>
    </row>
    <row r="27" spans="1:11">
      <c r="A27" s="259" t="s">
        <v>399</v>
      </c>
      <c r="B27" s="260">
        <f>'[3]прил .6 с мостом'!B27</f>
        <v>9086523.0199999996</v>
      </c>
      <c r="C27" s="260">
        <f>'[3]прил .6 с мостом'!C27</f>
        <v>1562163.2000000002</v>
      </c>
      <c r="D27" s="260">
        <f>'[3]прил .6 с мостом'!D27</f>
        <v>625434.81999999995</v>
      </c>
      <c r="E27" s="260">
        <f>'[3]прил .6 с мостом'!E27</f>
        <v>924750.6</v>
      </c>
      <c r="F27" s="260">
        <f>'[3]прил .6 с мостом'!F27</f>
        <v>899982.3</v>
      </c>
      <c r="G27" s="260">
        <f>'[3]прил .6 с мостом'!G27</f>
        <v>932600</v>
      </c>
      <c r="H27" s="260">
        <f>'[3]прил .6 с мостом'!H27</f>
        <v>1380530.7</v>
      </c>
      <c r="I27" s="260">
        <f>'[3]прил .6 с мостом'!I27</f>
        <v>1380530.7</v>
      </c>
      <c r="J27" s="260">
        <f>'[3]прил .6 с мостом'!J27</f>
        <v>1380530.7</v>
      </c>
    </row>
    <row r="28" spans="1:11">
      <c r="A28" s="259" t="s">
        <v>400</v>
      </c>
      <c r="B28" s="260">
        <f>'[3]прил .6 с мостом'!B28</f>
        <v>68317536.900000006</v>
      </c>
      <c r="C28" s="260">
        <f>'[3]прил .6 с мостом'!C28</f>
        <v>5446414.7000000002</v>
      </c>
      <c r="D28" s="260">
        <f>'[3]прил .6 с мостом'!D28</f>
        <v>7684169.5999999996</v>
      </c>
      <c r="E28" s="260">
        <f>'[3]прил .6 с мостом'!E28</f>
        <v>8638936.6999999993</v>
      </c>
      <c r="F28" s="260">
        <f>'[3]прил .6 с мостом'!F28</f>
        <v>9029287.8000000007</v>
      </c>
      <c r="G28" s="260">
        <f>'[3]прил .6 с мостом'!G28</f>
        <v>8904032.2999999989</v>
      </c>
      <c r="H28" s="260">
        <f>'[3]прил .6 с мостом'!H28</f>
        <v>9313197.1999999993</v>
      </c>
      <c r="I28" s="260">
        <f>'[3]прил .6 с мостом'!I28</f>
        <v>9539810.5999999996</v>
      </c>
      <c r="J28" s="260">
        <f>'[3]прил .6 с мостом'!J28</f>
        <v>9761688</v>
      </c>
    </row>
    <row r="29" spans="1:11">
      <c r="A29" s="259" t="s">
        <v>401</v>
      </c>
      <c r="B29" s="260">
        <f>'[3]прил .6 с мостом'!B29</f>
        <v>1155923.9999999998</v>
      </c>
      <c r="C29" s="260">
        <f>'[3]прил .6 с мостом'!C29</f>
        <v>380944.2</v>
      </c>
      <c r="D29" s="260">
        <f>'[3]прил .6 с мостом'!D29</f>
        <v>119655.09999999999</v>
      </c>
      <c r="E29" s="260">
        <f>'[3]прил .6 с мостом'!E29</f>
        <v>102980.2</v>
      </c>
      <c r="F29" s="260">
        <f>'[3]прил .6 с мостом'!F29</f>
        <v>102980.2</v>
      </c>
      <c r="G29" s="260">
        <f>'[3]прил .6 с мостом'!G29</f>
        <v>102980.2</v>
      </c>
      <c r="H29" s="260">
        <f>'[3]прил .6 с мостом'!H29</f>
        <v>120980.2</v>
      </c>
      <c r="I29" s="260">
        <f>'[3]прил .6 с мостом'!I29</f>
        <v>124597.2</v>
      </c>
      <c r="J29" s="260">
        <f>'[3]прил .6 с мостом'!J29</f>
        <v>100806.7</v>
      </c>
    </row>
    <row r="30" spans="1:11">
      <c r="A30" s="259" t="s">
        <v>402</v>
      </c>
      <c r="B30" s="260"/>
      <c r="C30" s="261">
        <f>'[3]прил .6 с мостом'!C30</f>
        <v>0</v>
      </c>
      <c r="D30" s="261">
        <f>'[3]прил .6 с мостом'!D30</f>
        <v>0</v>
      </c>
      <c r="E30" s="260"/>
      <c r="F30" s="260"/>
      <c r="G30" s="260"/>
      <c r="H30" s="260"/>
      <c r="I30" s="260"/>
      <c r="J30" s="261">
        <f>'[3]прил .6 с мостом'!J30</f>
        <v>0</v>
      </c>
    </row>
    <row r="31" spans="1:11" ht="19.5" customHeight="1">
      <c r="A31" s="259" t="s">
        <v>403</v>
      </c>
      <c r="B31" s="260">
        <f>'[3]прил .6 с мостом'!B31</f>
        <v>20485271.619999997</v>
      </c>
      <c r="C31" s="260">
        <f>'[3]прил .6 с мостом'!C31</f>
        <v>1721621.6</v>
      </c>
      <c r="D31" s="260">
        <f>'[3]прил .6 с мостом'!D31</f>
        <v>1278114.1199999999</v>
      </c>
      <c r="E31" s="260">
        <f>'[3]прил .6 с мостом'!E31</f>
        <v>2724550.3000000003</v>
      </c>
      <c r="F31" s="260">
        <f>'[3]прил .6 с мостом'!F31</f>
        <v>2525966</v>
      </c>
      <c r="G31" s="260">
        <f>'[3]прил .6 с мостом'!G31</f>
        <v>2335603.6</v>
      </c>
      <c r="H31" s="260">
        <f>'[3]прил .6 с мостом'!H31</f>
        <v>3257150.7</v>
      </c>
      <c r="I31" s="260">
        <f>'[3]прил .6 с мостом'!I31</f>
        <v>3308747.9000000004</v>
      </c>
      <c r="J31" s="260">
        <f>'[3]прил .6 с мостом'!J31</f>
        <v>3333517.4000000004</v>
      </c>
      <c r="K31" s="205">
        <f>C31+D31+E31+F31+G31+H31+I31+J31</f>
        <v>20485271.619999997</v>
      </c>
    </row>
    <row r="32" spans="1:11">
      <c r="A32" s="259" t="s">
        <v>399</v>
      </c>
      <c r="B32" s="260">
        <f>'[3]прил .6 с мостом'!B32</f>
        <v>8629157.9199999999</v>
      </c>
      <c r="C32" s="260">
        <f>'[3]прил .6 с мостом'!C32</f>
        <v>1104798.1000000001</v>
      </c>
      <c r="D32" s="260">
        <f>'[3]прил .6 с мостом'!D32</f>
        <v>625434.81999999995</v>
      </c>
      <c r="E32" s="260">
        <f>'[3]прил .6 с мостом'!E32</f>
        <v>924750.6</v>
      </c>
      <c r="F32" s="260">
        <f>'[3]прил .6 с мостом'!F32</f>
        <v>899982.3</v>
      </c>
      <c r="G32" s="260">
        <f>'[3]прил .6 с мостом'!G32</f>
        <v>932600</v>
      </c>
      <c r="H32" s="260">
        <f>'[3]прил .6 с мостом'!H32</f>
        <v>1380530.7</v>
      </c>
      <c r="I32" s="260">
        <f>'[3]прил .6 с мостом'!I32</f>
        <v>1380530.7</v>
      </c>
      <c r="J32" s="260">
        <f>'[3]прил .6 с мостом'!J32</f>
        <v>1380530.7</v>
      </c>
    </row>
    <row r="33" spans="1:10">
      <c r="A33" s="259" t="s">
        <v>400</v>
      </c>
      <c r="B33" s="260">
        <f>'[3]прил .6 с мостом'!B33</f>
        <v>11373151.9</v>
      </c>
      <c r="C33" s="260">
        <f>'[3]прил .6 с мостом'!C33</f>
        <v>288964.5</v>
      </c>
      <c r="D33" s="260">
        <f>'[3]прил .6 с мостом'!D33</f>
        <v>625717.6</v>
      </c>
      <c r="E33" s="260">
        <f>'[3]прил .6 с мостом'!E33</f>
        <v>1777303.5</v>
      </c>
      <c r="F33" s="260">
        <f>'[3]прил .6 с мостом'!F33</f>
        <v>1602362.7000000002</v>
      </c>
      <c r="G33" s="260">
        <f>'[3]прил .6 с мостом'!G33</f>
        <v>1378803.6</v>
      </c>
      <c r="H33" s="260">
        <f>'[3]прил .6 с мостом'!H33</f>
        <v>1850000</v>
      </c>
      <c r="I33" s="260">
        <f>'[3]прил .6 с мостом'!I33</f>
        <v>1900000</v>
      </c>
      <c r="J33" s="260">
        <f>'[3]прил .6 с мостом'!J33</f>
        <v>1950000</v>
      </c>
    </row>
    <row r="34" spans="1:10">
      <c r="A34" s="259" t="s">
        <v>401</v>
      </c>
      <c r="B34" s="261">
        <f>'[3]прил .6 с мостом'!B34</f>
        <v>482961.80000000005</v>
      </c>
      <c r="C34" s="261">
        <f>'[3]прил .6 с мостом'!C34</f>
        <v>327859</v>
      </c>
      <c r="D34" s="261">
        <f>'[3]прил .6 с мостом'!D34</f>
        <v>26961.7</v>
      </c>
      <c r="E34" s="261">
        <f>'[3]прил .6 с мостом'!E34</f>
        <v>22496.2</v>
      </c>
      <c r="F34" s="261">
        <f>'[3]прил .6 с мостом'!F34</f>
        <v>23621</v>
      </c>
      <c r="G34" s="261">
        <f>'[3]прил .6 с мостом'!G34</f>
        <v>24200</v>
      </c>
      <c r="H34" s="261">
        <f>'[3]прил .6 с мостом'!H34</f>
        <v>26620</v>
      </c>
      <c r="I34" s="261">
        <f>'[3]прил .6 с мостом'!I34</f>
        <v>28217.200000000001</v>
      </c>
      <c r="J34" s="261">
        <f>'[3]прил .6 с мостом'!J34</f>
        <v>2986.7</v>
      </c>
    </row>
    <row r="35" spans="1:10">
      <c r="A35" s="259" t="s">
        <v>402</v>
      </c>
      <c r="B35" s="260"/>
      <c r="C35" s="261">
        <f>'[3]прил .6 с мостом'!C35</f>
        <v>0</v>
      </c>
      <c r="D35" s="261">
        <f>'[3]прил .6 с мостом'!D35</f>
        <v>0</v>
      </c>
      <c r="E35" s="260"/>
      <c r="F35" s="260"/>
      <c r="G35" s="260"/>
      <c r="H35" s="260"/>
      <c r="I35" s="260"/>
      <c r="J35" s="261"/>
    </row>
    <row r="36" spans="1:10">
      <c r="A36" s="259" t="s">
        <v>404</v>
      </c>
      <c r="B36" s="260">
        <f>'[3]прил .6 с мостом'!B36</f>
        <v>57000</v>
      </c>
      <c r="C36" s="260">
        <f>'[3]прил .6 с мостом'!C36</f>
        <v>3000</v>
      </c>
      <c r="D36" s="260">
        <f>'[3]прил .6 с мостом'!D36</f>
        <v>3000</v>
      </c>
      <c r="E36" s="260">
        <f>'[3]прил .6 с мостом'!E36</f>
        <v>3000</v>
      </c>
      <c r="F36" s="260">
        <f>'[3]прил .6 с мостом'!F36</f>
        <v>3000</v>
      </c>
      <c r="G36" s="260">
        <f>'[3]прил .6 с мостом'!G36</f>
        <v>3000</v>
      </c>
      <c r="H36" s="260">
        <f>'[3]прил .6 с мостом'!H36</f>
        <v>12000</v>
      </c>
      <c r="I36" s="260">
        <f>'[3]прил .6 с мостом'!I36</f>
        <v>14000</v>
      </c>
      <c r="J36" s="260">
        <f>'[3]прил .6 с мостом'!J36</f>
        <v>16000</v>
      </c>
    </row>
    <row r="37" spans="1:10">
      <c r="A37" s="259" t="s">
        <v>399</v>
      </c>
      <c r="B37" s="261">
        <f>'[3]прил .6 с мостом'!B37</f>
        <v>0</v>
      </c>
      <c r="C37" s="261">
        <f>'[3]прил .6 с мостом'!C37</f>
        <v>0</v>
      </c>
      <c r="D37" s="261">
        <f>'[3]прил .6 с мостом'!D37</f>
        <v>0</v>
      </c>
      <c r="E37" s="261">
        <f>'[3]прил .6 с мостом'!E37</f>
        <v>0</v>
      </c>
      <c r="F37" s="261">
        <f>'[3]прил .6 с мостом'!F37</f>
        <v>0</v>
      </c>
      <c r="G37" s="261">
        <f>'[3]прил .6 с мостом'!G37</f>
        <v>0</v>
      </c>
      <c r="H37" s="261">
        <f>'[3]прил .6 с мостом'!H37</f>
        <v>0</v>
      </c>
      <c r="I37" s="261">
        <f>'[3]прил .6 с мостом'!I37</f>
        <v>0</v>
      </c>
      <c r="J37" s="261">
        <f>'[3]прил .6 с мостом'!J37</f>
        <v>0</v>
      </c>
    </row>
    <row r="38" spans="1:10">
      <c r="A38" s="259" t="s">
        <v>400</v>
      </c>
      <c r="B38" s="260">
        <f>'[3]прил .6 с мостом'!B38</f>
        <v>57000</v>
      </c>
      <c r="C38" s="260">
        <f>'[3]прил .6 с мостом'!C38</f>
        <v>3000</v>
      </c>
      <c r="D38" s="260">
        <f>'[3]прил .6 с мостом'!D38</f>
        <v>3000</v>
      </c>
      <c r="E38" s="260">
        <f>'[3]прил .6 с мостом'!E38</f>
        <v>3000</v>
      </c>
      <c r="F38" s="260">
        <f>'[3]прил .6 с мостом'!F38</f>
        <v>3000</v>
      </c>
      <c r="G38" s="260">
        <f>'[3]прил .6 с мостом'!G38</f>
        <v>3000</v>
      </c>
      <c r="H38" s="260">
        <f>'[3]прил .6 с мостом'!H38</f>
        <v>12000</v>
      </c>
      <c r="I38" s="260">
        <f>'[3]прил .6 с мостом'!I38</f>
        <v>14000</v>
      </c>
      <c r="J38" s="260">
        <f>'[3]прил .6 с мостом'!J38</f>
        <v>16000</v>
      </c>
    </row>
    <row r="39" spans="1:10">
      <c r="A39" s="259" t="s">
        <v>401</v>
      </c>
      <c r="B39" s="261">
        <f>'[3]прил .6 с мостом'!B39</f>
        <v>0</v>
      </c>
      <c r="C39" s="261">
        <f>'[3]прил .6 с мостом'!C39</f>
        <v>0</v>
      </c>
      <c r="D39" s="261">
        <f>'[3]прил .6 с мостом'!D39</f>
        <v>0</v>
      </c>
      <c r="E39" s="261">
        <f>'[3]прил .6 с мостом'!E39</f>
        <v>0</v>
      </c>
      <c r="F39" s="261">
        <f>'[3]прил .6 с мостом'!F39</f>
        <v>0</v>
      </c>
      <c r="G39" s="261">
        <f>'[3]прил .6 с мостом'!G39</f>
        <v>0</v>
      </c>
      <c r="H39" s="261">
        <f>'[3]прил .6 с мостом'!H39</f>
        <v>0</v>
      </c>
      <c r="I39" s="261">
        <f>'[3]прил .6 с мостом'!I39</f>
        <v>0</v>
      </c>
      <c r="J39" s="261">
        <f>'[3]прил .6 с мостом'!J39</f>
        <v>0</v>
      </c>
    </row>
    <row r="40" spans="1:10">
      <c r="A40" s="259" t="s">
        <v>402</v>
      </c>
      <c r="B40" s="261">
        <f>'[3]прил .6 с мостом'!B40</f>
        <v>0</v>
      </c>
      <c r="C40" s="261">
        <f>'[3]прил .6 с мостом'!C40</f>
        <v>0</v>
      </c>
      <c r="D40" s="261">
        <f>'[3]прил .6 с мостом'!D40</f>
        <v>0</v>
      </c>
      <c r="E40" s="261">
        <f>'[3]прил .6 с мостом'!E40</f>
        <v>0</v>
      </c>
      <c r="F40" s="261">
        <f>'[3]прил .6 с мостом'!F40</f>
        <v>0</v>
      </c>
      <c r="G40" s="261">
        <f>'[3]прил .6 с мостом'!G40</f>
        <v>0</v>
      </c>
      <c r="H40" s="261">
        <f>'[3]прил .6 с мостом'!H40</f>
        <v>0</v>
      </c>
      <c r="I40" s="261">
        <f>'[3]прил .6 с мостом'!I40</f>
        <v>0</v>
      </c>
      <c r="J40" s="261">
        <f>'[3]прил .6 с мостом'!J40</f>
        <v>0</v>
      </c>
    </row>
    <row r="41" spans="1:10">
      <c r="A41" s="259" t="s">
        <v>405</v>
      </c>
      <c r="B41" s="260">
        <f>'[3]прил .6 с мостом'!B41</f>
        <v>58017712.300000004</v>
      </c>
      <c r="C41" s="260">
        <f>'[3]прил .6 с мостом'!C41</f>
        <v>5664900.5</v>
      </c>
      <c r="D41" s="260">
        <f>'[3]прил .6 с мостом'!D41</f>
        <v>7148145.4000000004</v>
      </c>
      <c r="E41" s="260">
        <f>'[3]прил .6 с мостом'!E41</f>
        <v>6939117.2000000002</v>
      </c>
      <c r="F41" s="260">
        <f>'[3]прил .6 с мостом'!F41</f>
        <v>7503284.2999999998</v>
      </c>
      <c r="G41" s="260">
        <f>'[3]прил .6 с мостом'!G41</f>
        <v>7601008.8999999994</v>
      </c>
      <c r="H41" s="260">
        <f>'[3]прил .6 с мостом'!H41</f>
        <v>7545557.4000000004</v>
      </c>
      <c r="I41" s="260">
        <f>'[3]прил .6 с мостом'!I41</f>
        <v>7722190.5999999996</v>
      </c>
      <c r="J41" s="260">
        <f>'[3]прил .6 с мостом'!J41</f>
        <v>7893508</v>
      </c>
    </row>
    <row r="42" spans="1:10">
      <c r="A42" s="259" t="s">
        <v>399</v>
      </c>
      <c r="B42" s="260">
        <f>'[3]прил .6 с мостом'!B42</f>
        <v>457365.1</v>
      </c>
      <c r="C42" s="260">
        <f>'[3]прил .6 с мостом'!C42</f>
        <v>457365.1</v>
      </c>
      <c r="D42" s="261">
        <f>'[3]прил .6 с мостом'!D42</f>
        <v>0</v>
      </c>
      <c r="E42" s="261">
        <f>'[3]прил .6 с мостом'!E42</f>
        <v>0</v>
      </c>
      <c r="F42" s="261">
        <f>'[3]прил .6 с мостом'!F42</f>
        <v>0</v>
      </c>
      <c r="G42" s="261">
        <f>'[3]прил .6 с мостом'!G42</f>
        <v>0</v>
      </c>
      <c r="H42" s="261">
        <f>'[3]прил .6 с мостом'!H42</f>
        <v>0</v>
      </c>
      <c r="I42" s="261">
        <f>'[3]прил .6 с мостом'!I42</f>
        <v>0</v>
      </c>
      <c r="J42" s="261">
        <f>'[3]прил .6 с мостом'!J42</f>
        <v>0</v>
      </c>
    </row>
    <row r="43" spans="1:10">
      <c r="A43" s="259" t="s">
        <v>400</v>
      </c>
      <c r="B43" s="260">
        <f>'[3]прил .6 с мостом'!B43</f>
        <v>56887385.000000007</v>
      </c>
      <c r="C43" s="260">
        <f>'[3]прил .6 с мостом'!C43</f>
        <v>5154450.2</v>
      </c>
      <c r="D43" s="260">
        <f>'[3]прил .6 с мостом'!D43</f>
        <v>7055452</v>
      </c>
      <c r="E43" s="260">
        <f>'[3]прил .6 с мостом'!E43</f>
        <v>6858633.2000000002</v>
      </c>
      <c r="F43" s="260">
        <f>'[3]прил .6 с мостом'!F43</f>
        <v>7423925.0999999996</v>
      </c>
      <c r="G43" s="260">
        <f>'[3]прил .6 с мостом'!G43</f>
        <v>7522228.6999999993</v>
      </c>
      <c r="H43" s="260">
        <f>'[3]прил .6 с мостом'!H43</f>
        <v>7451197.2000000002</v>
      </c>
      <c r="I43" s="260">
        <f>'[3]прил .6 с мостом'!I43</f>
        <v>7625810.5999999996</v>
      </c>
      <c r="J43" s="260">
        <f>'[3]прил .6 с мостом'!J43</f>
        <v>7795688</v>
      </c>
    </row>
    <row r="44" spans="1:10">
      <c r="A44" s="259" t="s">
        <v>401</v>
      </c>
      <c r="B44" s="260">
        <f>'[3]прил .6 с мостом'!B44</f>
        <v>672962.2</v>
      </c>
      <c r="C44" s="260">
        <f>'[3]прил .6 с мостом'!C44</f>
        <v>53085.2</v>
      </c>
      <c r="D44" s="260">
        <f>'[3]прил .6 с мостом'!D44</f>
        <v>92693.4</v>
      </c>
      <c r="E44" s="260">
        <f>'[3]прил .6 с мостом'!E44</f>
        <v>80484</v>
      </c>
      <c r="F44" s="260">
        <f>'[3]прил .6 с мостом'!F44</f>
        <v>79359.199999999997</v>
      </c>
      <c r="G44" s="260">
        <f>'[3]прил .6 с мостом'!G44</f>
        <v>78780.2</v>
      </c>
      <c r="H44" s="260">
        <f>'[3]прил .6 с мостом'!H44</f>
        <v>94360.2</v>
      </c>
      <c r="I44" s="260">
        <f>'[3]прил .6 с мостом'!I44</f>
        <v>96380</v>
      </c>
      <c r="J44" s="260">
        <f>'[3]прил .6 с мостом'!J44</f>
        <v>97820</v>
      </c>
    </row>
    <row r="45" spans="1:10">
      <c r="A45" s="259" t="s">
        <v>402</v>
      </c>
      <c r="B45" s="261">
        <f>'[3]прил .6 с мостом'!B45</f>
        <v>0</v>
      </c>
      <c r="C45" s="261">
        <f>'[3]прил .6 с мостом'!C45</f>
        <v>0</v>
      </c>
      <c r="D45" s="261">
        <f>'[3]прил .6 с мостом'!D45</f>
        <v>0</v>
      </c>
      <c r="E45" s="261">
        <f>'[3]прил .6 с мостом'!E45</f>
        <v>0</v>
      </c>
      <c r="F45" s="261">
        <f>'[3]прил .6 с мостом'!F45</f>
        <v>0</v>
      </c>
      <c r="G45" s="261">
        <f>'[3]прил .6 с мостом'!G45</f>
        <v>0</v>
      </c>
      <c r="H45" s="261">
        <f>'[3]прил .6 с мостом'!H45</f>
        <v>0</v>
      </c>
      <c r="I45" s="261">
        <f>'[3]прил .6 с мостом'!I45</f>
        <v>0</v>
      </c>
      <c r="J45" s="261">
        <f>'[3]прил .6 с мостом'!J45</f>
        <v>0</v>
      </c>
    </row>
    <row r="46" spans="1:10" ht="50.25" customHeight="1">
      <c r="A46" s="259" t="s">
        <v>407</v>
      </c>
      <c r="B46" s="260">
        <f>'[3]прил .6 с мостом'!B46</f>
        <v>4087696.2</v>
      </c>
      <c r="C46" s="260">
        <f>'[3]прил .6 с мостом'!C46</f>
        <v>533688</v>
      </c>
      <c r="D46" s="260">
        <f>'[3]прил .6 с мостом'!D46</f>
        <v>560906</v>
      </c>
      <c r="E46" s="260">
        <f>'[3]прил .6 с мостом'!E46</f>
        <v>429099</v>
      </c>
      <c r="F46" s="260">
        <f>'[3]прил .6 с мостом'!F46</f>
        <v>454844.9</v>
      </c>
      <c r="G46" s="260">
        <f>'[3]прил .6 с мостом'!G46</f>
        <v>482135.6</v>
      </c>
      <c r="H46" s="260">
        <f>'[3]прил .6 с мостом'!H46</f>
        <v>511063.8</v>
      </c>
      <c r="I46" s="260">
        <f>'[3]прил .6 с мостом'!I46</f>
        <v>541727.6</v>
      </c>
      <c r="J46" s="260">
        <f>'[3]прил .6 с мостом'!J46</f>
        <v>574231.30000000005</v>
      </c>
    </row>
    <row r="47" spans="1:10">
      <c r="A47" s="259" t="s">
        <v>408</v>
      </c>
      <c r="B47" s="1101">
        <f>'[3]прил .6 с мостом'!B47:B48</f>
        <v>9086523.0500000007</v>
      </c>
      <c r="C47" s="1101">
        <f>'[3]прил .6 с мостом'!C47:C48</f>
        <v>1562163.2000000002</v>
      </c>
      <c r="D47" s="1101">
        <f>'[3]прил .6 с мостом'!D47:D48</f>
        <v>625434.81999999995</v>
      </c>
      <c r="E47" s="1101">
        <f>'[3]прил .6 с мостом'!E47:E48</f>
        <v>924750.63000000012</v>
      </c>
      <c r="F47" s="1101">
        <f>'[3]прил .6 с мостом'!F47:F48</f>
        <v>899982.3</v>
      </c>
      <c r="G47" s="1101">
        <f>'[3]прил .6 с мостом'!G47:G48</f>
        <v>932600</v>
      </c>
      <c r="H47" s="1101">
        <f>'[3]прил .6 с мостом'!H47:H48</f>
        <v>1380530.7</v>
      </c>
      <c r="I47" s="1101">
        <f>'[3]прил .6 с мостом'!I47:I48</f>
        <v>1380530.7</v>
      </c>
      <c r="J47" s="1101">
        <f>'[3]прил .6 с мостом'!J47:J48</f>
        <v>1380530.7</v>
      </c>
    </row>
    <row r="48" spans="1:10" ht="62.25" customHeight="1">
      <c r="A48" s="259" t="s">
        <v>409</v>
      </c>
      <c r="B48" s="1101"/>
      <c r="C48" s="1101"/>
      <c r="D48" s="1101"/>
      <c r="E48" s="1101"/>
      <c r="F48" s="1101"/>
      <c r="G48" s="1101"/>
      <c r="H48" s="1101"/>
      <c r="I48" s="1101"/>
      <c r="J48" s="1101"/>
    </row>
    <row r="49" spans="1:21" s="207" customFormat="1" ht="15.75" hidden="1" customHeight="1">
      <c r="A49" s="259" t="s">
        <v>30</v>
      </c>
      <c r="B49" s="1105">
        <f>'[3]прил .6 с мостом'!B50</f>
        <v>472799.23</v>
      </c>
      <c r="C49" s="1105">
        <f>'[3]прил .6 с мостом'!C50</f>
        <v>95879.3</v>
      </c>
      <c r="D49" s="1105">
        <f>'[3]прил .6 с мостом'!D50</f>
        <v>60969.599999999999</v>
      </c>
      <c r="E49" s="1105">
        <f>'[3]прил .6 с мостом'!E50</f>
        <v>315950.33</v>
      </c>
      <c r="F49" s="1105"/>
      <c r="G49" s="1105"/>
      <c r="H49" s="1105"/>
      <c r="I49" s="1105"/>
      <c r="J49" s="1105"/>
    </row>
    <row r="50" spans="1:21" ht="152.25" customHeight="1">
      <c r="A50" s="259" t="s">
        <v>410</v>
      </c>
      <c r="B50" s="1106"/>
      <c r="C50" s="1106"/>
      <c r="D50" s="1106"/>
      <c r="E50" s="1106"/>
      <c r="F50" s="1106"/>
      <c r="G50" s="1106"/>
      <c r="H50" s="1106"/>
      <c r="I50" s="1106"/>
      <c r="J50" s="1106"/>
    </row>
    <row r="51" spans="1:21" ht="127.5" customHeight="1">
      <c r="A51" s="259" t="s">
        <v>411</v>
      </c>
      <c r="B51" s="260">
        <f>'[3]прил .6 с мостом'!B51</f>
        <v>8156358.7200000007</v>
      </c>
      <c r="C51" s="260">
        <f>'[3]прил .6 с мостом'!C51</f>
        <v>1008918.8</v>
      </c>
      <c r="D51" s="260">
        <f>'[3]прил .6 с мостом'!D51</f>
        <v>564465.22</v>
      </c>
      <c r="E51" s="260">
        <f>'[3]прил .6 с мостом'!E51</f>
        <v>608800.30000000005</v>
      </c>
      <c r="F51" s="260">
        <f>'[3]прил .6 с мостом'!F51</f>
        <v>899982.3</v>
      </c>
      <c r="G51" s="260">
        <f>'[3]прил .6 с мостом'!G51</f>
        <v>932600</v>
      </c>
      <c r="H51" s="260">
        <f>'[3]прил .6 с мостом'!H51</f>
        <v>1380530.7</v>
      </c>
      <c r="I51" s="260">
        <f>'[3]прил .6 с мостом'!I51</f>
        <v>1380530.7</v>
      </c>
      <c r="J51" s="260">
        <f>'[3]прил .6 с мостом'!J51</f>
        <v>1380530.7</v>
      </c>
    </row>
    <row r="52" spans="1:21" ht="102" customHeight="1">
      <c r="A52" s="259" t="s">
        <v>412</v>
      </c>
      <c r="B52" s="260">
        <f>'[3]прил .6 с мостом'!B52</f>
        <v>457365.1</v>
      </c>
      <c r="C52" s="260">
        <f>'[3]прил .6 с мостом'!C52</f>
        <v>457365.1</v>
      </c>
      <c r="D52" s="260"/>
      <c r="E52" s="260"/>
      <c r="F52" s="260"/>
      <c r="G52" s="260"/>
      <c r="H52" s="260"/>
      <c r="I52" s="260"/>
      <c r="J52" s="260"/>
    </row>
    <row r="53" spans="1:21" ht="146.25" customHeight="1">
      <c r="A53" s="259" t="s">
        <v>413</v>
      </c>
      <c r="B53" s="260"/>
      <c r="C53" s="260"/>
      <c r="D53" s="260"/>
      <c r="E53" s="260"/>
      <c r="F53" s="260"/>
      <c r="G53" s="260"/>
      <c r="H53" s="260"/>
      <c r="I53" s="260"/>
      <c r="J53" s="260"/>
      <c r="K53" s="208">
        <f>B53</f>
        <v>0</v>
      </c>
    </row>
    <row r="54" spans="1:21" ht="30" customHeight="1" thickBot="1"/>
    <row r="55" spans="1:21" ht="45" customHeight="1" thickBot="1">
      <c r="A55" s="209" t="s">
        <v>414</v>
      </c>
      <c r="B55" s="210">
        <f>'[3]прил .6 с мостом'!B55</f>
        <v>0</v>
      </c>
      <c r="C55" s="210">
        <f>'[3]прил .6 с мостом'!C55</f>
        <v>0</v>
      </c>
      <c r="D55" s="210">
        <f>'[3]прил .6 с мостом'!D55</f>
        <v>0</v>
      </c>
      <c r="E55" s="210">
        <f>'[3]прил .6 с мостом'!E55</f>
        <v>0</v>
      </c>
      <c r="F55" s="210">
        <f>'[3]прил .6 с мостом'!F55</f>
        <v>0</v>
      </c>
      <c r="G55" s="210">
        <f>'[3]прил .6 с мостом'!G55</f>
        <v>0</v>
      </c>
      <c r="H55" s="210">
        <f>'[3]прил .6 с мостом'!H55</f>
        <v>0</v>
      </c>
      <c r="I55" s="210">
        <f>'[3]прил .6 с мостом'!I55</f>
        <v>0</v>
      </c>
      <c r="J55" s="210">
        <f>'[3]прил .6 с мостом'!J55</f>
        <v>0</v>
      </c>
      <c r="K55" s="208">
        <f>B55</f>
        <v>0</v>
      </c>
    </row>
    <row r="56" spans="1:21" ht="33.75" customHeight="1" thickBot="1">
      <c r="A56" s="209" t="s">
        <v>415</v>
      </c>
      <c r="B56" s="210">
        <f>'[3]прил .6 с мостом'!B56</f>
        <v>0</v>
      </c>
      <c r="C56" s="210">
        <f>'[3]прил .6 с мостом'!C56</f>
        <v>0</v>
      </c>
      <c r="D56" s="210">
        <f>'[3]прил .6 с мостом'!D56</f>
        <v>0</v>
      </c>
      <c r="E56" s="210">
        <f>'[3]прил .6 с мостом'!E56</f>
        <v>0</v>
      </c>
      <c r="F56" s="210">
        <f>'[3]прил .6 с мостом'!F56</f>
        <v>0</v>
      </c>
      <c r="G56" s="210">
        <f>'[3]прил .6 с мостом'!G56</f>
        <v>0</v>
      </c>
      <c r="H56" s="210">
        <f>'[3]прил .6 с мостом'!H56</f>
        <v>0</v>
      </c>
      <c r="I56" s="210">
        <f>'[3]прил .6 с мостом'!I56</f>
        <v>0</v>
      </c>
      <c r="J56" s="210">
        <f>'[3]прил .6 с мостом'!J56</f>
        <v>0</v>
      </c>
      <c r="K56" s="208">
        <f>B56</f>
        <v>0</v>
      </c>
    </row>
    <row r="57" spans="1:21">
      <c r="K57" s="214">
        <f>SUM(K53:K56)</f>
        <v>0</v>
      </c>
    </row>
    <row r="58" spans="1:21">
      <c r="D58" s="205">
        <f>D53+D55+D56</f>
        <v>0</v>
      </c>
      <c r="E58" s="205">
        <f>E53+E55+E56</f>
        <v>0</v>
      </c>
      <c r="F58" s="205">
        <f t="shared" ref="F58:I58" si="0">F53+F55+F56</f>
        <v>0</v>
      </c>
      <c r="G58" s="205">
        <f t="shared" si="0"/>
        <v>0</v>
      </c>
      <c r="H58" s="205">
        <f t="shared" si="0"/>
        <v>0</v>
      </c>
      <c r="I58" s="205">
        <f t="shared" si="0"/>
        <v>0</v>
      </c>
      <c r="U58" s="205">
        <f>B59-D58-E58</f>
        <v>0</v>
      </c>
    </row>
    <row r="59" spans="1:21">
      <c r="B59" s="215">
        <f>B53+B55+B56</f>
        <v>0</v>
      </c>
    </row>
    <row r="60" spans="1:21">
      <c r="C60" s="202">
        <v>2015</v>
      </c>
      <c r="D60" s="202">
        <v>2016</v>
      </c>
      <c r="E60" s="202">
        <v>2017</v>
      </c>
      <c r="F60" s="202">
        <v>2018</v>
      </c>
      <c r="G60" s="202">
        <v>2019</v>
      </c>
      <c r="H60" s="202">
        <v>2020</v>
      </c>
      <c r="I60" s="202">
        <v>2021</v>
      </c>
    </row>
    <row r="61" spans="1:21">
      <c r="B61" s="215"/>
      <c r="D61" s="216">
        <v>107.31489163336438</v>
      </c>
      <c r="E61" s="217">
        <v>106.80419218815939</v>
      </c>
      <c r="F61" s="217">
        <v>106.40296400340539</v>
      </c>
      <c r="G61" s="217">
        <v>105.28755638334495</v>
      </c>
      <c r="H61" s="218">
        <v>104.62228427027578</v>
      </c>
      <c r="I61" s="219">
        <v>103.90195775089536</v>
      </c>
    </row>
    <row r="62" spans="1:21">
      <c r="A62" s="220" t="s">
        <v>416</v>
      </c>
      <c r="D62" s="221">
        <f>D61/100</f>
        <v>1.0731489163336438</v>
      </c>
      <c r="E62" s="221">
        <f t="shared" ref="E62:I62" si="1">E61/100</f>
        <v>1.068041921881594</v>
      </c>
      <c r="F62" s="221">
        <f t="shared" si="1"/>
        <v>1.0640296400340539</v>
      </c>
      <c r="G62" s="221">
        <f t="shared" si="1"/>
        <v>1.0528755638334495</v>
      </c>
      <c r="H62" s="221">
        <f t="shared" si="1"/>
        <v>1.0462228427027578</v>
      </c>
      <c r="I62" s="221">
        <f t="shared" si="1"/>
        <v>1.0390195775089537</v>
      </c>
    </row>
    <row r="63" spans="1:21">
      <c r="A63" s="222"/>
      <c r="C63" s="223">
        <f>32078587.37</f>
        <v>32078587.370000001</v>
      </c>
      <c r="D63" s="223">
        <v>775000</v>
      </c>
      <c r="E63" s="223">
        <f>$C63/5-775000/5</f>
        <v>6260717.4740000004</v>
      </c>
      <c r="F63" s="223">
        <f>$C63/5-775000/5</f>
        <v>6260717.4740000004</v>
      </c>
      <c r="G63" s="223">
        <f>$C63/5-775000/5</f>
        <v>6260717.4740000004</v>
      </c>
      <c r="H63" s="223">
        <f>$C63/5-775000/5</f>
        <v>6260717.4740000004</v>
      </c>
      <c r="I63" s="223">
        <f>$C63/5-775000/5</f>
        <v>6260717.4740000004</v>
      </c>
      <c r="J63" s="224">
        <f>SUM(D63:I63)</f>
        <v>32078587.370000001</v>
      </c>
    </row>
    <row r="64" spans="1:21">
      <c r="A64" s="222"/>
      <c r="B64" s="225">
        <v>1</v>
      </c>
      <c r="C64" s="226" t="s">
        <v>417</v>
      </c>
      <c r="D64" s="227">
        <v>775000</v>
      </c>
      <c r="E64" s="227">
        <f>E62*E63</f>
        <v>6686708.7232886385</v>
      </c>
      <c r="F64" s="227">
        <f>F62*F63</f>
        <v>6661588.9602151318</v>
      </c>
      <c r="G64" s="227">
        <f>G62*G63</f>
        <v>6591756.4404396797</v>
      </c>
      <c r="H64" s="227">
        <f>H62*H63</f>
        <v>6550105.6330071092</v>
      </c>
      <c r="I64" s="227">
        <f>I62*I63</f>
        <v>6505008.024738404</v>
      </c>
      <c r="J64" s="228">
        <f>SUM(D64:I64)</f>
        <v>33770167.781688958</v>
      </c>
    </row>
    <row r="65" spans="1:15" hidden="1">
      <c r="A65" s="222"/>
      <c r="E65" s="223">
        <f>33770167.8*0.75/5</f>
        <v>5065525.17</v>
      </c>
      <c r="F65" s="223">
        <f t="shared" ref="F65:I65" si="2">33770167.8*0.75/5</f>
        <v>5065525.17</v>
      </c>
      <c r="G65" s="223">
        <f t="shared" si="2"/>
        <v>5065525.17</v>
      </c>
      <c r="H65" s="223">
        <f t="shared" si="2"/>
        <v>5065525.17</v>
      </c>
      <c r="I65" s="223">
        <f t="shared" si="2"/>
        <v>5065525.17</v>
      </c>
      <c r="J65" s="224">
        <f>SUM(E65:I65)</f>
        <v>25327625.850000001</v>
      </c>
      <c r="K65" s="223">
        <f>25368000-J65</f>
        <v>40374.14999999851</v>
      </c>
      <c r="M65" s="229"/>
    </row>
    <row r="66" spans="1:15" hidden="1">
      <c r="A66" s="222"/>
      <c r="E66" s="229">
        <f>K65/5</f>
        <v>8074.8299999997016</v>
      </c>
      <c r="F66" s="229">
        <v>8074.8299999997016</v>
      </c>
      <c r="G66" s="229">
        <v>8074.8299999997016</v>
      </c>
      <c r="H66" s="229">
        <v>8074.8299999997016</v>
      </c>
      <c r="I66" s="229">
        <v>8074.8299999997016</v>
      </c>
      <c r="J66" s="224">
        <f t="shared" ref="J66:J69" si="3">SUM(E66:I66)</f>
        <v>40374.14999999851</v>
      </c>
    </row>
    <row r="67" spans="1:15" hidden="1">
      <c r="A67" s="222"/>
      <c r="B67" s="225">
        <v>0.75</v>
      </c>
      <c r="C67" s="226" t="s">
        <v>418</v>
      </c>
      <c r="D67" s="230"/>
      <c r="E67" s="231">
        <f>E65+E66</f>
        <v>5073600</v>
      </c>
      <c r="F67" s="231">
        <f t="shared" ref="F67:I67" si="4">F65+F66</f>
        <v>5073600</v>
      </c>
      <c r="G67" s="231">
        <f t="shared" si="4"/>
        <v>5073600</v>
      </c>
      <c r="H67" s="231">
        <f t="shared" si="4"/>
        <v>5073600</v>
      </c>
      <c r="I67" s="231">
        <f t="shared" si="4"/>
        <v>5073600</v>
      </c>
      <c r="J67" s="228">
        <f>SUM(E67:I67)</f>
        <v>25368000</v>
      </c>
      <c r="K67" s="1097">
        <f>J67+J69+J68</f>
        <v>33770167.781688958</v>
      </c>
    </row>
    <row r="68" spans="1:15" hidden="1">
      <c r="A68" s="222"/>
      <c r="B68" s="225"/>
      <c r="C68" s="226" t="s">
        <v>419</v>
      </c>
      <c r="D68" s="231">
        <v>775000</v>
      </c>
      <c r="E68" s="232">
        <v>2011000</v>
      </c>
      <c r="F68" s="232">
        <v>1272000</v>
      </c>
      <c r="G68" s="231"/>
      <c r="H68" s="231"/>
      <c r="I68" s="231"/>
      <c r="J68" s="228">
        <f>SUM(D68:I68)</f>
        <v>4058000</v>
      </c>
      <c r="K68" s="1097"/>
      <c r="M68" s="229"/>
    </row>
    <row r="69" spans="1:15" hidden="1">
      <c r="A69" s="222"/>
      <c r="B69" s="225">
        <v>0.25</v>
      </c>
      <c r="C69" s="226" t="s">
        <v>420</v>
      </c>
      <c r="D69" s="230"/>
      <c r="E69" s="231">
        <f>E64-E67-E68</f>
        <v>-397891.27671136148</v>
      </c>
      <c r="F69" s="231">
        <f t="shared" ref="F69:I69" si="5">F64-F67-F68</f>
        <v>315988.96021513175</v>
      </c>
      <c r="G69" s="231">
        <f t="shared" si="5"/>
        <v>1518156.4404396797</v>
      </c>
      <c r="H69" s="231">
        <f t="shared" si="5"/>
        <v>1476505.6330071092</v>
      </c>
      <c r="I69" s="231">
        <f t="shared" si="5"/>
        <v>1431408.024738404</v>
      </c>
      <c r="J69" s="228">
        <f t="shared" si="3"/>
        <v>4344167.7816889631</v>
      </c>
      <c r="K69" s="1098"/>
    </row>
    <row r="70" spans="1:15" hidden="1">
      <c r="A70" s="222"/>
    </row>
    <row r="71" spans="1:15" hidden="1">
      <c r="A71" s="222"/>
    </row>
    <row r="72" spans="1:15" hidden="1">
      <c r="A72" s="222"/>
      <c r="E72" s="231">
        <f>8079000</f>
        <v>8079000</v>
      </c>
      <c r="F72" s="231">
        <f>5497000</f>
        <v>5497000</v>
      </c>
      <c r="G72" s="231">
        <f>5741000</f>
        <v>5741000</v>
      </c>
      <c r="H72" s="231">
        <f>3981000</f>
        <v>3981000</v>
      </c>
      <c r="I72" s="231">
        <f>2070000</f>
        <v>2070000</v>
      </c>
      <c r="J72" s="229">
        <f>SUM(E72:I72)</f>
        <v>25368000</v>
      </c>
    </row>
    <row r="73" spans="1:15" hidden="1">
      <c r="A73" s="1099" t="s">
        <v>421</v>
      </c>
      <c r="C73" s="226" t="s">
        <v>418</v>
      </c>
      <c r="E73" s="233">
        <f>E72/$K67</f>
        <v>0.23923481968545737</v>
      </c>
      <c r="F73" s="233">
        <f>F72/$K67</f>
        <v>0.16277680453162016</v>
      </c>
      <c r="G73" s="233">
        <f>G72/$K67</f>
        <v>0.17000211657559236</v>
      </c>
      <c r="H73" s="233">
        <f>H72/$K67</f>
        <v>0.11788511166825175</v>
      </c>
      <c r="I73" s="233">
        <f>I72/$K67</f>
        <v>6.129670463533813E-2</v>
      </c>
      <c r="J73" s="233">
        <f>SUM(E73:I73)</f>
        <v>0.75119555709625974</v>
      </c>
    </row>
    <row r="74" spans="1:15" hidden="1">
      <c r="A74" s="1099"/>
      <c r="C74" s="226" t="s">
        <v>420</v>
      </c>
      <c r="E74" s="233">
        <f>E73/$J73</f>
        <v>0.3184720908230842</v>
      </c>
      <c r="F74" s="233">
        <f t="shared" ref="F74:I74" si="6">F73/$J73</f>
        <v>0.21669031851151058</v>
      </c>
      <c r="G74" s="233">
        <f t="shared" si="6"/>
        <v>0.22630873541469568</v>
      </c>
      <c r="H74" s="233">
        <f t="shared" si="6"/>
        <v>0.15692999053926207</v>
      </c>
      <c r="I74" s="233">
        <f t="shared" si="6"/>
        <v>8.1598864711447491E-2</v>
      </c>
      <c r="J74" s="233">
        <f>SUM(E74:I74)</f>
        <v>1</v>
      </c>
    </row>
    <row r="75" spans="1:15">
      <c r="A75" s="234"/>
      <c r="C75" s="235"/>
      <c r="E75" s="213"/>
      <c r="F75" s="213"/>
      <c r="G75" s="213"/>
      <c r="H75" s="213"/>
      <c r="I75" s="213"/>
    </row>
    <row r="76" spans="1:15">
      <c r="A76" s="1099" t="s">
        <v>422</v>
      </c>
      <c r="B76" s="225">
        <v>0.75</v>
      </c>
      <c r="C76" s="226" t="s">
        <v>418</v>
      </c>
      <c r="D76" s="230"/>
      <c r="E76" s="231">
        <f>$K67*E73</f>
        <v>8079000</v>
      </c>
      <c r="F76" s="231">
        <f>$K67*F73</f>
        <v>5497000</v>
      </c>
      <c r="G76" s="231">
        <f>$K67*G73</f>
        <v>5741000</v>
      </c>
      <c r="H76" s="231">
        <f>$K67*H73</f>
        <v>3981000</v>
      </c>
      <c r="I76" s="231">
        <f>$K67*I73</f>
        <v>2070000</v>
      </c>
      <c r="J76" s="228">
        <f>SUM(D76:I76)</f>
        <v>25368000</v>
      </c>
      <c r="K76" s="1100">
        <f>J76+J78+J77</f>
        <v>33824000</v>
      </c>
    </row>
    <row r="77" spans="1:15">
      <c r="A77" s="1099"/>
      <c r="B77" s="225"/>
      <c r="C77" s="226" t="s">
        <v>419</v>
      </c>
      <c r="D77" s="232">
        <v>775000</v>
      </c>
      <c r="E77" s="232">
        <v>2011000</v>
      </c>
      <c r="F77" s="232">
        <v>1272000</v>
      </c>
      <c r="G77" s="231"/>
      <c r="H77" s="231"/>
      <c r="I77" s="231"/>
      <c r="J77" s="228">
        <f t="shared" ref="J77:J78" si="7">SUM(D77:I77)</f>
        <v>4058000</v>
      </c>
      <c r="K77" s="1100"/>
      <c r="M77" s="229"/>
    </row>
    <row r="78" spans="1:15">
      <c r="A78" s="1099"/>
      <c r="B78" s="225">
        <v>0.25</v>
      </c>
      <c r="C78" s="226" t="s">
        <v>420</v>
      </c>
      <c r="D78" s="226"/>
      <c r="E78" s="231">
        <v>1400640.2554399243</v>
      </c>
      <c r="F78" s="231">
        <v>953004.02081362344</v>
      </c>
      <c r="G78" s="231">
        <v>995305.81835383154</v>
      </c>
      <c r="H78" s="231">
        <v>690178.09839167458</v>
      </c>
      <c r="I78" s="231">
        <v>358871.80700094608</v>
      </c>
      <c r="J78" s="228">
        <f t="shared" si="7"/>
        <v>4398000</v>
      </c>
      <c r="K78" s="1100"/>
    </row>
    <row r="79" spans="1:15">
      <c r="A79" s="1099"/>
      <c r="B79" s="238">
        <v>1</v>
      </c>
      <c r="C79" s="239" t="s">
        <v>423</v>
      </c>
      <c r="D79" s="240">
        <f>SUM(D76:D78)</f>
        <v>775000</v>
      </c>
      <c r="E79" s="240">
        <f>SUM(E76:E78)</f>
        <v>11490640.255439924</v>
      </c>
      <c r="F79" s="240">
        <f t="shared" ref="F79:I79" si="8">SUM(F76:F78)</f>
        <v>7722004.0208136234</v>
      </c>
      <c r="G79" s="240">
        <f t="shared" si="8"/>
        <v>6736305.8183538318</v>
      </c>
      <c r="H79" s="240">
        <f t="shared" si="8"/>
        <v>4671178.0983916745</v>
      </c>
      <c r="I79" s="240">
        <f t="shared" si="8"/>
        <v>2428871.8070009463</v>
      </c>
      <c r="J79" s="240">
        <f>SUM(J76:J78)</f>
        <v>33824000</v>
      </c>
      <c r="K79" s="241"/>
    </row>
    <row r="80" spans="1:15" ht="19.5" customHeight="1">
      <c r="B80" s="1107" t="s">
        <v>421</v>
      </c>
      <c r="C80" s="1107"/>
      <c r="D80" s="242">
        <f>D79/$K76</f>
        <v>2.2912724692526018E-2</v>
      </c>
      <c r="E80" s="242">
        <f>E79/$K76</f>
        <v>0.33971855059838946</v>
      </c>
      <c r="F80" s="242">
        <f t="shared" ref="F80:I80" si="9">F79/$K76</f>
        <v>0.22829955123029871</v>
      </c>
      <c r="G80" s="242">
        <f t="shared" si="9"/>
        <v>0.19915757504593873</v>
      </c>
      <c r="H80" s="242">
        <f t="shared" si="9"/>
        <v>0.13810247452671695</v>
      </c>
      <c r="I80" s="242">
        <f t="shared" si="9"/>
        <v>7.1809123906130146E-2</v>
      </c>
      <c r="J80" s="242">
        <f>SUM(D80:I80)</f>
        <v>1</v>
      </c>
      <c r="O80" s="229"/>
    </row>
    <row r="82" spans="2:16">
      <c r="B82" s="243">
        <v>0.75</v>
      </c>
      <c r="C82" s="244" t="s">
        <v>418</v>
      </c>
      <c r="D82" s="245"/>
      <c r="E82" s="246">
        <f>8079000</f>
        <v>8079000</v>
      </c>
      <c r="F82" s="246">
        <f>5497000</f>
        <v>5497000</v>
      </c>
      <c r="G82" s="246">
        <f>5741000</f>
        <v>5741000</v>
      </c>
      <c r="H82" s="246">
        <f>3981000</f>
        <v>3981000</v>
      </c>
      <c r="I82" s="246">
        <f>2070000</f>
        <v>2070000</v>
      </c>
      <c r="J82" s="247">
        <f>SUM(E82:I82)</f>
        <v>25368000</v>
      </c>
      <c r="N82" t="s">
        <v>424</v>
      </c>
      <c r="O82" s="229">
        <v>25368000</v>
      </c>
      <c r="P82" s="233">
        <f>O82/O85</f>
        <v>0.75</v>
      </c>
    </row>
    <row r="83" spans="2:16">
      <c r="B83" s="243"/>
      <c r="C83" s="244" t="s">
        <v>419</v>
      </c>
      <c r="D83" s="245">
        <v>775000</v>
      </c>
      <c r="E83" s="245">
        <v>2011000</v>
      </c>
      <c r="F83" s="245">
        <v>1272000</v>
      </c>
      <c r="G83" s="245"/>
      <c r="H83" s="245"/>
      <c r="I83" s="245"/>
      <c r="J83" s="247">
        <f>SUM(D83:I83)</f>
        <v>4058000</v>
      </c>
      <c r="N83" t="s">
        <v>425</v>
      </c>
      <c r="O83" s="229">
        <v>4058000</v>
      </c>
      <c r="P83" s="233">
        <f>O83/O85</f>
        <v>0.11997398297067172</v>
      </c>
    </row>
    <row r="84" spans="2:16">
      <c r="B84" s="243">
        <v>0.25</v>
      </c>
      <c r="C84" s="244" t="s">
        <v>420</v>
      </c>
      <c r="D84" s="245"/>
      <c r="E84" s="246">
        <v>358871.80700094608</v>
      </c>
      <c r="F84" s="246">
        <v>690178.09839167458</v>
      </c>
      <c r="G84" s="246">
        <v>995305.81835383154</v>
      </c>
      <c r="H84" s="246">
        <v>953004.02081362344</v>
      </c>
      <c r="I84" s="246">
        <v>1400640.2554399243</v>
      </c>
      <c r="J84" s="247">
        <f>SUM(D84:I84)</f>
        <v>4398000</v>
      </c>
      <c r="K84" s="229"/>
      <c r="N84" t="s">
        <v>426</v>
      </c>
      <c r="O84" s="229">
        <v>4398000</v>
      </c>
      <c r="P84" s="233">
        <f>O84/O85</f>
        <v>0.13002601702932828</v>
      </c>
    </row>
    <row r="85" spans="2:16">
      <c r="B85" s="248">
        <v>1</v>
      </c>
      <c r="C85" s="248" t="s">
        <v>423</v>
      </c>
      <c r="D85" s="249">
        <f>SUM(D82:D84)</f>
        <v>775000</v>
      </c>
      <c r="E85" s="249">
        <f>SUM(E82:E84)</f>
        <v>10448871.807000946</v>
      </c>
      <c r="F85" s="249">
        <f t="shared" ref="F85:I85" si="10">SUM(F82:F84)</f>
        <v>7459178.0983916745</v>
      </c>
      <c r="G85" s="249">
        <f t="shared" si="10"/>
        <v>6736305.8183538318</v>
      </c>
      <c r="H85" s="249">
        <f t="shared" si="10"/>
        <v>4934004.0208136234</v>
      </c>
      <c r="I85" s="249">
        <f t="shared" si="10"/>
        <v>3470640.2554399241</v>
      </c>
      <c r="J85" s="249">
        <f>SUM(J82:J84)</f>
        <v>33824000</v>
      </c>
      <c r="N85" t="s">
        <v>427</v>
      </c>
      <c r="O85" s="250">
        <f>SUM(O82:O84)</f>
        <v>33824000</v>
      </c>
      <c r="P85" s="233">
        <v>1</v>
      </c>
    </row>
    <row r="86" spans="2:16">
      <c r="B86" s="1108" t="s">
        <v>421</v>
      </c>
      <c r="C86" s="1108"/>
      <c r="D86" s="251">
        <f>D85/$J85</f>
        <v>2.2912724692526018E-2</v>
      </c>
      <c r="E86" s="251">
        <f t="shared" ref="E86:I86" si="11">E85/$J85</f>
        <v>0.30891886846620586</v>
      </c>
      <c r="F86" s="251">
        <f t="shared" si="11"/>
        <v>0.22052915380770088</v>
      </c>
      <c r="G86" s="251">
        <f t="shared" si="11"/>
        <v>0.19915757504593873</v>
      </c>
      <c r="H86" s="251">
        <f t="shared" si="11"/>
        <v>0.14587287194931478</v>
      </c>
      <c r="I86" s="251">
        <f t="shared" si="11"/>
        <v>0.10260880603831374</v>
      </c>
      <c r="J86" s="251">
        <f>SUM(D86:I86)</f>
        <v>1</v>
      </c>
    </row>
    <row r="88" spans="2:16">
      <c r="D88" s="233"/>
      <c r="E88" s="233">
        <f>E82/O85</f>
        <v>0.23885406811731316</v>
      </c>
      <c r="F88" s="233">
        <f>F82/O85</f>
        <v>0.16251773888363291</v>
      </c>
      <c r="G88" s="233">
        <f>G82/O85</f>
        <v>0.16973155156102177</v>
      </c>
      <c r="H88" s="233">
        <f>H82/O85</f>
        <v>0.11769749290444655</v>
      </c>
      <c r="I88" s="233">
        <f>I82/O85</f>
        <v>6.1199148533585622E-2</v>
      </c>
      <c r="J88" s="213">
        <f>SUM(D88:I88)</f>
        <v>0.75</v>
      </c>
    </row>
    <row r="89" spans="2:16">
      <c r="E89" s="252">
        <f>E84/$J84</f>
        <v>8.1598864711447491E-2</v>
      </c>
      <c r="F89" s="252">
        <f t="shared" ref="F89:I89" si="12">F84/$J84</f>
        <v>0.15692999053926207</v>
      </c>
      <c r="G89" s="252">
        <f t="shared" si="12"/>
        <v>0.22630873541469568</v>
      </c>
      <c r="H89" s="252">
        <f t="shared" si="12"/>
        <v>0.21669031851151055</v>
      </c>
      <c r="I89" s="252">
        <f t="shared" si="12"/>
        <v>0.3184720908230842</v>
      </c>
      <c r="J89" s="213">
        <f>SUM(D89:I89)</f>
        <v>1</v>
      </c>
    </row>
    <row r="90" spans="2:16">
      <c r="E90" s="252"/>
      <c r="F90" s="252"/>
      <c r="G90" s="252"/>
      <c r="H90" s="252"/>
      <c r="I90" s="252"/>
    </row>
    <row r="91" spans="2:16">
      <c r="E91" s="252"/>
      <c r="F91" s="252"/>
      <c r="G91" s="252"/>
      <c r="H91" s="252"/>
      <c r="I91" s="252"/>
    </row>
    <row r="92" spans="2:16">
      <c r="B92" s="253" t="s">
        <v>428</v>
      </c>
      <c r="D92" s="254">
        <v>2016</v>
      </c>
      <c r="E92" s="254">
        <v>2017</v>
      </c>
      <c r="F92" s="254">
        <v>2018</v>
      </c>
      <c r="G92" s="254">
        <v>2019</v>
      </c>
      <c r="H92" s="254">
        <v>2020</v>
      </c>
      <c r="I92" s="254">
        <v>2021</v>
      </c>
    </row>
    <row r="93" spans="2:16">
      <c r="B93" s="253" t="s">
        <v>429</v>
      </c>
      <c r="D93" s="255">
        <v>24994.5</v>
      </c>
      <c r="E93" s="255">
        <v>26644.1</v>
      </c>
      <c r="F93" s="255">
        <v>28349.3</v>
      </c>
      <c r="G93" s="255">
        <f>F93*G62</f>
        <v>29848.285221783608</v>
      </c>
      <c r="H93" s="255">
        <f>G93*H62</f>
        <v>31227.95781453716</v>
      </c>
      <c r="I93" s="255">
        <f>H93*I62</f>
        <v>32446.459534927828</v>
      </c>
    </row>
    <row r="94" spans="2:16">
      <c r="B94" s="253" t="s">
        <v>430</v>
      </c>
      <c r="D94" s="256">
        <f t="shared" ref="D94:I94" si="13">D85/D93</f>
        <v>31.006821500730162</v>
      </c>
      <c r="E94" s="256">
        <f t="shared" si="13"/>
        <v>392.1645620231476</v>
      </c>
      <c r="F94" s="256">
        <f t="shared" si="13"/>
        <v>263.11683527958979</v>
      </c>
      <c r="G94" s="256">
        <f t="shared" si="13"/>
        <v>225.68485151829094</v>
      </c>
      <c r="H94" s="256">
        <f t="shared" si="13"/>
        <v>157.99957365501365</v>
      </c>
      <c r="I94" s="256">
        <f t="shared" si="13"/>
        <v>106.9651452018629</v>
      </c>
      <c r="J94" s="257">
        <f>SUM(D94:I94)</f>
        <v>1176.9377891786351</v>
      </c>
    </row>
  </sheetData>
  <mergeCells count="30">
    <mergeCell ref="B80:C80"/>
    <mergeCell ref="B86:C86"/>
    <mergeCell ref="I49:I50"/>
    <mergeCell ref="J49:J50"/>
    <mergeCell ref="K67:K69"/>
    <mergeCell ref="A73:A74"/>
    <mergeCell ref="A76:A79"/>
    <mergeCell ref="K76:K78"/>
    <mergeCell ref="H47:H48"/>
    <mergeCell ref="I47:I48"/>
    <mergeCell ref="J47:J48"/>
    <mergeCell ref="B49:B50"/>
    <mergeCell ref="C49:C50"/>
    <mergeCell ref="D49:D50"/>
    <mergeCell ref="E49:E50"/>
    <mergeCell ref="F49:F50"/>
    <mergeCell ref="G49:G50"/>
    <mergeCell ref="H49:H50"/>
    <mergeCell ref="B47:B48"/>
    <mergeCell ref="C47:C48"/>
    <mergeCell ref="D47:D48"/>
    <mergeCell ref="E47:E48"/>
    <mergeCell ref="F47:F48"/>
    <mergeCell ref="G47:G48"/>
    <mergeCell ref="A1:A3"/>
    <mergeCell ref="B1:J1"/>
    <mergeCell ref="B2:B3"/>
    <mergeCell ref="C2:J2"/>
    <mergeCell ref="A4:J4"/>
    <mergeCell ref="A25:J25"/>
  </mergeCells>
  <pageMargins left="0.70866141732283472" right="0.70866141732283472" top="0.74803149606299213" bottom="0.74803149606299213" header="0.31496062992125984" footer="0.31496062992125984"/>
  <pageSetup paperSize="9" scale="40"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13</vt:i4>
      </vt:variant>
    </vt:vector>
  </HeadingPairs>
  <TitlesOfParts>
    <vt:vector size="21" baseType="lpstr">
      <vt:lpstr>Индикаторы </vt:lpstr>
      <vt:lpstr>Мероприятия</vt:lpstr>
      <vt:lpstr>Подробный перечень(БКАД)</vt:lpstr>
      <vt:lpstr>Подробный перечень (ОБ)</vt:lpstr>
      <vt:lpstr>прил. 1  (3)</vt:lpstr>
      <vt:lpstr>прил .6 с мостом (2)</vt:lpstr>
      <vt:lpstr>для вставки в ворд</vt:lpstr>
      <vt:lpstr>Лист3</vt:lpstr>
      <vt:lpstr>'для вставки в ворд'!Заголовки_для_печати</vt:lpstr>
      <vt:lpstr>'Индикаторы '!Заголовки_для_печати</vt:lpstr>
      <vt:lpstr>Мероприятия!Заголовки_для_печати</vt:lpstr>
      <vt:lpstr>'Подробный перечень (ОБ)'!Заголовки_для_печати</vt:lpstr>
      <vt:lpstr>'Подробный перечень(БКАД)'!Заголовки_для_печати</vt:lpstr>
      <vt:lpstr>'прил .6 с мостом (2)'!Заголовки_для_печати</vt:lpstr>
      <vt:lpstr>'прил. 1  (3)'!Заголовки_для_печати</vt:lpstr>
      <vt:lpstr>'Индикаторы '!Область_печати</vt:lpstr>
      <vt:lpstr>Мероприятия!Область_печати</vt:lpstr>
      <vt:lpstr>'Подробный перечень (ОБ)'!Область_печати</vt:lpstr>
      <vt:lpstr>'Подробный перечень(БКАД)'!Область_печати</vt:lpstr>
      <vt:lpstr>'прил .6 с мостом (2)'!Область_печати</vt:lpstr>
      <vt:lpstr>'прил. 1  (3)'!Область_печати</vt:lpstr>
    </vt:vector>
  </TitlesOfParts>
  <Company>АГНОиПНО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Маркова Анна Александровна</dc:creator>
  <cp:lastModifiedBy>Рофе Марина Ивановна</cp:lastModifiedBy>
  <cp:lastPrinted>2020-04-15T08:21:55Z</cp:lastPrinted>
  <dcterms:created xsi:type="dcterms:W3CDTF">2014-05-15T06:42:43Z</dcterms:created>
  <dcterms:modified xsi:type="dcterms:W3CDTF">2020-04-16T07:17:23Z</dcterms:modified>
</cp:coreProperties>
</file>